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4.xml" ContentType="application/vnd.openxmlformats-officedocument.spreadsheetml.comment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embeddings/oleObject45.bin" ContentType="application/vnd.openxmlformats-officedocument.oleObject"/>
  <Override PartName="/xl/embeddings/oleObject46.bin" ContentType="application/vnd.openxmlformats-officedocument.oleObject"/>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embeddings/oleObject47.bin" ContentType="application/vnd.openxmlformats-officedocument.oleObject"/>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5.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trlProps/ctrlProp77.xml" ContentType="application/vnd.ms-excel.controlproperti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trlProps/ctrlProp78.xml" ContentType="application/vnd.ms-excel.controlproperti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updateLinks="never" codeName="ThisWorkbook" defaultThemeVersion="124226"/>
  <mc:AlternateContent xmlns:mc="http://schemas.openxmlformats.org/markup-compatibility/2006">
    <mc:Choice Requires="x15">
      <x15ac:absPath xmlns:x15ac="http://schemas.microsoft.com/office/spreadsheetml/2010/11/ac" url="D:\Poradniki itp\Arkusze obliczeniowe\"/>
    </mc:Choice>
  </mc:AlternateContent>
  <xr:revisionPtr revIDLastSave="0" documentId="13_ncr:1_{B5F2A790-C571-481F-A83A-71DF7DFD0429}" xr6:coauthVersionLast="47" xr6:coauthVersionMax="47" xr10:uidLastSave="{00000000-0000-0000-0000-000000000000}"/>
  <workbookProtection workbookAlgorithmName="SHA-512" workbookHashValue="CRUGHabYejY0uXpgmkRe+JJZnZFXKioNL/vJ0RJ8Vz0qErmFwsmOV5pPf+sb/N+ChqrPZ2PYtAPc/ZwdWELBdw==" workbookSaltValue="cSH4Tp5fzuQGnTafAZjVXw==" workbookSpinCount="100000" lockStructure="1"/>
  <bookViews>
    <workbookView xWindow="-108" yWindow="-108" windowWidth="23256" windowHeight="14016" tabRatio="814" xr2:uid="{00000000-000D-0000-FFFF-FFFF00000000}"/>
  </bookViews>
  <sheets>
    <sheet name="START" sheetId="13" r:id="rId1"/>
    <sheet name="NW wg PN-EN-12828" sheetId="6" r:id="rId2"/>
    <sheet name="NW wg PN-B-02414" sheetId="16" r:id="rId3"/>
    <sheet name="Compresso" sheetId="18" state="hidden" r:id="rId4"/>
    <sheet name="Transfero" sheetId="22" state="hidden" r:id="rId5"/>
    <sheet name="NW do inst. solarnej" sheetId="26" r:id="rId6"/>
    <sheet name="NW do c.w.u." sheetId="28" r:id="rId7"/>
    <sheet name="VENTO" sheetId="30" r:id="rId8"/>
    <sheet name="NP" sheetId="33" r:id="rId9"/>
    <sheet name="1" sheetId="15" state="hidden" r:id="rId10"/>
    <sheet name="2" sheetId="17" state="hidden" r:id="rId11"/>
    <sheet name="3" sheetId="19" state="hidden" r:id="rId12"/>
    <sheet name="4" sheetId="23" state="hidden" r:id="rId13"/>
    <sheet name="5" sheetId="27" state="hidden" r:id="rId14"/>
    <sheet name="6" sheetId="29" state="hidden" r:id="rId15"/>
    <sheet name="7" sheetId="31" state="hidden" r:id="rId16"/>
    <sheet name="8" sheetId="34" state="hidden" r:id="rId17"/>
    <sheet name="C Auswahl" sheetId="20" state="hidden" r:id="rId18"/>
    <sheet name="C Daten" sheetId="21" state="hidden" r:id="rId19"/>
    <sheet name="C-C Auswahl" sheetId="35" state="hidden" r:id="rId20"/>
    <sheet name="C-C Daten" sheetId="36" state="hidden" r:id="rId21"/>
    <sheet name="T Auswahl" sheetId="24" state="hidden" r:id="rId22"/>
    <sheet name="T Daten" sheetId="25" state="hidden" r:id="rId23"/>
    <sheet name="Selection pman-p0-qN" sheetId="38" state="hidden" r:id="rId24"/>
    <sheet name="Data" sheetId="40" state="hidden" r:id="rId25"/>
    <sheet name="Selection pman-p0-Q" sheetId="39" state="hidden" r:id="rId26"/>
    <sheet name="Instruction" sheetId="37" state="hidden" r:id="rId27"/>
    <sheet name="Translation" sheetId="41" state="hidden" r:id="rId28"/>
  </sheets>
  <externalReferences>
    <externalReference r:id="rId29"/>
    <externalReference r:id="rId30"/>
    <externalReference r:id="rId31"/>
  </externalReferences>
  <definedNames>
    <definedName name="_xlnm.Print_Area" localSheetId="19">'C-C Auswahl'!$A$1:$R$77</definedName>
    <definedName name="_xlnm.Print_Area" localSheetId="3">Compresso!$B$28:$M$258</definedName>
    <definedName name="_xlnm.Print_Area" localSheetId="26">Instruction!$A$1:$R$406</definedName>
    <definedName name="_xlnm.Print_Area" localSheetId="8">NP!$B$21:$M$64</definedName>
    <definedName name="_xlnm.Print_Area" localSheetId="6">'NW do c.w.u.'!$B$19:$M$108</definedName>
    <definedName name="_xlnm.Print_Area" localSheetId="5">'NW do inst. solarnej'!$B$32:$M$277</definedName>
    <definedName name="_xlnm.Print_Area" localSheetId="2">'NW wg PN-B-02414'!$B$28:$M$268</definedName>
    <definedName name="_xlnm.Print_Area" localSheetId="1">'NW wg PN-EN-12828'!$B$28:$M$243</definedName>
    <definedName name="_xlnm.Print_Area" localSheetId="25">'Selection pman-p0-Q'!$A$1:$R$413</definedName>
    <definedName name="_xlnm.Print_Area" localSheetId="23">'Selection pman-p0-qN'!$A$1:$R$413</definedName>
    <definedName name="_xlnm.Print_Area" localSheetId="21">'T Auswahl'!$A$1:$R$254</definedName>
    <definedName name="_xlnm.Print_Area" localSheetId="4">Transfero!$B$28:$M$265</definedName>
    <definedName name="_xlnm.Print_Area" localSheetId="7">VENTO!$B$18:$M$63</definedName>
    <definedName name="_xlnm.Print_Titles" localSheetId="19">'C-C Auswahl'!$1:$24</definedName>
    <definedName name="_xlnm.Print_Titles" localSheetId="26">Instruction!$1:$26</definedName>
    <definedName name="_xlnm.Print_Titles" localSheetId="25">'Selection pman-p0-Q'!$1:$26</definedName>
    <definedName name="_xlnm.Print_Titles" localSheetId="23">'Selection pman-p0-qN'!$1:$26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 i="34" l="1"/>
  <c r="I44" i="33"/>
  <c r="K30" i="33"/>
  <c r="K9" i="33"/>
  <c r="K13" i="30"/>
  <c r="K11" i="30"/>
  <c r="K14" i="28"/>
  <c r="K11" i="28"/>
  <c r="K21" i="16"/>
  <c r="K21" i="6"/>
  <c r="AA114" i="17" l="1"/>
  <c r="C25" i="31" l="1"/>
  <c r="F10" i="31" l="1"/>
  <c r="F11" i="31"/>
  <c r="F12" i="31"/>
  <c r="F13" i="31"/>
  <c r="E17" i="31"/>
  <c r="E16" i="31"/>
  <c r="E15" i="31"/>
  <c r="E14" i="31"/>
  <c r="E13" i="31"/>
  <c r="E12" i="31"/>
  <c r="E11" i="31"/>
  <c r="E10" i="31"/>
  <c r="D17" i="31"/>
  <c r="D16" i="31"/>
  <c r="D15" i="31"/>
  <c r="D14" i="31"/>
  <c r="D13" i="31"/>
  <c r="D12" i="31"/>
  <c r="D11" i="31"/>
  <c r="D10" i="31"/>
  <c r="F17" i="31"/>
  <c r="F16" i="31"/>
  <c r="P74" i="41" l="1"/>
  <c r="P75" i="41" s="1"/>
  <c r="P69" i="41"/>
  <c r="P70" i="41" s="1"/>
  <c r="P72" i="41" s="1"/>
  <c r="R20" i="41"/>
  <c r="Q20" i="41"/>
  <c r="P20" i="41"/>
  <c r="O20" i="41"/>
  <c r="N20" i="41"/>
  <c r="N25" i="39" s="1"/>
  <c r="M20" i="41"/>
  <c r="R19" i="41"/>
  <c r="Q19" i="41"/>
  <c r="P19" i="41"/>
  <c r="O19" i="41"/>
  <c r="N19" i="41"/>
  <c r="N24" i="38" s="1"/>
  <c r="M19" i="41"/>
  <c r="R18" i="41"/>
  <c r="R23" i="38" s="1"/>
  <c r="Q18" i="41"/>
  <c r="P18" i="41"/>
  <c r="O18" i="41"/>
  <c r="N18" i="41"/>
  <c r="N23" i="38" s="1"/>
  <c r="M18" i="41"/>
  <c r="R17" i="41"/>
  <c r="Q17" i="41"/>
  <c r="P17" i="41"/>
  <c r="O17" i="41"/>
  <c r="N17" i="41"/>
  <c r="N22" i="38" s="1"/>
  <c r="M17" i="41"/>
  <c r="R16" i="41"/>
  <c r="R21" i="39" s="1"/>
  <c r="Q16" i="41"/>
  <c r="P16" i="41"/>
  <c r="O16" i="41"/>
  <c r="N16" i="41"/>
  <c r="N21" i="39" s="1"/>
  <c r="M16" i="41"/>
  <c r="R15" i="41"/>
  <c r="R20" i="39" s="1"/>
  <c r="Q15" i="41"/>
  <c r="P15" i="41"/>
  <c r="O15" i="41"/>
  <c r="N15" i="41"/>
  <c r="N20" i="38" s="1"/>
  <c r="M15" i="41"/>
  <c r="R14" i="41"/>
  <c r="Q14" i="41"/>
  <c r="P14" i="41"/>
  <c r="O14" i="41"/>
  <c r="N14" i="41"/>
  <c r="M14" i="41"/>
  <c r="R13" i="41"/>
  <c r="Q13" i="41"/>
  <c r="P13" i="41"/>
  <c r="O13" i="41"/>
  <c r="N13" i="41"/>
  <c r="M13" i="41"/>
  <c r="R12" i="41"/>
  <c r="Q12" i="41"/>
  <c r="P12" i="41"/>
  <c r="O12" i="41"/>
  <c r="N12" i="41"/>
  <c r="N17" i="39" s="1"/>
  <c r="M12" i="41"/>
  <c r="R11" i="41"/>
  <c r="Q11" i="41"/>
  <c r="P11" i="41"/>
  <c r="O11" i="41"/>
  <c r="N11" i="41"/>
  <c r="N16" i="38" s="1"/>
  <c r="M11" i="41"/>
  <c r="R10" i="41"/>
  <c r="Q10" i="41"/>
  <c r="P10" i="41"/>
  <c r="O10" i="41"/>
  <c r="N10" i="41"/>
  <c r="N15" i="38" s="1"/>
  <c r="M10" i="41"/>
  <c r="R9" i="41"/>
  <c r="Q9" i="41"/>
  <c r="P9" i="41"/>
  <c r="O9" i="41"/>
  <c r="N9" i="41"/>
  <c r="N14" i="39" s="1"/>
  <c r="M9" i="41"/>
  <c r="R8" i="41"/>
  <c r="R13" i="39" s="1"/>
  <c r="Q8" i="41"/>
  <c r="P8" i="41"/>
  <c r="O8" i="41"/>
  <c r="N8" i="41"/>
  <c r="N13" i="39" s="1"/>
  <c r="M8" i="41"/>
  <c r="M13" i="38" s="1"/>
  <c r="M7" i="41"/>
  <c r="W198" i="40"/>
  <c r="V198" i="40"/>
  <c r="U198" i="40"/>
  <c r="T198" i="40"/>
  <c r="S198" i="40"/>
  <c r="R198" i="40"/>
  <c r="Q198" i="40"/>
  <c r="P198" i="40"/>
  <c r="O198" i="40"/>
  <c r="N198" i="40"/>
  <c r="M198" i="40"/>
  <c r="L198" i="40"/>
  <c r="K198" i="40"/>
  <c r="J198" i="40"/>
  <c r="I198" i="40"/>
  <c r="H198" i="40"/>
  <c r="G198" i="40"/>
  <c r="F198" i="40"/>
  <c r="E198" i="40"/>
  <c r="D198" i="40"/>
  <c r="C198" i="40"/>
  <c r="W197" i="40"/>
  <c r="V197" i="40"/>
  <c r="U197" i="40"/>
  <c r="T197" i="40"/>
  <c r="S197" i="40"/>
  <c r="R197" i="40"/>
  <c r="Q197" i="40"/>
  <c r="P197" i="40"/>
  <c r="O197" i="40"/>
  <c r="N197" i="40"/>
  <c r="M197" i="40"/>
  <c r="L197" i="40"/>
  <c r="K197" i="40"/>
  <c r="J197" i="40"/>
  <c r="I197" i="40"/>
  <c r="H197" i="40"/>
  <c r="G197" i="40"/>
  <c r="F197" i="40"/>
  <c r="E197" i="40"/>
  <c r="D197" i="40"/>
  <c r="C197" i="40"/>
  <c r="M196" i="40"/>
  <c r="M193" i="40" s="1"/>
  <c r="D196" i="40"/>
  <c r="C196" i="40"/>
  <c r="C193" i="40" s="1"/>
  <c r="M195" i="40"/>
  <c r="M199" i="40" s="1"/>
  <c r="M200" i="40" s="1"/>
  <c r="D195" i="40"/>
  <c r="C195" i="40"/>
  <c r="AB192" i="40"/>
  <c r="AA192" i="40"/>
  <c r="Z192" i="40"/>
  <c r="Y192" i="40"/>
  <c r="W192" i="40"/>
  <c r="W196" i="40" s="1"/>
  <c r="N192" i="40"/>
  <c r="N196" i="40" s="1"/>
  <c r="E192" i="40"/>
  <c r="K192" i="40" s="1"/>
  <c r="W188" i="40"/>
  <c r="V188" i="40"/>
  <c r="U188" i="40"/>
  <c r="T188" i="40"/>
  <c r="S188" i="40"/>
  <c r="R188" i="40"/>
  <c r="Q188" i="40"/>
  <c r="P188" i="40"/>
  <c r="O188" i="40"/>
  <c r="N188" i="40"/>
  <c r="M188" i="40"/>
  <c r="L188" i="40"/>
  <c r="K188" i="40"/>
  <c r="J188" i="40"/>
  <c r="I188" i="40"/>
  <c r="H188" i="40"/>
  <c r="G188" i="40"/>
  <c r="F188" i="40"/>
  <c r="E188" i="40"/>
  <c r="D188" i="40"/>
  <c r="C188" i="40"/>
  <c r="W187" i="40"/>
  <c r="V187" i="40"/>
  <c r="U187" i="40"/>
  <c r="T187" i="40"/>
  <c r="S187" i="40"/>
  <c r="R187" i="40"/>
  <c r="Q187" i="40"/>
  <c r="P187" i="40"/>
  <c r="O187" i="40"/>
  <c r="N187" i="40"/>
  <c r="M187" i="40"/>
  <c r="L187" i="40"/>
  <c r="K187" i="40"/>
  <c r="J187" i="40"/>
  <c r="I187" i="40"/>
  <c r="H187" i="40"/>
  <c r="G187" i="40"/>
  <c r="F187" i="40"/>
  <c r="E187" i="40"/>
  <c r="D187" i="40"/>
  <c r="C187" i="40"/>
  <c r="M186" i="40"/>
  <c r="M183" i="40" s="1"/>
  <c r="D186" i="40"/>
  <c r="D183" i="40" s="1"/>
  <c r="C186" i="40"/>
  <c r="M185" i="40"/>
  <c r="D185" i="40"/>
  <c r="C185" i="40"/>
  <c r="C189" i="40" s="1"/>
  <c r="C190" i="40" s="1"/>
  <c r="AB182" i="40"/>
  <c r="AA182" i="40"/>
  <c r="Z182" i="40"/>
  <c r="Y182" i="40"/>
  <c r="W182" i="40"/>
  <c r="W186" i="40" s="1"/>
  <c r="N182" i="40"/>
  <c r="E182" i="40"/>
  <c r="I182" i="40" s="1"/>
  <c r="I185" i="40" s="1"/>
  <c r="W178" i="40"/>
  <c r="V178" i="40"/>
  <c r="U178" i="40"/>
  <c r="T178" i="40"/>
  <c r="S178" i="40"/>
  <c r="R178" i="40"/>
  <c r="Q178" i="40"/>
  <c r="P178" i="40"/>
  <c r="O178" i="40"/>
  <c r="N178" i="40"/>
  <c r="M178" i="40"/>
  <c r="L178" i="40"/>
  <c r="K178" i="40"/>
  <c r="J178" i="40"/>
  <c r="I178" i="40"/>
  <c r="H178" i="40"/>
  <c r="G178" i="40"/>
  <c r="F178" i="40"/>
  <c r="E178" i="40"/>
  <c r="D178" i="40"/>
  <c r="C178" i="40"/>
  <c r="W177" i="40"/>
  <c r="V177" i="40"/>
  <c r="U177" i="40"/>
  <c r="T177" i="40"/>
  <c r="S177" i="40"/>
  <c r="R177" i="40"/>
  <c r="Q177" i="40"/>
  <c r="P177" i="40"/>
  <c r="O177" i="40"/>
  <c r="N177" i="40"/>
  <c r="M177" i="40"/>
  <c r="L177" i="40"/>
  <c r="K177" i="40"/>
  <c r="J177" i="40"/>
  <c r="I177" i="40"/>
  <c r="H177" i="40"/>
  <c r="G177" i="40"/>
  <c r="F177" i="40"/>
  <c r="E177" i="40"/>
  <c r="D177" i="40"/>
  <c r="C177" i="40"/>
  <c r="M176" i="40"/>
  <c r="D176" i="40"/>
  <c r="C176" i="40"/>
  <c r="M175" i="40"/>
  <c r="D175" i="40"/>
  <c r="C175" i="40"/>
  <c r="X173" i="40"/>
  <c r="M173" i="40"/>
  <c r="AB172" i="40"/>
  <c r="AA172" i="40"/>
  <c r="Z172" i="40"/>
  <c r="Y172" i="40"/>
  <c r="W172" i="40"/>
  <c r="W176" i="40" s="1"/>
  <c r="N172" i="40"/>
  <c r="N176" i="40" s="1"/>
  <c r="H172" i="40"/>
  <c r="E172" i="40"/>
  <c r="E176" i="40" s="1"/>
  <c r="W168" i="40"/>
  <c r="V168" i="40"/>
  <c r="U168" i="40"/>
  <c r="T168" i="40"/>
  <c r="S168" i="40"/>
  <c r="R168" i="40"/>
  <c r="Q168" i="40"/>
  <c r="P168" i="40"/>
  <c r="O168" i="40"/>
  <c r="N168" i="40"/>
  <c r="M168" i="40"/>
  <c r="L168" i="40"/>
  <c r="K168" i="40"/>
  <c r="J168" i="40"/>
  <c r="I168" i="40"/>
  <c r="H168" i="40"/>
  <c r="G168" i="40"/>
  <c r="F168" i="40"/>
  <c r="E168" i="40"/>
  <c r="D168" i="40"/>
  <c r="C168" i="40"/>
  <c r="W167" i="40"/>
  <c r="V167" i="40"/>
  <c r="U167" i="40"/>
  <c r="T167" i="40"/>
  <c r="S167" i="40"/>
  <c r="R167" i="40"/>
  <c r="Q167" i="40"/>
  <c r="P167" i="40"/>
  <c r="O167" i="40"/>
  <c r="N167" i="40"/>
  <c r="M167" i="40"/>
  <c r="L167" i="40"/>
  <c r="K167" i="40"/>
  <c r="J167" i="40"/>
  <c r="I167" i="40"/>
  <c r="H167" i="40"/>
  <c r="G167" i="40"/>
  <c r="F167" i="40"/>
  <c r="E167" i="40"/>
  <c r="D167" i="40"/>
  <c r="C167" i="40"/>
  <c r="M166" i="40"/>
  <c r="M163" i="40" s="1"/>
  <c r="D166" i="40"/>
  <c r="D163" i="40" s="1"/>
  <c r="C166" i="40"/>
  <c r="M165" i="40"/>
  <c r="D165" i="40"/>
  <c r="C165" i="40"/>
  <c r="AB162" i="40"/>
  <c r="AA162" i="40"/>
  <c r="Z162" i="40"/>
  <c r="Y162" i="40"/>
  <c r="W162" i="40"/>
  <c r="W166" i="40" s="1"/>
  <c r="N162" i="40"/>
  <c r="N165" i="40" s="1"/>
  <c r="E162" i="40"/>
  <c r="L162" i="40" s="1"/>
  <c r="W158" i="40"/>
  <c r="V158" i="40"/>
  <c r="U158" i="40"/>
  <c r="T158" i="40"/>
  <c r="S158" i="40"/>
  <c r="R158" i="40"/>
  <c r="Q158" i="40"/>
  <c r="P158" i="40"/>
  <c r="O158" i="40"/>
  <c r="N158" i="40"/>
  <c r="M158" i="40"/>
  <c r="L158" i="40"/>
  <c r="K158" i="40"/>
  <c r="J158" i="40"/>
  <c r="I158" i="40"/>
  <c r="H158" i="40"/>
  <c r="G158" i="40"/>
  <c r="F158" i="40"/>
  <c r="E158" i="40"/>
  <c r="D158" i="40"/>
  <c r="C158" i="40"/>
  <c r="W157" i="40"/>
  <c r="V157" i="40"/>
  <c r="U157" i="40"/>
  <c r="T157" i="40"/>
  <c r="S157" i="40"/>
  <c r="R157" i="40"/>
  <c r="Q157" i="40"/>
  <c r="P157" i="40"/>
  <c r="O157" i="40"/>
  <c r="N157" i="40"/>
  <c r="M157" i="40"/>
  <c r="L157" i="40"/>
  <c r="K157" i="40"/>
  <c r="J157" i="40"/>
  <c r="I157" i="40"/>
  <c r="H157" i="40"/>
  <c r="G157" i="40"/>
  <c r="F157" i="40"/>
  <c r="E157" i="40"/>
  <c r="D157" i="40"/>
  <c r="C157" i="40"/>
  <c r="M156" i="40"/>
  <c r="D156" i="40"/>
  <c r="D153" i="40" s="1"/>
  <c r="C156" i="40"/>
  <c r="M155" i="40"/>
  <c r="D155" i="40"/>
  <c r="C155" i="40"/>
  <c r="AB152" i="40"/>
  <c r="AA152" i="40"/>
  <c r="Z152" i="40"/>
  <c r="Y152" i="40"/>
  <c r="W152" i="40"/>
  <c r="W155" i="40" s="1"/>
  <c r="N152" i="40"/>
  <c r="N156" i="40" s="1"/>
  <c r="E152" i="40"/>
  <c r="J152" i="40" s="1"/>
  <c r="W148" i="40"/>
  <c r="V148" i="40"/>
  <c r="U148" i="40"/>
  <c r="T148" i="40"/>
  <c r="S148" i="40"/>
  <c r="R148" i="40"/>
  <c r="Q148" i="40"/>
  <c r="P148" i="40"/>
  <c r="O148" i="40"/>
  <c r="N148" i="40"/>
  <c r="M148" i="40"/>
  <c r="L148" i="40"/>
  <c r="K148" i="40"/>
  <c r="J148" i="40"/>
  <c r="I148" i="40"/>
  <c r="H148" i="40"/>
  <c r="G148" i="40"/>
  <c r="F148" i="40"/>
  <c r="E148" i="40"/>
  <c r="D148" i="40"/>
  <c r="C148" i="40"/>
  <c r="W147" i="40"/>
  <c r="V147" i="40"/>
  <c r="U147" i="40"/>
  <c r="T147" i="40"/>
  <c r="S147" i="40"/>
  <c r="R147" i="40"/>
  <c r="Q147" i="40"/>
  <c r="P147" i="40"/>
  <c r="O147" i="40"/>
  <c r="N147" i="40"/>
  <c r="M147" i="40"/>
  <c r="L147" i="40"/>
  <c r="K147" i="40"/>
  <c r="J147" i="40"/>
  <c r="I147" i="40"/>
  <c r="H147" i="40"/>
  <c r="G147" i="40"/>
  <c r="F147" i="40"/>
  <c r="E147" i="40"/>
  <c r="D147" i="40"/>
  <c r="C147" i="40"/>
  <c r="M146" i="40"/>
  <c r="D146" i="40"/>
  <c r="D143" i="40" s="1"/>
  <c r="C146" i="40"/>
  <c r="C143" i="40" s="1"/>
  <c r="M145" i="40"/>
  <c r="D145" i="40"/>
  <c r="C145" i="40"/>
  <c r="X143" i="40"/>
  <c r="M143" i="40"/>
  <c r="AB142" i="40"/>
  <c r="AA142" i="40"/>
  <c r="Z142" i="40"/>
  <c r="Y142" i="40"/>
  <c r="W142" i="40"/>
  <c r="N142" i="40"/>
  <c r="E142" i="40"/>
  <c r="W138" i="40"/>
  <c r="V138" i="40"/>
  <c r="U138" i="40"/>
  <c r="T138" i="40"/>
  <c r="S138" i="40"/>
  <c r="R138" i="40"/>
  <c r="Q138" i="40"/>
  <c r="P138" i="40"/>
  <c r="O138" i="40"/>
  <c r="N138" i="40"/>
  <c r="M138" i="40"/>
  <c r="L138" i="40"/>
  <c r="K138" i="40"/>
  <c r="J138" i="40"/>
  <c r="I138" i="40"/>
  <c r="H138" i="40"/>
  <c r="G138" i="40"/>
  <c r="F138" i="40"/>
  <c r="E138" i="40"/>
  <c r="D138" i="40"/>
  <c r="C138" i="40"/>
  <c r="W137" i="40"/>
  <c r="V137" i="40"/>
  <c r="U137" i="40"/>
  <c r="T137" i="40"/>
  <c r="S137" i="40"/>
  <c r="R137" i="40"/>
  <c r="Q137" i="40"/>
  <c r="P137" i="40"/>
  <c r="O137" i="40"/>
  <c r="N137" i="40"/>
  <c r="M137" i="40"/>
  <c r="L137" i="40"/>
  <c r="K137" i="40"/>
  <c r="J137" i="40"/>
  <c r="I137" i="40"/>
  <c r="H137" i="40"/>
  <c r="G137" i="40"/>
  <c r="F137" i="40"/>
  <c r="E137" i="40"/>
  <c r="D137" i="40"/>
  <c r="C137" i="40"/>
  <c r="M136" i="40"/>
  <c r="D136" i="40"/>
  <c r="C136" i="40"/>
  <c r="M135" i="40"/>
  <c r="D135" i="40"/>
  <c r="C135" i="40"/>
  <c r="AB132" i="40"/>
  <c r="AA132" i="40"/>
  <c r="Z132" i="40"/>
  <c r="Y132" i="40"/>
  <c r="W132" i="40"/>
  <c r="W136" i="40" s="1"/>
  <c r="N132" i="40"/>
  <c r="N135" i="40" s="1"/>
  <c r="E132" i="40"/>
  <c r="E136" i="40" s="1"/>
  <c r="W128" i="40"/>
  <c r="V128" i="40"/>
  <c r="U128" i="40"/>
  <c r="T128" i="40"/>
  <c r="S128" i="40"/>
  <c r="R128" i="40"/>
  <c r="Q128" i="40"/>
  <c r="P128" i="40"/>
  <c r="O128" i="40"/>
  <c r="N128" i="40"/>
  <c r="M128" i="40"/>
  <c r="L128" i="40"/>
  <c r="K128" i="40"/>
  <c r="J128" i="40"/>
  <c r="I128" i="40"/>
  <c r="H128" i="40"/>
  <c r="G128" i="40"/>
  <c r="F128" i="40"/>
  <c r="E128" i="40"/>
  <c r="D128" i="40"/>
  <c r="C128" i="40"/>
  <c r="W127" i="40"/>
  <c r="V127" i="40"/>
  <c r="U127" i="40"/>
  <c r="T127" i="40"/>
  <c r="S127" i="40"/>
  <c r="R127" i="40"/>
  <c r="Q127" i="40"/>
  <c r="P127" i="40"/>
  <c r="O127" i="40"/>
  <c r="N127" i="40"/>
  <c r="M127" i="40"/>
  <c r="L127" i="40"/>
  <c r="K127" i="40"/>
  <c r="J127" i="40"/>
  <c r="I127" i="40"/>
  <c r="H127" i="40"/>
  <c r="G127" i="40"/>
  <c r="F127" i="40"/>
  <c r="E127" i="40"/>
  <c r="D127" i="40"/>
  <c r="C127" i="40"/>
  <c r="M126" i="40"/>
  <c r="D126" i="40"/>
  <c r="C126" i="40"/>
  <c r="C123" i="40" s="1"/>
  <c r="M125" i="40"/>
  <c r="D125" i="40"/>
  <c r="C125" i="40"/>
  <c r="AB122" i="40"/>
  <c r="AA122" i="40"/>
  <c r="Z122" i="40"/>
  <c r="Y122" i="40"/>
  <c r="W122" i="40"/>
  <c r="W125" i="40" s="1"/>
  <c r="N122" i="40"/>
  <c r="N125" i="40" s="1"/>
  <c r="E122" i="40"/>
  <c r="E126" i="40" s="1"/>
  <c r="W118" i="40"/>
  <c r="V118" i="40"/>
  <c r="U118" i="40"/>
  <c r="T118" i="40"/>
  <c r="S118" i="40"/>
  <c r="R118" i="40"/>
  <c r="Q118" i="40"/>
  <c r="P118" i="40"/>
  <c r="O118" i="40"/>
  <c r="N118" i="40"/>
  <c r="M118" i="40"/>
  <c r="L118" i="40"/>
  <c r="K118" i="40"/>
  <c r="J118" i="40"/>
  <c r="I118" i="40"/>
  <c r="H118" i="40"/>
  <c r="G118" i="40"/>
  <c r="F118" i="40"/>
  <c r="E118" i="40"/>
  <c r="D118" i="40"/>
  <c r="C118" i="40"/>
  <c r="W117" i="40"/>
  <c r="V117" i="40"/>
  <c r="U117" i="40"/>
  <c r="T117" i="40"/>
  <c r="S117" i="40"/>
  <c r="R117" i="40"/>
  <c r="Q117" i="40"/>
  <c r="P117" i="40"/>
  <c r="O117" i="40"/>
  <c r="N117" i="40"/>
  <c r="M117" i="40"/>
  <c r="L117" i="40"/>
  <c r="K117" i="40"/>
  <c r="J117" i="40"/>
  <c r="I117" i="40"/>
  <c r="H117" i="40"/>
  <c r="G117" i="40"/>
  <c r="F117" i="40"/>
  <c r="E117" i="40"/>
  <c r="D117" i="40"/>
  <c r="C117" i="40"/>
  <c r="M116" i="40"/>
  <c r="D116" i="40"/>
  <c r="C116" i="40"/>
  <c r="C113" i="40" s="1"/>
  <c r="M115" i="40"/>
  <c r="D115" i="40"/>
  <c r="C115" i="40"/>
  <c r="AB112" i="40"/>
  <c r="AA112" i="40"/>
  <c r="Z112" i="40"/>
  <c r="Y112" i="40"/>
  <c r="W112" i="40"/>
  <c r="W115" i="40" s="1"/>
  <c r="N112" i="40"/>
  <c r="N116" i="40" s="1"/>
  <c r="E112" i="40"/>
  <c r="J112" i="40" s="1"/>
  <c r="W108" i="40"/>
  <c r="V108" i="40"/>
  <c r="U108" i="40"/>
  <c r="T108" i="40"/>
  <c r="S108" i="40"/>
  <c r="R108" i="40"/>
  <c r="Q108" i="40"/>
  <c r="P108" i="40"/>
  <c r="O108" i="40"/>
  <c r="N108" i="40"/>
  <c r="M108" i="40"/>
  <c r="L108" i="40"/>
  <c r="K108" i="40"/>
  <c r="J108" i="40"/>
  <c r="I108" i="40"/>
  <c r="H108" i="40"/>
  <c r="G108" i="40"/>
  <c r="F108" i="40"/>
  <c r="E108" i="40"/>
  <c r="D108" i="40"/>
  <c r="C108" i="40"/>
  <c r="W107" i="40"/>
  <c r="V107" i="40"/>
  <c r="U107" i="40"/>
  <c r="T107" i="40"/>
  <c r="S107" i="40"/>
  <c r="R107" i="40"/>
  <c r="Q107" i="40"/>
  <c r="P107" i="40"/>
  <c r="O107" i="40"/>
  <c r="N107" i="40"/>
  <c r="M107" i="40"/>
  <c r="L107" i="40"/>
  <c r="K107" i="40"/>
  <c r="J107" i="40"/>
  <c r="I107" i="40"/>
  <c r="H107" i="40"/>
  <c r="G107" i="40"/>
  <c r="F107" i="40"/>
  <c r="E107" i="40"/>
  <c r="D107" i="40"/>
  <c r="C107" i="40"/>
  <c r="M106" i="40"/>
  <c r="M103" i="40" s="1"/>
  <c r="D106" i="40"/>
  <c r="C106" i="40"/>
  <c r="M105" i="40"/>
  <c r="D105" i="40"/>
  <c r="C105" i="40"/>
  <c r="AB102" i="40"/>
  <c r="AA102" i="40"/>
  <c r="Z102" i="40"/>
  <c r="Y102" i="40"/>
  <c r="W102" i="40"/>
  <c r="W106" i="40" s="1"/>
  <c r="N102" i="40"/>
  <c r="N105" i="40" s="1"/>
  <c r="E102" i="40"/>
  <c r="L102" i="40" s="1"/>
  <c r="L105" i="40" s="1"/>
  <c r="W98" i="40"/>
  <c r="V98" i="40"/>
  <c r="U98" i="40"/>
  <c r="T98" i="40"/>
  <c r="S98" i="40"/>
  <c r="R98" i="40"/>
  <c r="Q98" i="40"/>
  <c r="P98" i="40"/>
  <c r="O98" i="40"/>
  <c r="N98" i="40"/>
  <c r="M98" i="40"/>
  <c r="L98" i="40"/>
  <c r="K98" i="40"/>
  <c r="J98" i="40"/>
  <c r="I98" i="40"/>
  <c r="H98" i="40"/>
  <c r="G98" i="40"/>
  <c r="F98" i="40"/>
  <c r="E98" i="40"/>
  <c r="D98" i="40"/>
  <c r="C98" i="40"/>
  <c r="W97" i="40"/>
  <c r="V97" i="40"/>
  <c r="U97" i="40"/>
  <c r="T97" i="40"/>
  <c r="S97" i="40"/>
  <c r="R97" i="40"/>
  <c r="Q97" i="40"/>
  <c r="P97" i="40"/>
  <c r="O97" i="40"/>
  <c r="N97" i="40"/>
  <c r="M97" i="40"/>
  <c r="L97" i="40"/>
  <c r="K97" i="40"/>
  <c r="J97" i="40"/>
  <c r="I97" i="40"/>
  <c r="H97" i="40"/>
  <c r="G97" i="40"/>
  <c r="F97" i="40"/>
  <c r="E97" i="40"/>
  <c r="D97" i="40"/>
  <c r="C97" i="40"/>
  <c r="M96" i="40"/>
  <c r="M93" i="40" s="1"/>
  <c r="D96" i="40"/>
  <c r="D93" i="40" s="1"/>
  <c r="C96" i="40"/>
  <c r="M95" i="40"/>
  <c r="D95" i="40"/>
  <c r="C95" i="40"/>
  <c r="AB92" i="40"/>
  <c r="AA92" i="40"/>
  <c r="Z92" i="40"/>
  <c r="Y92" i="40"/>
  <c r="W92" i="40"/>
  <c r="W96" i="40" s="1"/>
  <c r="N92" i="40"/>
  <c r="N95" i="40" s="1"/>
  <c r="E92" i="40"/>
  <c r="I92" i="40" s="1"/>
  <c r="I95" i="40" s="1"/>
  <c r="W88" i="40"/>
  <c r="V88" i="40"/>
  <c r="U88" i="40"/>
  <c r="T88" i="40"/>
  <c r="S88" i="40"/>
  <c r="R88" i="40"/>
  <c r="Q88" i="40"/>
  <c r="P88" i="40"/>
  <c r="O88" i="40"/>
  <c r="N88" i="40"/>
  <c r="M88" i="40"/>
  <c r="L88" i="40"/>
  <c r="K88" i="40"/>
  <c r="J88" i="40"/>
  <c r="I88" i="40"/>
  <c r="H88" i="40"/>
  <c r="G88" i="40"/>
  <c r="F88" i="40"/>
  <c r="E88" i="40"/>
  <c r="D88" i="40"/>
  <c r="C88" i="40"/>
  <c r="W87" i="40"/>
  <c r="V87" i="40"/>
  <c r="U87" i="40"/>
  <c r="T87" i="40"/>
  <c r="S87" i="40"/>
  <c r="R87" i="40"/>
  <c r="Q87" i="40"/>
  <c r="P87" i="40"/>
  <c r="O87" i="40"/>
  <c r="N87" i="40"/>
  <c r="M87" i="40"/>
  <c r="L87" i="40"/>
  <c r="K87" i="40"/>
  <c r="J87" i="40"/>
  <c r="I87" i="40"/>
  <c r="H87" i="40"/>
  <c r="G87" i="40"/>
  <c r="F87" i="40"/>
  <c r="E87" i="40"/>
  <c r="D87" i="40"/>
  <c r="C87" i="40"/>
  <c r="M86" i="40"/>
  <c r="M83" i="40" s="1"/>
  <c r="D86" i="40"/>
  <c r="C86" i="40"/>
  <c r="M85" i="40"/>
  <c r="D85" i="40"/>
  <c r="C85" i="40"/>
  <c r="AB82" i="40"/>
  <c r="AA82" i="40"/>
  <c r="Z82" i="40"/>
  <c r="Y82" i="40"/>
  <c r="W82" i="40"/>
  <c r="W86" i="40" s="1"/>
  <c r="W83" i="40" s="1"/>
  <c r="N82" i="40"/>
  <c r="N85" i="40" s="1"/>
  <c r="E82" i="40"/>
  <c r="E86" i="40" s="1"/>
  <c r="W78" i="40"/>
  <c r="V78" i="40"/>
  <c r="U78" i="40"/>
  <c r="T78" i="40"/>
  <c r="S78" i="40"/>
  <c r="R78" i="40"/>
  <c r="Q78" i="40"/>
  <c r="P78" i="40"/>
  <c r="O78" i="40"/>
  <c r="N78" i="40"/>
  <c r="M78" i="40"/>
  <c r="L78" i="40"/>
  <c r="K78" i="40"/>
  <c r="J78" i="40"/>
  <c r="I78" i="40"/>
  <c r="H78" i="40"/>
  <c r="G78" i="40"/>
  <c r="F78" i="40"/>
  <c r="E78" i="40"/>
  <c r="D78" i="40"/>
  <c r="C78" i="40"/>
  <c r="W77" i="40"/>
  <c r="V77" i="40"/>
  <c r="U77" i="40"/>
  <c r="T77" i="40"/>
  <c r="S77" i="40"/>
  <c r="R77" i="40"/>
  <c r="Q77" i="40"/>
  <c r="P77" i="40"/>
  <c r="O77" i="40"/>
  <c r="N77" i="40"/>
  <c r="M77" i="40"/>
  <c r="L77" i="40"/>
  <c r="K77" i="40"/>
  <c r="J77" i="40"/>
  <c r="I77" i="40"/>
  <c r="H77" i="40"/>
  <c r="G77" i="40"/>
  <c r="F77" i="40"/>
  <c r="E77" i="40"/>
  <c r="D77" i="40"/>
  <c r="C77" i="40"/>
  <c r="M76" i="40"/>
  <c r="D76" i="40"/>
  <c r="C76" i="40"/>
  <c r="C73" i="40" s="1"/>
  <c r="M75" i="40"/>
  <c r="D75" i="40"/>
  <c r="C75" i="40"/>
  <c r="AB72" i="40"/>
  <c r="AA72" i="40"/>
  <c r="Z72" i="40"/>
  <c r="Y72" i="40"/>
  <c r="W72" i="40"/>
  <c r="W75" i="40" s="1"/>
  <c r="N72" i="40"/>
  <c r="N75" i="40" s="1"/>
  <c r="E72" i="40"/>
  <c r="E76" i="40" s="1"/>
  <c r="W68" i="40"/>
  <c r="V68" i="40"/>
  <c r="U68" i="40"/>
  <c r="T68" i="40"/>
  <c r="S68" i="40"/>
  <c r="R68" i="40"/>
  <c r="Q68" i="40"/>
  <c r="P68" i="40"/>
  <c r="O68" i="40"/>
  <c r="N68" i="40"/>
  <c r="M68" i="40"/>
  <c r="L68" i="40"/>
  <c r="K68" i="40"/>
  <c r="J68" i="40"/>
  <c r="I68" i="40"/>
  <c r="H68" i="40"/>
  <c r="G68" i="40"/>
  <c r="F68" i="40"/>
  <c r="E68" i="40"/>
  <c r="D68" i="40"/>
  <c r="C68" i="40"/>
  <c r="W67" i="40"/>
  <c r="V67" i="40"/>
  <c r="U67" i="40"/>
  <c r="T67" i="40"/>
  <c r="S67" i="40"/>
  <c r="R67" i="40"/>
  <c r="Q67" i="40"/>
  <c r="P67" i="40"/>
  <c r="O67" i="40"/>
  <c r="N67" i="40"/>
  <c r="M67" i="40"/>
  <c r="L67" i="40"/>
  <c r="K67" i="40"/>
  <c r="J67" i="40"/>
  <c r="I67" i="40"/>
  <c r="H67" i="40"/>
  <c r="G67" i="40"/>
  <c r="F67" i="40"/>
  <c r="E67" i="40"/>
  <c r="D67" i="40"/>
  <c r="C67" i="40"/>
  <c r="M66" i="40"/>
  <c r="M63" i="40" s="1"/>
  <c r="D66" i="40"/>
  <c r="C66" i="40"/>
  <c r="M65" i="40"/>
  <c r="D65" i="40"/>
  <c r="C65" i="40"/>
  <c r="AB62" i="40"/>
  <c r="AA62" i="40"/>
  <c r="Z62" i="40"/>
  <c r="Y62" i="40"/>
  <c r="W62" i="40"/>
  <c r="W66" i="40" s="1"/>
  <c r="N62" i="40"/>
  <c r="N66" i="40" s="1"/>
  <c r="E62" i="40"/>
  <c r="J62" i="40" s="1"/>
  <c r="W58" i="40"/>
  <c r="V58" i="40"/>
  <c r="U58" i="40"/>
  <c r="T58" i="40"/>
  <c r="S58" i="40"/>
  <c r="R58" i="40"/>
  <c r="Q58" i="40"/>
  <c r="P58" i="40"/>
  <c r="O58" i="40"/>
  <c r="N58" i="40"/>
  <c r="M58" i="40"/>
  <c r="L58" i="40"/>
  <c r="K58" i="40"/>
  <c r="J58" i="40"/>
  <c r="I58" i="40"/>
  <c r="H58" i="40"/>
  <c r="G58" i="40"/>
  <c r="F58" i="40"/>
  <c r="E58" i="40"/>
  <c r="D58" i="40"/>
  <c r="C58" i="40"/>
  <c r="W57" i="40"/>
  <c r="V57" i="40"/>
  <c r="U57" i="40"/>
  <c r="T57" i="40"/>
  <c r="S57" i="40"/>
  <c r="R57" i="40"/>
  <c r="Q57" i="40"/>
  <c r="P57" i="40"/>
  <c r="O57" i="40"/>
  <c r="N57" i="40"/>
  <c r="M57" i="40"/>
  <c r="L57" i="40"/>
  <c r="K57" i="40"/>
  <c r="J57" i="40"/>
  <c r="I57" i="40"/>
  <c r="H57" i="40"/>
  <c r="G57" i="40"/>
  <c r="F57" i="40"/>
  <c r="E57" i="40"/>
  <c r="D57" i="40"/>
  <c r="C57" i="40"/>
  <c r="M56" i="40"/>
  <c r="D56" i="40"/>
  <c r="C56" i="40"/>
  <c r="M55" i="40"/>
  <c r="D55" i="40"/>
  <c r="C55" i="40"/>
  <c r="AB52" i="40"/>
  <c r="AA52" i="40"/>
  <c r="Z52" i="40"/>
  <c r="Y52" i="40"/>
  <c r="W52" i="40"/>
  <c r="W55" i="40" s="1"/>
  <c r="N52" i="40"/>
  <c r="N55" i="40" s="1"/>
  <c r="E52" i="40"/>
  <c r="E56" i="40" s="1"/>
  <c r="B44" i="40"/>
  <c r="B43" i="40"/>
  <c r="A43" i="40"/>
  <c r="B42" i="40"/>
  <c r="B41" i="40"/>
  <c r="A41" i="40"/>
  <c r="B40" i="40"/>
  <c r="B39" i="40"/>
  <c r="A39" i="40"/>
  <c r="B38" i="40"/>
  <c r="B37" i="40"/>
  <c r="A37" i="40"/>
  <c r="B36" i="40"/>
  <c r="B35" i="40"/>
  <c r="A35" i="40"/>
  <c r="B34" i="40"/>
  <c r="B33" i="40"/>
  <c r="A33" i="40"/>
  <c r="B32" i="40"/>
  <c r="B31" i="40"/>
  <c r="A31" i="40"/>
  <c r="B30" i="40"/>
  <c r="B29" i="40"/>
  <c r="A29" i="40"/>
  <c r="B28" i="40"/>
  <c r="B27" i="40"/>
  <c r="A27" i="40"/>
  <c r="B26" i="40"/>
  <c r="B25" i="40"/>
  <c r="A25" i="40"/>
  <c r="B24" i="40"/>
  <c r="B23" i="40"/>
  <c r="A23" i="40"/>
  <c r="B22" i="40"/>
  <c r="B21" i="40"/>
  <c r="A21" i="40"/>
  <c r="B20" i="40"/>
  <c r="B19" i="40"/>
  <c r="A19" i="40"/>
  <c r="B18" i="40"/>
  <c r="B17" i="40"/>
  <c r="A17" i="40"/>
  <c r="B16" i="40"/>
  <c r="B15" i="40"/>
  <c r="A15" i="40"/>
  <c r="P24" i="39"/>
  <c r="P25" i="39" s="1"/>
  <c r="N24" i="39"/>
  <c r="P19" i="39"/>
  <c r="P20" i="39" s="1"/>
  <c r="P22" i="39" s="1"/>
  <c r="N19" i="39"/>
  <c r="M19" i="39"/>
  <c r="N15" i="39"/>
  <c r="N19" i="38"/>
  <c r="M19" i="38"/>
  <c r="N14" i="38"/>
  <c r="N21" i="38" l="1"/>
  <c r="N25" i="38"/>
  <c r="M13" i="39"/>
  <c r="N13" i="38"/>
  <c r="G52" i="40"/>
  <c r="G56" i="40" s="1"/>
  <c r="G62" i="40"/>
  <c r="M59" i="40"/>
  <c r="M60" i="40" s="1"/>
  <c r="D53" i="40"/>
  <c r="M69" i="40"/>
  <c r="M70" i="40" s="1"/>
  <c r="N17" i="38"/>
  <c r="G72" i="40"/>
  <c r="G75" i="40" s="1"/>
  <c r="H102" i="40"/>
  <c r="W133" i="40"/>
  <c r="N23" i="39"/>
  <c r="W56" i="40"/>
  <c r="W53" i="40" s="1"/>
  <c r="M53" i="40"/>
  <c r="W103" i="40"/>
  <c r="D119" i="40"/>
  <c r="D120" i="40" s="1"/>
  <c r="C159" i="40"/>
  <c r="C160" i="40" s="1"/>
  <c r="W183" i="40"/>
  <c r="C179" i="40"/>
  <c r="C180" i="40" s="1"/>
  <c r="R13" i="38"/>
  <c r="R21" i="38"/>
  <c r="N16" i="39"/>
  <c r="R23" i="39"/>
  <c r="H52" i="40"/>
  <c r="H55" i="40" s="1"/>
  <c r="C53" i="40"/>
  <c r="D129" i="40"/>
  <c r="D130" i="40" s="1"/>
  <c r="F132" i="40"/>
  <c r="F135" i="40" s="1"/>
  <c r="J132" i="40"/>
  <c r="J135" i="40" s="1"/>
  <c r="R20" i="38"/>
  <c r="C89" i="40"/>
  <c r="C90" i="40" s="1"/>
  <c r="N126" i="40"/>
  <c r="O82" i="40"/>
  <c r="V82" i="40" s="1"/>
  <c r="D189" i="40"/>
  <c r="D190" i="40" s="1"/>
  <c r="C199" i="40"/>
  <c r="C200" i="40" s="1"/>
  <c r="N20" i="39"/>
  <c r="N22" i="39"/>
  <c r="K52" i="40"/>
  <c r="K56" i="40" s="1"/>
  <c r="K53" i="40" s="1"/>
  <c r="E65" i="40"/>
  <c r="O72" i="40"/>
  <c r="O75" i="40" s="1"/>
  <c r="D79" i="40"/>
  <c r="D80" i="40" s="1"/>
  <c r="C83" i="40"/>
  <c r="C99" i="40"/>
  <c r="C100" i="40" s="1"/>
  <c r="C103" i="40"/>
  <c r="M119" i="40"/>
  <c r="M120" i="40" s="1"/>
  <c r="G122" i="40"/>
  <c r="G125" i="40" s="1"/>
  <c r="C133" i="40"/>
  <c r="C63" i="40"/>
  <c r="M139" i="40"/>
  <c r="M140" i="40" s="1"/>
  <c r="D63" i="40"/>
  <c r="O112" i="40"/>
  <c r="Q112" i="40" s="1"/>
  <c r="Q116" i="40" s="1"/>
  <c r="Q113" i="40" s="1"/>
  <c r="F122" i="40"/>
  <c r="F126" i="40" s="1"/>
  <c r="O122" i="40"/>
  <c r="O126" i="40" s="1"/>
  <c r="O123" i="40" s="1"/>
  <c r="M133" i="40"/>
  <c r="F192" i="40"/>
  <c r="F196" i="40" s="1"/>
  <c r="F193" i="40" s="1"/>
  <c r="F52" i="40"/>
  <c r="F56" i="40" s="1"/>
  <c r="F53" i="40" s="1"/>
  <c r="L52" i="40"/>
  <c r="L55" i="40" s="1"/>
  <c r="E55" i="40"/>
  <c r="E59" i="40" s="1"/>
  <c r="E60" i="40" s="1"/>
  <c r="F72" i="40"/>
  <c r="F76" i="40" s="1"/>
  <c r="W76" i="40"/>
  <c r="W73" i="40" s="1"/>
  <c r="M73" i="40"/>
  <c r="F82" i="40"/>
  <c r="F85" i="40" s="1"/>
  <c r="D83" i="40"/>
  <c r="L106" i="40"/>
  <c r="J122" i="40"/>
  <c r="J126" i="40" s="1"/>
  <c r="J123" i="40" s="1"/>
  <c r="F136" i="40"/>
  <c r="F133" i="40" s="1"/>
  <c r="D133" i="40"/>
  <c r="M149" i="40"/>
  <c r="M150" i="40" s="1"/>
  <c r="D159" i="40"/>
  <c r="D160" i="40" s="1"/>
  <c r="G172" i="40"/>
  <c r="G176" i="40" s="1"/>
  <c r="W193" i="40"/>
  <c r="N56" i="40"/>
  <c r="N53" i="40" s="1"/>
  <c r="J52" i="40"/>
  <c r="J56" i="40" s="1"/>
  <c r="J53" i="40" s="1"/>
  <c r="O52" i="40"/>
  <c r="S52" i="40" s="1"/>
  <c r="C59" i="40"/>
  <c r="C60" i="40" s="1"/>
  <c r="H62" i="40"/>
  <c r="W63" i="40"/>
  <c r="J72" i="40"/>
  <c r="J76" i="40" s="1"/>
  <c r="J73" i="40" s="1"/>
  <c r="P72" i="40"/>
  <c r="P76" i="40" s="1"/>
  <c r="P73" i="40" s="1"/>
  <c r="M79" i="40"/>
  <c r="M80" i="40" s="1"/>
  <c r="J82" i="40"/>
  <c r="J85" i="40" s="1"/>
  <c r="N86" i="40"/>
  <c r="N83" i="40" s="1"/>
  <c r="W93" i="40"/>
  <c r="D99" i="40"/>
  <c r="D100" i="40" s="1"/>
  <c r="C109" i="40"/>
  <c r="C110" i="40" s="1"/>
  <c r="F112" i="40"/>
  <c r="F116" i="40" s="1"/>
  <c r="F113" i="40" s="1"/>
  <c r="L112" i="40"/>
  <c r="L115" i="40" s="1"/>
  <c r="K122" i="40"/>
  <c r="K125" i="40" s="1"/>
  <c r="C129" i="40"/>
  <c r="C130" i="40" s="1"/>
  <c r="D123" i="40"/>
  <c r="O132" i="40"/>
  <c r="O135" i="40" s="1"/>
  <c r="C139" i="40"/>
  <c r="C140" i="40" s="1"/>
  <c r="N136" i="40"/>
  <c r="N133" i="40" s="1"/>
  <c r="G152" i="40"/>
  <c r="W156" i="40"/>
  <c r="W153" i="40" s="1"/>
  <c r="M153" i="40"/>
  <c r="M169" i="40"/>
  <c r="M170" i="40" s="1"/>
  <c r="K172" i="40"/>
  <c r="C173" i="40"/>
  <c r="M189" i="40"/>
  <c r="M190" i="40" s="1"/>
  <c r="H192" i="40"/>
  <c r="O192" i="40"/>
  <c r="P192" i="40" s="1"/>
  <c r="D193" i="40"/>
  <c r="D59" i="40"/>
  <c r="D60" i="40" s="1"/>
  <c r="K62" i="40"/>
  <c r="K66" i="40" s="1"/>
  <c r="C69" i="40"/>
  <c r="C70" i="40" s="1"/>
  <c r="K72" i="40"/>
  <c r="K75" i="40" s="1"/>
  <c r="C79" i="40"/>
  <c r="C80" i="40" s="1"/>
  <c r="N76" i="40"/>
  <c r="M99" i="40"/>
  <c r="M100" i="40" s="1"/>
  <c r="G112" i="40"/>
  <c r="G115" i="40" s="1"/>
  <c r="D113" i="40"/>
  <c r="C119" i="40"/>
  <c r="C120" i="40" s="1"/>
  <c r="W116" i="40"/>
  <c r="W113" i="40" s="1"/>
  <c r="M113" i="40"/>
  <c r="W126" i="40"/>
  <c r="W123" i="40" s="1"/>
  <c r="M123" i="40"/>
  <c r="D139" i="40"/>
  <c r="D140" i="40" s="1"/>
  <c r="C149" i="40"/>
  <c r="C150" i="40" s="1"/>
  <c r="H152" i="40"/>
  <c r="L172" i="40"/>
  <c r="L176" i="40" s="1"/>
  <c r="W175" i="40"/>
  <c r="C183" i="40"/>
  <c r="J192" i="40"/>
  <c r="J196" i="40" s="1"/>
  <c r="J193" i="40" s="1"/>
  <c r="E195" i="40"/>
  <c r="L62" i="40"/>
  <c r="L65" i="40" s="1"/>
  <c r="D69" i="40"/>
  <c r="D70" i="40" s="1"/>
  <c r="D73" i="40"/>
  <c r="M109" i="40"/>
  <c r="M110" i="40" s="1"/>
  <c r="H112" i="40"/>
  <c r="H115" i="40" s="1"/>
  <c r="E115" i="40"/>
  <c r="M129" i="40"/>
  <c r="M130" i="40" s="1"/>
  <c r="D149" i="40"/>
  <c r="D150" i="40" s="1"/>
  <c r="K152" i="40"/>
  <c r="C153" i="40"/>
  <c r="C169" i="40"/>
  <c r="C170" i="40" s="1"/>
  <c r="C163" i="40"/>
  <c r="W173" i="40"/>
  <c r="L192" i="40"/>
  <c r="L195" i="40" s="1"/>
  <c r="G76" i="40"/>
  <c r="M89" i="40"/>
  <c r="M90" i="40" s="1"/>
  <c r="C93" i="40"/>
  <c r="K112" i="40"/>
  <c r="K115" i="40" s="1"/>
  <c r="L152" i="40"/>
  <c r="E155" i="40"/>
  <c r="D169" i="40"/>
  <c r="D170" i="40" s="1"/>
  <c r="D173" i="40"/>
  <c r="G53" i="40"/>
  <c r="P23" i="39"/>
  <c r="P21" i="39"/>
  <c r="E53" i="40"/>
  <c r="L56" i="40"/>
  <c r="J66" i="40"/>
  <c r="J65" i="40"/>
  <c r="E83" i="40"/>
  <c r="I52" i="40"/>
  <c r="F55" i="40"/>
  <c r="F59" i="40" s="1"/>
  <c r="F60" i="40" s="1"/>
  <c r="G66" i="40"/>
  <c r="G65" i="40"/>
  <c r="N63" i="40"/>
  <c r="E73" i="40"/>
  <c r="W85" i="40"/>
  <c r="N96" i="40"/>
  <c r="O92" i="40"/>
  <c r="E146" i="40"/>
  <c r="E145" i="40"/>
  <c r="L142" i="40"/>
  <c r="H142" i="40"/>
  <c r="K142" i="40"/>
  <c r="G142" i="40"/>
  <c r="J142" i="40"/>
  <c r="F142" i="40"/>
  <c r="I142" i="40"/>
  <c r="N113" i="40"/>
  <c r="J156" i="40"/>
  <c r="J155" i="40"/>
  <c r="G55" i="40"/>
  <c r="G59" i="40" s="1"/>
  <c r="G60" i="40" s="1"/>
  <c r="F73" i="40"/>
  <c r="D109" i="40"/>
  <c r="D110" i="40" s="1"/>
  <c r="D103" i="40"/>
  <c r="P75" i="40"/>
  <c r="P79" i="40" s="1"/>
  <c r="P80" i="40" s="1"/>
  <c r="I96" i="40"/>
  <c r="K65" i="40"/>
  <c r="D89" i="40"/>
  <c r="D90" i="40" s="1"/>
  <c r="E95" i="40"/>
  <c r="L92" i="40"/>
  <c r="H92" i="40"/>
  <c r="K92" i="40"/>
  <c r="G92" i="40"/>
  <c r="J92" i="40"/>
  <c r="F92" i="40"/>
  <c r="E96" i="40"/>
  <c r="H105" i="40"/>
  <c r="H106" i="40"/>
  <c r="L109" i="40"/>
  <c r="L110" i="40" s="1"/>
  <c r="L103" i="40"/>
  <c r="L165" i="40"/>
  <c r="L166" i="40"/>
  <c r="I62" i="40"/>
  <c r="N65" i="40"/>
  <c r="N69" i="40" s="1"/>
  <c r="N70" i="40" s="1"/>
  <c r="E66" i="40"/>
  <c r="H72" i="40"/>
  <c r="L72" i="40"/>
  <c r="Q72" i="40"/>
  <c r="E75" i="40"/>
  <c r="E79" i="40" s="1"/>
  <c r="E80" i="40" s="1"/>
  <c r="G82" i="40"/>
  <c r="K82" i="40"/>
  <c r="W95" i="40"/>
  <c r="I102" i="40"/>
  <c r="E105" i="40"/>
  <c r="E106" i="40"/>
  <c r="E133" i="40"/>
  <c r="Q132" i="40"/>
  <c r="F62" i="40"/>
  <c r="O62" i="40"/>
  <c r="W65" i="40"/>
  <c r="I72" i="40"/>
  <c r="R72" i="40"/>
  <c r="H82" i="40"/>
  <c r="L82" i="40"/>
  <c r="E85" i="40"/>
  <c r="E89" i="40" s="1"/>
  <c r="E90" i="40" s="1"/>
  <c r="J116" i="40"/>
  <c r="J115" i="40"/>
  <c r="K116" i="40"/>
  <c r="E123" i="40"/>
  <c r="W135" i="40"/>
  <c r="J136" i="40"/>
  <c r="N146" i="40"/>
  <c r="N145" i="40"/>
  <c r="N143" i="40"/>
  <c r="O142" i="40"/>
  <c r="S72" i="40"/>
  <c r="I82" i="40"/>
  <c r="K102" i="40"/>
  <c r="G102" i="40"/>
  <c r="J102" i="40"/>
  <c r="F102" i="40"/>
  <c r="N106" i="40"/>
  <c r="O102" i="40"/>
  <c r="F123" i="40"/>
  <c r="W105" i="40"/>
  <c r="I112" i="40"/>
  <c r="N115" i="40"/>
  <c r="N119" i="40" s="1"/>
  <c r="N120" i="40" s="1"/>
  <c r="E116" i="40"/>
  <c r="H122" i="40"/>
  <c r="L122" i="40"/>
  <c r="Q122" i="40"/>
  <c r="U122" i="40"/>
  <c r="E125" i="40"/>
  <c r="E129" i="40" s="1"/>
  <c r="E130" i="40" s="1"/>
  <c r="G132" i="40"/>
  <c r="K132" i="40"/>
  <c r="W146" i="40"/>
  <c r="W143" i="40" s="1"/>
  <c r="W145" i="40"/>
  <c r="N153" i="40"/>
  <c r="I122" i="40"/>
  <c r="V122" i="40"/>
  <c r="F125" i="40"/>
  <c r="F129" i="40" s="1"/>
  <c r="F130" i="40" s="1"/>
  <c r="H132" i="40"/>
  <c r="L132" i="40"/>
  <c r="E135" i="40"/>
  <c r="E139" i="40" s="1"/>
  <c r="E140" i="40" s="1"/>
  <c r="M159" i="40"/>
  <c r="M160" i="40" s="1"/>
  <c r="I132" i="40"/>
  <c r="K162" i="40"/>
  <c r="G162" i="40"/>
  <c r="J162" i="40"/>
  <c r="F162" i="40"/>
  <c r="N166" i="40"/>
  <c r="O162" i="40"/>
  <c r="P73" i="41"/>
  <c r="P71" i="41"/>
  <c r="I152" i="40"/>
  <c r="N155" i="40"/>
  <c r="N159" i="40" s="1"/>
  <c r="N160" i="40" s="1"/>
  <c r="E156" i="40"/>
  <c r="H162" i="40"/>
  <c r="W163" i="40"/>
  <c r="H176" i="40"/>
  <c r="H173" i="40" s="1"/>
  <c r="H175" i="40"/>
  <c r="F152" i="40"/>
  <c r="O152" i="40"/>
  <c r="I162" i="40"/>
  <c r="E165" i="40"/>
  <c r="E166" i="40"/>
  <c r="I186" i="40"/>
  <c r="I183" i="40" s="1"/>
  <c r="N186" i="40"/>
  <c r="O182" i="40"/>
  <c r="K196" i="40"/>
  <c r="K193" i="40" s="1"/>
  <c r="K195" i="40"/>
  <c r="D199" i="40"/>
  <c r="D200" i="40" s="1"/>
  <c r="W165" i="40"/>
  <c r="I172" i="40"/>
  <c r="E173" i="40"/>
  <c r="E175" i="40"/>
  <c r="E179" i="40" s="1"/>
  <c r="E180" i="40" s="1"/>
  <c r="D179" i="40"/>
  <c r="D180" i="40" s="1"/>
  <c r="M179" i="40"/>
  <c r="M180" i="40" s="1"/>
  <c r="N185" i="40"/>
  <c r="N193" i="40"/>
  <c r="F172" i="40"/>
  <c r="J172" i="40"/>
  <c r="O172" i="40"/>
  <c r="N173" i="40"/>
  <c r="N175" i="40"/>
  <c r="N179" i="40" s="1"/>
  <c r="N180" i="40" s="1"/>
  <c r="E185" i="40"/>
  <c r="L182" i="40"/>
  <c r="H182" i="40"/>
  <c r="K182" i="40"/>
  <c r="G182" i="40"/>
  <c r="J182" i="40"/>
  <c r="F182" i="40"/>
  <c r="E186" i="40"/>
  <c r="E183" i="40" s="1"/>
  <c r="W185" i="40"/>
  <c r="I192" i="40"/>
  <c r="J195" i="40"/>
  <c r="J199" i="40" s="1"/>
  <c r="J200" i="40" s="1"/>
  <c r="N195" i="40"/>
  <c r="N199" i="40" s="1"/>
  <c r="N200" i="40" s="1"/>
  <c r="E196" i="40"/>
  <c r="W195" i="40"/>
  <c r="G192" i="40"/>
  <c r="T192" i="40"/>
  <c r="J255" i="18"/>
  <c r="V52" i="40" l="1"/>
  <c r="G116" i="40"/>
  <c r="L116" i="40"/>
  <c r="V192" i="40"/>
  <c r="V196" i="40" s="1"/>
  <c r="T72" i="40"/>
  <c r="O85" i="40"/>
  <c r="T82" i="40"/>
  <c r="T85" i="40" s="1"/>
  <c r="N59" i="40"/>
  <c r="N60" i="40" s="1"/>
  <c r="S82" i="40"/>
  <c r="H56" i="40"/>
  <c r="H53" i="40" s="1"/>
  <c r="R192" i="40"/>
  <c r="R196" i="40" s="1"/>
  <c r="P82" i="40"/>
  <c r="P86" i="40" s="1"/>
  <c r="J125" i="40"/>
  <c r="J129" i="40" s="1"/>
  <c r="J130" i="40" s="1"/>
  <c r="F115" i="40"/>
  <c r="F119" i="40" s="1"/>
  <c r="F120" i="40" s="1"/>
  <c r="O195" i="40"/>
  <c r="U82" i="40"/>
  <c r="U86" i="40" s="1"/>
  <c r="L66" i="40"/>
  <c r="L196" i="40"/>
  <c r="L193" i="40" s="1"/>
  <c r="N139" i="40"/>
  <c r="N140" i="40" s="1"/>
  <c r="S192" i="40"/>
  <c r="S196" i="40" s="1"/>
  <c r="K55" i="40"/>
  <c r="K59" i="40" s="1"/>
  <c r="K60" i="40" s="1"/>
  <c r="R82" i="40"/>
  <c r="O76" i="40"/>
  <c r="V72" i="40"/>
  <c r="V75" i="40" s="1"/>
  <c r="U72" i="40"/>
  <c r="U76" i="40" s="1"/>
  <c r="K126" i="40"/>
  <c r="K129" i="40" s="1"/>
  <c r="K130" i="40" s="1"/>
  <c r="O136" i="40"/>
  <c r="O139" i="40" s="1"/>
  <c r="O140" i="40" s="1"/>
  <c r="V132" i="40"/>
  <c r="V136" i="40" s="1"/>
  <c r="U112" i="40"/>
  <c r="F195" i="40"/>
  <c r="F199" i="40" s="1"/>
  <c r="F200" i="40" s="1"/>
  <c r="V112" i="40"/>
  <c r="V116" i="40" s="1"/>
  <c r="P132" i="40"/>
  <c r="P136" i="40" s="1"/>
  <c r="U132" i="40"/>
  <c r="U136" i="40" s="1"/>
  <c r="O116" i="40"/>
  <c r="O113" i="40" s="1"/>
  <c r="L175" i="40"/>
  <c r="L179" i="40" s="1"/>
  <c r="L180" i="40" s="1"/>
  <c r="H116" i="40"/>
  <c r="H119" i="40" s="1"/>
  <c r="H120" i="40" s="1"/>
  <c r="J75" i="40"/>
  <c r="J79" i="40" s="1"/>
  <c r="J80" i="40" s="1"/>
  <c r="L173" i="40"/>
  <c r="S112" i="40"/>
  <c r="S116" i="40" s="1"/>
  <c r="R112" i="40"/>
  <c r="R115" i="40" s="1"/>
  <c r="S132" i="40"/>
  <c r="F75" i="40"/>
  <c r="F79" i="40" s="1"/>
  <c r="F80" i="40" s="1"/>
  <c r="T132" i="40"/>
  <c r="T135" i="40" s="1"/>
  <c r="R132" i="40"/>
  <c r="R136" i="40" s="1"/>
  <c r="N89" i="40"/>
  <c r="N90" i="40" s="1"/>
  <c r="K76" i="40"/>
  <c r="F86" i="40"/>
  <c r="F89" i="40" s="1"/>
  <c r="F90" i="40" s="1"/>
  <c r="T112" i="40"/>
  <c r="T115" i="40" s="1"/>
  <c r="G173" i="40"/>
  <c r="Q115" i="40"/>
  <c r="Q119" i="40" s="1"/>
  <c r="Q120" i="40" s="1"/>
  <c r="Q82" i="40"/>
  <c r="Q86" i="40" s="1"/>
  <c r="G175" i="40"/>
  <c r="G179" i="40" s="1"/>
  <c r="G180" i="40" s="1"/>
  <c r="O115" i="40"/>
  <c r="P112" i="40"/>
  <c r="G126" i="40"/>
  <c r="G129" i="40" s="1"/>
  <c r="G130" i="40" s="1"/>
  <c r="R52" i="40"/>
  <c r="R55" i="40" s="1"/>
  <c r="O125" i="40"/>
  <c r="O129" i="40" s="1"/>
  <c r="O130" i="40" s="1"/>
  <c r="P122" i="40"/>
  <c r="S122" i="40"/>
  <c r="S125" i="40" s="1"/>
  <c r="R122" i="40"/>
  <c r="R126" i="40" s="1"/>
  <c r="O86" i="40"/>
  <c r="O83" i="40" s="1"/>
  <c r="J86" i="40"/>
  <c r="J89" i="40" s="1"/>
  <c r="J90" i="40" s="1"/>
  <c r="J55" i="40"/>
  <c r="J59" i="40" s="1"/>
  <c r="J60" i="40" s="1"/>
  <c r="F139" i="40"/>
  <c r="F140" i="40" s="1"/>
  <c r="T122" i="40"/>
  <c r="N129" i="40"/>
  <c r="N130" i="40" s="1"/>
  <c r="N123" i="40"/>
  <c r="H179" i="40"/>
  <c r="H180" i="40" s="1"/>
  <c r="H156" i="40"/>
  <c r="H153" i="40" s="1"/>
  <c r="H155" i="40"/>
  <c r="N79" i="40"/>
  <c r="N80" i="40" s="1"/>
  <c r="N73" i="40"/>
  <c r="O196" i="40"/>
  <c r="O193" i="40" s="1"/>
  <c r="U192" i="40"/>
  <c r="Q192" i="40"/>
  <c r="K176" i="40"/>
  <c r="K175" i="40"/>
  <c r="G155" i="40"/>
  <c r="G156" i="40"/>
  <c r="K155" i="40"/>
  <c r="K156" i="40"/>
  <c r="H195" i="40"/>
  <c r="H196" i="40"/>
  <c r="H193" i="40" s="1"/>
  <c r="O55" i="40"/>
  <c r="T52" i="40"/>
  <c r="Q52" i="40"/>
  <c r="P52" i="40"/>
  <c r="O56" i="40"/>
  <c r="U52" i="40"/>
  <c r="L199" i="40"/>
  <c r="L200" i="40" s="1"/>
  <c r="I189" i="40"/>
  <c r="I190" i="40" s="1"/>
  <c r="L156" i="40"/>
  <c r="L155" i="40"/>
  <c r="G79" i="40"/>
  <c r="G80" i="40" s="1"/>
  <c r="G73" i="40"/>
  <c r="U116" i="40"/>
  <c r="U113" i="40" s="1"/>
  <c r="U115" i="40"/>
  <c r="H65" i="40"/>
  <c r="H66" i="40"/>
  <c r="E193" i="40"/>
  <c r="E199" i="40"/>
  <c r="E200" i="40" s="1"/>
  <c r="K186" i="40"/>
  <c r="K183" i="40" s="1"/>
  <c r="K185" i="40"/>
  <c r="F175" i="40"/>
  <c r="F176" i="40"/>
  <c r="H165" i="40"/>
  <c r="H166" i="40"/>
  <c r="H136" i="40"/>
  <c r="H135" i="40"/>
  <c r="E113" i="40"/>
  <c r="E119" i="40"/>
  <c r="E120" i="40" s="1"/>
  <c r="L119" i="40"/>
  <c r="L120" i="40" s="1"/>
  <c r="L113" i="40"/>
  <c r="T86" i="40"/>
  <c r="R85" i="40"/>
  <c r="R86" i="40"/>
  <c r="F146" i="40"/>
  <c r="F143" i="40" s="1"/>
  <c r="F145" i="40"/>
  <c r="H145" i="40"/>
  <c r="H146" i="40"/>
  <c r="K79" i="40"/>
  <c r="K80" i="40" s="1"/>
  <c r="K73" i="40"/>
  <c r="I55" i="40"/>
  <c r="I56" i="40"/>
  <c r="R195" i="40"/>
  <c r="F186" i="40"/>
  <c r="F183" i="40" s="1"/>
  <c r="F185" i="40"/>
  <c r="H186" i="40"/>
  <c r="H183" i="40" s="1"/>
  <c r="H185" i="40"/>
  <c r="K199" i="40"/>
  <c r="K200" i="40" s="1"/>
  <c r="N183" i="40"/>
  <c r="N189" i="40"/>
  <c r="N190" i="40" s="1"/>
  <c r="O155" i="40"/>
  <c r="S152" i="40"/>
  <c r="V152" i="40"/>
  <c r="R152" i="40"/>
  <c r="U152" i="40"/>
  <c r="Q152" i="40"/>
  <c r="T152" i="40"/>
  <c r="O156" i="40"/>
  <c r="P152" i="40"/>
  <c r="E153" i="40"/>
  <c r="E159" i="40"/>
  <c r="E160" i="40" s="1"/>
  <c r="F166" i="40"/>
  <c r="F165" i="40"/>
  <c r="I136" i="40"/>
  <c r="I135" i="40"/>
  <c r="I126" i="40"/>
  <c r="I125" i="40"/>
  <c r="K136" i="40"/>
  <c r="K135" i="40"/>
  <c r="Q126" i="40"/>
  <c r="Q125" i="40"/>
  <c r="I116" i="40"/>
  <c r="I115" i="40"/>
  <c r="N103" i="40"/>
  <c r="N109" i="40"/>
  <c r="N110" i="40" s="1"/>
  <c r="K106" i="40"/>
  <c r="K105" i="40"/>
  <c r="N149" i="40"/>
  <c r="N150" i="40" s="1"/>
  <c r="K113" i="40"/>
  <c r="K119" i="40"/>
  <c r="K120" i="40" s="1"/>
  <c r="L86" i="40"/>
  <c r="L85" i="40"/>
  <c r="V76" i="40"/>
  <c r="O66" i="40"/>
  <c r="T62" i="40"/>
  <c r="P62" i="40"/>
  <c r="O65" i="40"/>
  <c r="S62" i="40"/>
  <c r="V62" i="40"/>
  <c r="R62" i="40"/>
  <c r="U62" i="40"/>
  <c r="Q62" i="40"/>
  <c r="Q136" i="40"/>
  <c r="Q135" i="40"/>
  <c r="I106" i="40"/>
  <c r="I105" i="40"/>
  <c r="H76" i="40"/>
  <c r="H75" i="40"/>
  <c r="L169" i="40"/>
  <c r="L170" i="40" s="1"/>
  <c r="L163" i="40"/>
  <c r="K96" i="40"/>
  <c r="K95" i="40"/>
  <c r="V85" i="40"/>
  <c r="V86" i="40"/>
  <c r="J146" i="40"/>
  <c r="J145" i="40"/>
  <c r="L145" i="40"/>
  <c r="L146" i="40"/>
  <c r="G63" i="40"/>
  <c r="G69" i="40"/>
  <c r="G70" i="40" s="1"/>
  <c r="G196" i="40"/>
  <c r="G193" i="40" s="1"/>
  <c r="G195" i="40"/>
  <c r="V195" i="40"/>
  <c r="N163" i="40"/>
  <c r="N169" i="40"/>
  <c r="N170" i="40" s="1"/>
  <c r="G106" i="40"/>
  <c r="G105" i="40"/>
  <c r="O133" i="40"/>
  <c r="L76" i="40"/>
  <c r="L75" i="40"/>
  <c r="I196" i="40"/>
  <c r="I193" i="40" s="1"/>
  <c r="I195" i="40"/>
  <c r="J186" i="40"/>
  <c r="J183" i="40" s="1"/>
  <c r="J185" i="40"/>
  <c r="L186" i="40"/>
  <c r="L183" i="40" s="1"/>
  <c r="L185" i="40"/>
  <c r="O176" i="40"/>
  <c r="S172" i="40"/>
  <c r="V172" i="40"/>
  <c r="R172" i="40"/>
  <c r="U172" i="40"/>
  <c r="Q172" i="40"/>
  <c r="O175" i="40"/>
  <c r="T172" i="40"/>
  <c r="P172" i="40"/>
  <c r="O173" i="40"/>
  <c r="E169" i="40"/>
  <c r="E170" i="40" s="1"/>
  <c r="E163" i="40"/>
  <c r="F156" i="40"/>
  <c r="F155" i="40"/>
  <c r="J166" i="40"/>
  <c r="J165" i="40"/>
  <c r="G136" i="40"/>
  <c r="G135" i="40"/>
  <c r="L126" i="40"/>
  <c r="L125" i="40"/>
  <c r="F106" i="40"/>
  <c r="F105" i="40"/>
  <c r="I86" i="40"/>
  <c r="I85" i="40"/>
  <c r="O146" i="40"/>
  <c r="O145" i="40"/>
  <c r="U142" i="40"/>
  <c r="Q142" i="40"/>
  <c r="T142" i="40"/>
  <c r="P142" i="40"/>
  <c r="S142" i="40"/>
  <c r="O143" i="40"/>
  <c r="R142" i="40"/>
  <c r="V142" i="40"/>
  <c r="J139" i="40"/>
  <c r="J140" i="40" s="1"/>
  <c r="J133" i="40"/>
  <c r="H86" i="40"/>
  <c r="H85" i="40"/>
  <c r="R76" i="40"/>
  <c r="R75" i="40"/>
  <c r="F66" i="40"/>
  <c r="F65" i="40"/>
  <c r="U75" i="40"/>
  <c r="E63" i="40"/>
  <c r="E69" i="40"/>
  <c r="E70" i="40" s="1"/>
  <c r="H109" i="40"/>
  <c r="H110" i="40" s="1"/>
  <c r="H103" i="40"/>
  <c r="F96" i="40"/>
  <c r="F95" i="40"/>
  <c r="H96" i="40"/>
  <c r="H95" i="40"/>
  <c r="L69" i="40"/>
  <c r="L70" i="40" s="1"/>
  <c r="L63" i="40"/>
  <c r="J153" i="40"/>
  <c r="J159" i="40"/>
  <c r="J160" i="40" s="1"/>
  <c r="G146" i="40"/>
  <c r="G145" i="40"/>
  <c r="U92" i="40"/>
  <c r="Q92" i="40"/>
  <c r="O96" i="40"/>
  <c r="T92" i="40"/>
  <c r="P92" i="40"/>
  <c r="O95" i="40"/>
  <c r="S92" i="40"/>
  <c r="V92" i="40"/>
  <c r="R92" i="40"/>
  <c r="V56" i="40"/>
  <c r="V55" i="40"/>
  <c r="G113" i="40"/>
  <c r="G119" i="40"/>
  <c r="G120" i="40" s="1"/>
  <c r="J63" i="40"/>
  <c r="J69" i="40"/>
  <c r="J70" i="40" s="1"/>
  <c r="U182" i="40"/>
  <c r="Q182" i="40"/>
  <c r="O186" i="40"/>
  <c r="T182" i="40"/>
  <c r="P182" i="40"/>
  <c r="O185" i="40"/>
  <c r="S182" i="40"/>
  <c r="V182" i="40"/>
  <c r="R182" i="40"/>
  <c r="I166" i="40"/>
  <c r="I165" i="40"/>
  <c r="K166" i="40"/>
  <c r="K165" i="40"/>
  <c r="U126" i="40"/>
  <c r="U125" i="40"/>
  <c r="O106" i="40"/>
  <c r="T102" i="40"/>
  <c r="P102" i="40"/>
  <c r="O105" i="40"/>
  <c r="S102" i="40"/>
  <c r="V102" i="40"/>
  <c r="U102" i="40"/>
  <c r="R102" i="40"/>
  <c r="Q102" i="40"/>
  <c r="S136" i="40"/>
  <c r="S135" i="40"/>
  <c r="G86" i="40"/>
  <c r="G85" i="40"/>
  <c r="I66" i="40"/>
  <c r="I65" i="40"/>
  <c r="E99" i="40"/>
  <c r="E100" i="40" s="1"/>
  <c r="E93" i="40"/>
  <c r="G96" i="40"/>
  <c r="G95" i="40"/>
  <c r="I99" i="40"/>
  <c r="I100" i="40" s="1"/>
  <c r="I93" i="40"/>
  <c r="S56" i="40"/>
  <c r="S55" i="40"/>
  <c r="T195" i="40"/>
  <c r="T196" i="40"/>
  <c r="P195" i="40"/>
  <c r="P196" i="40"/>
  <c r="G186" i="40"/>
  <c r="G183" i="40" s="1"/>
  <c r="G185" i="40"/>
  <c r="E189" i="40"/>
  <c r="E190" i="40" s="1"/>
  <c r="J175" i="40"/>
  <c r="J176" i="40"/>
  <c r="I176" i="40"/>
  <c r="I175" i="40"/>
  <c r="I156" i="40"/>
  <c r="I155" i="40"/>
  <c r="O166" i="40"/>
  <c r="T162" i="40"/>
  <c r="P162" i="40"/>
  <c r="O165" i="40"/>
  <c r="S162" i="40"/>
  <c r="R162" i="40"/>
  <c r="Q162" i="40"/>
  <c r="V162" i="40"/>
  <c r="U162" i="40"/>
  <c r="G166" i="40"/>
  <c r="G165" i="40"/>
  <c r="L136" i="40"/>
  <c r="L135" i="40"/>
  <c r="V126" i="40"/>
  <c r="V125" i="40"/>
  <c r="H126" i="40"/>
  <c r="H125" i="40"/>
  <c r="J106" i="40"/>
  <c r="J105" i="40"/>
  <c r="S75" i="40"/>
  <c r="S76" i="40"/>
  <c r="J113" i="40"/>
  <c r="J119" i="40"/>
  <c r="J120" i="40" s="1"/>
  <c r="I76" i="40"/>
  <c r="I75" i="40"/>
  <c r="T136" i="40"/>
  <c r="R135" i="40"/>
  <c r="E103" i="40"/>
  <c r="E109" i="40"/>
  <c r="E110" i="40" s="1"/>
  <c r="K86" i="40"/>
  <c r="K85" i="40"/>
  <c r="Q76" i="40"/>
  <c r="Q75" i="40"/>
  <c r="J96" i="40"/>
  <c r="J95" i="40"/>
  <c r="L96" i="40"/>
  <c r="L95" i="40"/>
  <c r="K63" i="40"/>
  <c r="K69" i="40"/>
  <c r="K70" i="40" s="1"/>
  <c r="U85" i="40"/>
  <c r="I146" i="40"/>
  <c r="I145" i="40"/>
  <c r="K146" i="40"/>
  <c r="K143" i="40" s="1"/>
  <c r="K145" i="40"/>
  <c r="E149" i="40"/>
  <c r="E150" i="40" s="1"/>
  <c r="E143" i="40"/>
  <c r="N93" i="40"/>
  <c r="N99" i="40"/>
  <c r="N100" i="40" s="1"/>
  <c r="L59" i="40"/>
  <c r="L60" i="40" s="1"/>
  <c r="L53" i="40"/>
  <c r="B64" i="36"/>
  <c r="T51" i="36"/>
  <c r="T25" i="36" s="1"/>
  <c r="Q51" i="36"/>
  <c r="Q49" i="36" s="1"/>
  <c r="P51" i="36"/>
  <c r="M51" i="36"/>
  <c r="M49" i="36" s="1"/>
  <c r="N49" i="36" s="1"/>
  <c r="D51" i="36"/>
  <c r="C51" i="36" s="1"/>
  <c r="C49" i="36" s="1"/>
  <c r="M50" i="36"/>
  <c r="N50" i="36" s="1"/>
  <c r="D50" i="36"/>
  <c r="O49" i="36"/>
  <c r="P49" i="36" s="1"/>
  <c r="S48" i="36"/>
  <c r="S25" i="36" s="1"/>
  <c r="R48" i="36"/>
  <c r="R25" i="36" s="1"/>
  <c r="O48" i="36"/>
  <c r="P48" i="36" s="1"/>
  <c r="N48" i="36"/>
  <c r="E48" i="36"/>
  <c r="E50" i="36" s="1"/>
  <c r="T46" i="36"/>
  <c r="Q46" i="36"/>
  <c r="P46" i="36"/>
  <c r="M46" i="36"/>
  <c r="N46" i="36" s="1"/>
  <c r="D46" i="36"/>
  <c r="U46" i="36" s="1"/>
  <c r="U22" i="36" s="1"/>
  <c r="M45" i="36"/>
  <c r="O45" i="36" s="1"/>
  <c r="P45" i="36" s="1"/>
  <c r="D45" i="36"/>
  <c r="Q44" i="36"/>
  <c r="O44" i="36"/>
  <c r="P44" i="36" s="1"/>
  <c r="S43" i="36"/>
  <c r="R43" i="36"/>
  <c r="R22" i="36" s="1"/>
  <c r="O43" i="36"/>
  <c r="P43" i="36" s="1"/>
  <c r="N43" i="36"/>
  <c r="E43" i="36"/>
  <c r="K43" i="36" s="1"/>
  <c r="T41" i="36"/>
  <c r="T19" i="36" s="1"/>
  <c r="Q41" i="36"/>
  <c r="Q39" i="36" s="1"/>
  <c r="P41" i="36"/>
  <c r="M41" i="36"/>
  <c r="N41" i="36" s="1"/>
  <c r="D41" i="36"/>
  <c r="C41" i="36" s="1"/>
  <c r="C39" i="36" s="1"/>
  <c r="M40" i="36"/>
  <c r="O40" i="36" s="1"/>
  <c r="P40" i="36" s="1"/>
  <c r="D40" i="36"/>
  <c r="O39" i="36"/>
  <c r="V39" i="36" s="1"/>
  <c r="V19" i="36" s="1"/>
  <c r="S38" i="36"/>
  <c r="S19" i="36" s="1"/>
  <c r="R38" i="36"/>
  <c r="R19" i="36" s="1"/>
  <c r="O38" i="36"/>
  <c r="P38" i="36" s="1"/>
  <c r="N38" i="36"/>
  <c r="E38" i="36"/>
  <c r="E41" i="36" s="1"/>
  <c r="E39" i="36" s="1"/>
  <c r="T36" i="36"/>
  <c r="T16" i="36" s="1"/>
  <c r="Q36" i="36"/>
  <c r="Q34" i="36" s="1"/>
  <c r="P36" i="36"/>
  <c r="M36" i="36"/>
  <c r="M34" i="36" s="1"/>
  <c r="N34" i="36" s="1"/>
  <c r="D36" i="36"/>
  <c r="C36" i="36" s="1"/>
  <c r="C34" i="36" s="1"/>
  <c r="M35" i="36"/>
  <c r="O35" i="36" s="1"/>
  <c r="P35" i="36" s="1"/>
  <c r="D35" i="36"/>
  <c r="O34" i="36"/>
  <c r="V34" i="36" s="1"/>
  <c r="V16" i="36" s="1"/>
  <c r="S33" i="36"/>
  <c r="S16" i="36" s="1"/>
  <c r="R33" i="36"/>
  <c r="R16" i="36" s="1"/>
  <c r="O33" i="36"/>
  <c r="P33" i="36" s="1"/>
  <c r="N33" i="36"/>
  <c r="E33" i="36"/>
  <c r="I33" i="36" s="1"/>
  <c r="T22" i="36"/>
  <c r="S22" i="36"/>
  <c r="H113" i="40" l="1"/>
  <c r="P85" i="40"/>
  <c r="V115" i="40"/>
  <c r="P135" i="40"/>
  <c r="P139" i="40" s="1"/>
  <c r="P140" i="40" s="1"/>
  <c r="F83" i="40"/>
  <c r="R125" i="40"/>
  <c r="R116" i="40"/>
  <c r="R113" i="40" s="1"/>
  <c r="V135" i="40"/>
  <c r="V139" i="40" s="1"/>
  <c r="S115" i="40"/>
  <c r="G123" i="40"/>
  <c r="S195" i="40"/>
  <c r="H59" i="40"/>
  <c r="H60" i="40" s="1"/>
  <c r="M44" i="36"/>
  <c r="N44" i="36" s="1"/>
  <c r="U135" i="40"/>
  <c r="S126" i="40"/>
  <c r="S129" i="40" s="1"/>
  <c r="S130" i="40" s="1"/>
  <c r="O79" i="40"/>
  <c r="O80" i="40" s="1"/>
  <c r="O73" i="40"/>
  <c r="K123" i="40"/>
  <c r="S85" i="40"/>
  <c r="S86" i="40"/>
  <c r="O119" i="40"/>
  <c r="O120" i="40" s="1"/>
  <c r="T76" i="40"/>
  <c r="T73" i="40" s="1"/>
  <c r="T75" i="40"/>
  <c r="T79" i="40" s="1"/>
  <c r="T80" i="40" s="1"/>
  <c r="O50" i="36"/>
  <c r="P50" i="36" s="1"/>
  <c r="G189" i="40"/>
  <c r="G190" i="40" s="1"/>
  <c r="L149" i="40"/>
  <c r="L150" i="40" s="1"/>
  <c r="F189" i="40"/>
  <c r="F190" i="40" s="1"/>
  <c r="H149" i="40"/>
  <c r="H150" i="40" s="1"/>
  <c r="T116" i="40"/>
  <c r="G38" i="36"/>
  <c r="G40" i="36" s="1"/>
  <c r="C46" i="36"/>
  <c r="C44" i="36" s="1"/>
  <c r="L189" i="40"/>
  <c r="L190" i="40" s="1"/>
  <c r="I199" i="40"/>
  <c r="I200" i="40" s="1"/>
  <c r="G199" i="40"/>
  <c r="G200" i="40" s="1"/>
  <c r="J83" i="40"/>
  <c r="H38" i="36"/>
  <c r="H41" i="36" s="1"/>
  <c r="H39" i="36" s="1"/>
  <c r="R56" i="40"/>
  <c r="J33" i="36"/>
  <c r="J35" i="36" s="1"/>
  <c r="H43" i="36"/>
  <c r="H45" i="36" s="1"/>
  <c r="Q85" i="40"/>
  <c r="Q89" i="40" s="1"/>
  <c r="Q90" i="40" s="1"/>
  <c r="O89" i="40"/>
  <c r="O90" i="40" s="1"/>
  <c r="P115" i="40"/>
  <c r="P116" i="40"/>
  <c r="T126" i="40"/>
  <c r="T123" i="40" s="1"/>
  <c r="T125" i="40"/>
  <c r="P126" i="40"/>
  <c r="P123" i="40" s="1"/>
  <c r="P125" i="40"/>
  <c r="L43" i="36"/>
  <c r="L45" i="36" s="1"/>
  <c r="V44" i="36"/>
  <c r="V22" i="36" s="1"/>
  <c r="P39" i="36"/>
  <c r="F179" i="40"/>
  <c r="F180" i="40" s="1"/>
  <c r="U119" i="40"/>
  <c r="U120" i="40" s="1"/>
  <c r="O199" i="40"/>
  <c r="O200" i="40" s="1"/>
  <c r="H159" i="40"/>
  <c r="H160" i="40" s="1"/>
  <c r="E36" i="36"/>
  <c r="E34" i="36" s="1"/>
  <c r="V49" i="36"/>
  <c r="V25" i="36" s="1"/>
  <c r="I179" i="40"/>
  <c r="I180" i="40" s="1"/>
  <c r="J149" i="40"/>
  <c r="J150" i="40" s="1"/>
  <c r="Q55" i="40"/>
  <c r="Q56" i="40"/>
  <c r="H199" i="40"/>
  <c r="H200" i="40" s="1"/>
  <c r="U196" i="40"/>
  <c r="U193" i="40" s="1"/>
  <c r="U195" i="40"/>
  <c r="G159" i="40"/>
  <c r="G160" i="40" s="1"/>
  <c r="G153" i="40"/>
  <c r="D39" i="36"/>
  <c r="W39" i="36" s="1"/>
  <c r="W19" i="36" s="1"/>
  <c r="F33" i="36"/>
  <c r="F35" i="36" s="1"/>
  <c r="D34" i="36"/>
  <c r="W34" i="36" s="1"/>
  <c r="W16" i="36" s="1"/>
  <c r="N35" i="36"/>
  <c r="U36" i="36"/>
  <c r="U16" i="36" s="1"/>
  <c r="K38" i="36"/>
  <c r="K40" i="36" s="1"/>
  <c r="M39" i="36"/>
  <c r="N39" i="36" s="1"/>
  <c r="U41" i="36"/>
  <c r="U19" i="36" s="1"/>
  <c r="I149" i="40"/>
  <c r="I150" i="40" s="1"/>
  <c r="L153" i="40"/>
  <c r="L159" i="40"/>
  <c r="L160" i="40" s="1"/>
  <c r="U56" i="40"/>
  <c r="U53" i="40" s="1"/>
  <c r="U55" i="40"/>
  <c r="T55" i="40"/>
  <c r="T56" i="40"/>
  <c r="K159" i="40"/>
  <c r="K160" i="40" s="1"/>
  <c r="K153" i="40"/>
  <c r="P55" i="40"/>
  <c r="P56" i="40"/>
  <c r="Q196" i="40"/>
  <c r="Q195" i="40"/>
  <c r="K33" i="36"/>
  <c r="G33" i="36"/>
  <c r="L38" i="36"/>
  <c r="E40" i="36"/>
  <c r="E45" i="36"/>
  <c r="G149" i="40"/>
  <c r="G150" i="40" s="1"/>
  <c r="O149" i="40"/>
  <c r="O150" i="40" s="1"/>
  <c r="O179" i="40"/>
  <c r="O180" i="40" s="1"/>
  <c r="K189" i="40"/>
  <c r="K190" i="40" s="1"/>
  <c r="H69" i="40"/>
  <c r="H70" i="40" s="1"/>
  <c r="H63" i="40"/>
  <c r="O53" i="40"/>
  <c r="O59" i="40"/>
  <c r="O60" i="40" s="1"/>
  <c r="K173" i="40"/>
  <c r="K179" i="40"/>
  <c r="K180" i="40" s="1"/>
  <c r="L93" i="40"/>
  <c r="L99" i="40"/>
  <c r="L100" i="40" s="1"/>
  <c r="V123" i="40"/>
  <c r="V129" i="40"/>
  <c r="G163" i="40"/>
  <c r="G169" i="40"/>
  <c r="G170" i="40" s="1"/>
  <c r="R166" i="40"/>
  <c r="R165" i="40"/>
  <c r="T165" i="40"/>
  <c r="T166" i="40"/>
  <c r="S193" i="40"/>
  <c r="S199" i="40"/>
  <c r="S200" i="40" s="1"/>
  <c r="R106" i="40"/>
  <c r="R105" i="40"/>
  <c r="P186" i="40"/>
  <c r="P185" i="40"/>
  <c r="Q95" i="40"/>
  <c r="Q96" i="40"/>
  <c r="P133" i="40"/>
  <c r="R73" i="40"/>
  <c r="R79" i="40"/>
  <c r="R80" i="40" s="1"/>
  <c r="F103" i="40"/>
  <c r="F109" i="40"/>
  <c r="F110" i="40" s="1"/>
  <c r="G133" i="40"/>
  <c r="G139" i="40"/>
  <c r="G140" i="40" s="1"/>
  <c r="F153" i="40"/>
  <c r="F159" i="40"/>
  <c r="F160" i="40" s="1"/>
  <c r="U176" i="40"/>
  <c r="U173" i="40" s="1"/>
  <c r="U175" i="40"/>
  <c r="U66" i="40"/>
  <c r="U65" i="40"/>
  <c r="Q123" i="40"/>
  <c r="Q129" i="40"/>
  <c r="Q130" i="40" s="1"/>
  <c r="F163" i="40"/>
  <c r="F169" i="40"/>
  <c r="F170" i="40" s="1"/>
  <c r="O159" i="40"/>
  <c r="O160" i="40" s="1"/>
  <c r="O153" i="40"/>
  <c r="R193" i="40"/>
  <c r="R199" i="40"/>
  <c r="R200" i="40" s="1"/>
  <c r="R139" i="40"/>
  <c r="R140" i="40" s="1"/>
  <c r="R133" i="40"/>
  <c r="U166" i="40"/>
  <c r="U165" i="40"/>
  <c r="S166" i="40"/>
  <c r="S165" i="40"/>
  <c r="O163" i="40"/>
  <c r="O169" i="40"/>
  <c r="O170" i="40" s="1"/>
  <c r="I153" i="40"/>
  <c r="I159" i="40"/>
  <c r="I160" i="40" s="1"/>
  <c r="J179" i="40"/>
  <c r="J180" i="40" s="1"/>
  <c r="P199" i="40"/>
  <c r="P200" i="40" s="1"/>
  <c r="P193" i="40"/>
  <c r="U106" i="40"/>
  <c r="U105" i="40"/>
  <c r="P105" i="40"/>
  <c r="P106" i="40"/>
  <c r="U123" i="40"/>
  <c r="U129" i="40"/>
  <c r="U130" i="40" s="1"/>
  <c r="K163" i="40"/>
  <c r="K169" i="40"/>
  <c r="K170" i="40" s="1"/>
  <c r="V186" i="40"/>
  <c r="V185" i="40"/>
  <c r="T186" i="40"/>
  <c r="T185" i="40"/>
  <c r="R96" i="40"/>
  <c r="R95" i="40"/>
  <c r="P96" i="40"/>
  <c r="P95" i="40"/>
  <c r="U95" i="40"/>
  <c r="U96" i="40"/>
  <c r="Q146" i="40"/>
  <c r="Q143" i="40" s="1"/>
  <c r="Q145" i="40"/>
  <c r="T176" i="40"/>
  <c r="T175" i="40"/>
  <c r="R175" i="40"/>
  <c r="R176" i="40"/>
  <c r="R173" i="40" s="1"/>
  <c r="V89" i="40"/>
  <c r="V83" i="40"/>
  <c r="R66" i="40"/>
  <c r="R65" i="40"/>
  <c r="P65" i="40"/>
  <c r="P66" i="40"/>
  <c r="V73" i="40"/>
  <c r="V79" i="40"/>
  <c r="T156" i="40"/>
  <c r="T155" i="40"/>
  <c r="V156" i="40"/>
  <c r="V155" i="40"/>
  <c r="Q73" i="40"/>
  <c r="Q79" i="40"/>
  <c r="Q80" i="40" s="1"/>
  <c r="T133" i="40"/>
  <c r="T139" i="40"/>
  <c r="T140" i="40" s="1"/>
  <c r="G83" i="40"/>
  <c r="G89" i="40"/>
  <c r="G90" i="40" s="1"/>
  <c r="U185" i="40"/>
  <c r="U186" i="40"/>
  <c r="T145" i="40"/>
  <c r="T146" i="40"/>
  <c r="T143" i="40" s="1"/>
  <c r="P176" i="40"/>
  <c r="P173" i="40" s="1"/>
  <c r="P175" i="40"/>
  <c r="V193" i="40"/>
  <c r="V199" i="40"/>
  <c r="I109" i="40"/>
  <c r="I110" i="40" s="1"/>
  <c r="I103" i="40"/>
  <c r="I123" i="40"/>
  <c r="I129" i="40"/>
  <c r="I130" i="40" s="1"/>
  <c r="R156" i="40"/>
  <c r="R155" i="40"/>
  <c r="K149" i="40"/>
  <c r="K150" i="40" s="1"/>
  <c r="R53" i="40"/>
  <c r="R59" i="40"/>
  <c r="R60" i="40" s="1"/>
  <c r="I143" i="40"/>
  <c r="U83" i="40"/>
  <c r="U89" i="40"/>
  <c r="U90" i="40" s="1"/>
  <c r="J93" i="40"/>
  <c r="J99" i="40"/>
  <c r="J100" i="40" s="1"/>
  <c r="K83" i="40"/>
  <c r="K89" i="40"/>
  <c r="K90" i="40" s="1"/>
  <c r="I73" i="40"/>
  <c r="I79" i="40"/>
  <c r="I80" i="40" s="1"/>
  <c r="J103" i="40"/>
  <c r="J109" i="40"/>
  <c r="J110" i="40" s="1"/>
  <c r="H123" i="40"/>
  <c r="H129" i="40"/>
  <c r="H130" i="40" s="1"/>
  <c r="L133" i="40"/>
  <c r="L139" i="40"/>
  <c r="L140" i="40" s="1"/>
  <c r="V166" i="40"/>
  <c r="V165" i="40"/>
  <c r="I173" i="40"/>
  <c r="J173" i="40"/>
  <c r="S59" i="40"/>
  <c r="S60" i="40" s="1"/>
  <c r="S53" i="40"/>
  <c r="G93" i="40"/>
  <c r="G99" i="40"/>
  <c r="G100" i="40" s="1"/>
  <c r="I63" i="40"/>
  <c r="I69" i="40"/>
  <c r="I70" i="40" s="1"/>
  <c r="S133" i="40"/>
  <c r="S139" i="40"/>
  <c r="S140" i="40" s="1"/>
  <c r="V106" i="40"/>
  <c r="V105" i="40"/>
  <c r="T105" i="40"/>
  <c r="T106" i="40"/>
  <c r="S186" i="40"/>
  <c r="S185" i="40"/>
  <c r="O183" i="40"/>
  <c r="O189" i="40"/>
  <c r="O190" i="40" s="1"/>
  <c r="V59" i="40"/>
  <c r="V53" i="40"/>
  <c r="V96" i="40"/>
  <c r="V95" i="40"/>
  <c r="T96" i="40"/>
  <c r="T95" i="40"/>
  <c r="G143" i="40"/>
  <c r="Q83" i="40"/>
  <c r="F93" i="40"/>
  <c r="F99" i="40"/>
  <c r="F100" i="40" s="1"/>
  <c r="U133" i="40"/>
  <c r="U139" i="40"/>
  <c r="U140" i="40" s="1"/>
  <c r="F63" i="40"/>
  <c r="F69" i="40"/>
  <c r="F70" i="40" s="1"/>
  <c r="H83" i="40"/>
  <c r="H89" i="40"/>
  <c r="H90" i="40" s="1"/>
  <c r="S146" i="40"/>
  <c r="S145" i="40"/>
  <c r="U146" i="40"/>
  <c r="U145" i="40"/>
  <c r="I83" i="40"/>
  <c r="I89" i="40"/>
  <c r="I90" i="40" s="1"/>
  <c r="L123" i="40"/>
  <c r="L129" i="40"/>
  <c r="L130" i="40" s="1"/>
  <c r="S113" i="40"/>
  <c r="S119" i="40"/>
  <c r="S120" i="40" s="1"/>
  <c r="J163" i="40"/>
  <c r="J169" i="40"/>
  <c r="J170" i="40" s="1"/>
  <c r="V175" i="40"/>
  <c r="V176" i="40"/>
  <c r="L73" i="40"/>
  <c r="L79" i="40"/>
  <c r="L80" i="40" s="1"/>
  <c r="G103" i="40"/>
  <c r="G109" i="40"/>
  <c r="G110" i="40" s="1"/>
  <c r="J143" i="40"/>
  <c r="K93" i="40"/>
  <c r="K99" i="40"/>
  <c r="K100" i="40" s="1"/>
  <c r="H73" i="40"/>
  <c r="H79" i="40"/>
  <c r="H80" i="40" s="1"/>
  <c r="Q133" i="40"/>
  <c r="Q139" i="40"/>
  <c r="Q140" i="40" s="1"/>
  <c r="V66" i="40"/>
  <c r="V65" i="40"/>
  <c r="T65" i="40"/>
  <c r="T66" i="40"/>
  <c r="K103" i="40"/>
  <c r="K109" i="40"/>
  <c r="K110" i="40" s="1"/>
  <c r="I113" i="40"/>
  <c r="I119" i="40"/>
  <c r="I120" i="40" s="1"/>
  <c r="K133" i="40"/>
  <c r="K139" i="40"/>
  <c r="K140" i="40" s="1"/>
  <c r="I133" i="40"/>
  <c r="I139" i="40"/>
  <c r="I140" i="40" s="1"/>
  <c r="Q156" i="40"/>
  <c r="Q155" i="40"/>
  <c r="S155" i="40"/>
  <c r="S156" i="40"/>
  <c r="H143" i="40"/>
  <c r="F149" i="40"/>
  <c r="F150" i="40" s="1"/>
  <c r="T83" i="40"/>
  <c r="T89" i="40"/>
  <c r="T90" i="40" s="1"/>
  <c r="H133" i="40"/>
  <c r="H139" i="40"/>
  <c r="H140" i="40" s="1"/>
  <c r="F173" i="40"/>
  <c r="P83" i="40"/>
  <c r="P89" i="40"/>
  <c r="P90" i="40" s="1"/>
  <c r="V113" i="40"/>
  <c r="V119" i="40"/>
  <c r="R186" i="40"/>
  <c r="R185" i="40"/>
  <c r="H93" i="40"/>
  <c r="H99" i="40"/>
  <c r="H100" i="40" s="1"/>
  <c r="U73" i="40"/>
  <c r="U79" i="40"/>
  <c r="U80" i="40" s="1"/>
  <c r="R146" i="40"/>
  <c r="R145" i="40"/>
  <c r="S79" i="40"/>
  <c r="S80" i="40" s="1"/>
  <c r="S73" i="40"/>
  <c r="Q166" i="40"/>
  <c r="Q165" i="40"/>
  <c r="P165" i="40"/>
  <c r="P166" i="40"/>
  <c r="T199" i="40"/>
  <c r="T200" i="40" s="1"/>
  <c r="T193" i="40"/>
  <c r="Q106" i="40"/>
  <c r="Q105" i="40"/>
  <c r="S106" i="40"/>
  <c r="S105" i="40"/>
  <c r="O103" i="40"/>
  <c r="O109" i="40"/>
  <c r="O110" i="40" s="1"/>
  <c r="R123" i="40"/>
  <c r="R129" i="40"/>
  <c r="R130" i="40" s="1"/>
  <c r="I163" i="40"/>
  <c r="I169" i="40"/>
  <c r="I170" i="40" s="1"/>
  <c r="Q185" i="40"/>
  <c r="Q186" i="40"/>
  <c r="S96" i="40"/>
  <c r="S95" i="40"/>
  <c r="O93" i="40"/>
  <c r="O99" i="40"/>
  <c r="O100" i="40" s="1"/>
  <c r="V146" i="40"/>
  <c r="V143" i="40" s="1"/>
  <c r="V145" i="40"/>
  <c r="P145" i="40"/>
  <c r="P146" i="40"/>
  <c r="P143" i="40" s="1"/>
  <c r="Q176" i="40"/>
  <c r="Q173" i="40" s="1"/>
  <c r="Q175" i="40"/>
  <c r="S176" i="40"/>
  <c r="S175" i="40"/>
  <c r="J189" i="40"/>
  <c r="J190" i="40" s="1"/>
  <c r="L143" i="40"/>
  <c r="Q66" i="40"/>
  <c r="Q65" i="40"/>
  <c r="S66" i="40"/>
  <c r="S65" i="40"/>
  <c r="O63" i="40"/>
  <c r="O69" i="40"/>
  <c r="O70" i="40" s="1"/>
  <c r="L83" i="40"/>
  <c r="L89" i="40"/>
  <c r="L90" i="40" s="1"/>
  <c r="P156" i="40"/>
  <c r="P155" i="40"/>
  <c r="U156" i="40"/>
  <c r="U155" i="40"/>
  <c r="H189" i="40"/>
  <c r="H190" i="40" s="1"/>
  <c r="I53" i="40"/>
  <c r="I59" i="40"/>
  <c r="I60" i="40" s="1"/>
  <c r="R89" i="40"/>
  <c r="R90" i="40" s="1"/>
  <c r="R83" i="40"/>
  <c r="V133" i="40"/>
  <c r="H169" i="40"/>
  <c r="H170" i="40" s="1"/>
  <c r="H163" i="40"/>
  <c r="I36" i="36"/>
  <c r="I34" i="36" s="1"/>
  <c r="I35" i="36"/>
  <c r="K46" i="36"/>
  <c r="K44" i="36" s="1"/>
  <c r="K45" i="36"/>
  <c r="I48" i="36"/>
  <c r="F36" i="36"/>
  <c r="F34" i="36" s="1"/>
  <c r="N36" i="36"/>
  <c r="G41" i="36"/>
  <c r="G39" i="36" s="1"/>
  <c r="N45" i="36"/>
  <c r="H33" i="36"/>
  <c r="L33" i="36"/>
  <c r="E35" i="36"/>
  <c r="I38" i="36"/>
  <c r="N40" i="36"/>
  <c r="F43" i="36"/>
  <c r="J43" i="36"/>
  <c r="E46" i="36"/>
  <c r="E44" i="36" s="1"/>
  <c r="G48" i="36"/>
  <c r="K48" i="36"/>
  <c r="D49" i="36"/>
  <c r="W49" i="36" s="1"/>
  <c r="W25" i="36" s="1"/>
  <c r="N51" i="36"/>
  <c r="U51" i="36"/>
  <c r="U25" i="36" s="1"/>
  <c r="P34" i="36"/>
  <c r="J36" i="36"/>
  <c r="J34" i="36" s="1"/>
  <c r="I43" i="36"/>
  <c r="F48" i="36"/>
  <c r="J48" i="36"/>
  <c r="E51" i="36"/>
  <c r="E49" i="36" s="1"/>
  <c r="F38" i="36"/>
  <c r="J38" i="36"/>
  <c r="G43" i="36"/>
  <c r="D44" i="36"/>
  <c r="W44" i="36" s="1"/>
  <c r="W22" i="36" s="1"/>
  <c r="H48" i="36"/>
  <c r="L48" i="36"/>
  <c r="E43" i="33"/>
  <c r="E257" i="26"/>
  <c r="E140" i="26"/>
  <c r="E72" i="26"/>
  <c r="E255" i="26" s="1"/>
  <c r="E87" i="26"/>
  <c r="E80" i="22"/>
  <c r="E65" i="22"/>
  <c r="K39" i="22"/>
  <c r="K40" i="16"/>
  <c r="K40" i="6"/>
  <c r="K39" i="18"/>
  <c r="E81" i="18"/>
  <c r="E66" i="18"/>
  <c r="S123" i="40" l="1"/>
  <c r="R119" i="40"/>
  <c r="R120" i="40" s="1"/>
  <c r="H40" i="36"/>
  <c r="K41" i="36"/>
  <c r="K39" i="36" s="1"/>
  <c r="S179" i="40"/>
  <c r="S180" i="40" s="1"/>
  <c r="U59" i="40"/>
  <c r="U60" i="40" s="1"/>
  <c r="T179" i="40"/>
  <c r="T180" i="40" s="1"/>
  <c r="L46" i="36"/>
  <c r="L44" i="36" s="1"/>
  <c r="S89" i="40"/>
  <c r="S90" i="40" s="1"/>
  <c r="S83" i="40"/>
  <c r="R149" i="40"/>
  <c r="R150" i="40" s="1"/>
  <c r="U149" i="40"/>
  <c r="U150" i="40" s="1"/>
  <c r="R143" i="40"/>
  <c r="T129" i="40"/>
  <c r="T130" i="40" s="1"/>
  <c r="T119" i="40"/>
  <c r="T120" i="40" s="1"/>
  <c r="T113" i="40"/>
  <c r="P119" i="40"/>
  <c r="P120" i="40" s="1"/>
  <c r="P113" i="40"/>
  <c r="H46" i="36"/>
  <c r="H44" i="36" s="1"/>
  <c r="V179" i="40"/>
  <c r="W179" i="40" s="1"/>
  <c r="P129" i="40"/>
  <c r="P130" i="40" s="1"/>
  <c r="V173" i="40"/>
  <c r="L41" i="36"/>
  <c r="L39" i="36" s="1"/>
  <c r="L40" i="36"/>
  <c r="Q199" i="40"/>
  <c r="Q200" i="40" s="1"/>
  <c r="Q193" i="40"/>
  <c r="S149" i="40"/>
  <c r="S150" i="40" s="1"/>
  <c r="T173" i="40"/>
  <c r="G36" i="36"/>
  <c r="G34" i="36" s="1"/>
  <c r="G35" i="36"/>
  <c r="P53" i="40"/>
  <c r="P59" i="40"/>
  <c r="P60" i="40" s="1"/>
  <c r="T53" i="40"/>
  <c r="T59" i="40"/>
  <c r="T60" i="40" s="1"/>
  <c r="Q59" i="40"/>
  <c r="Q60" i="40" s="1"/>
  <c r="Q53" i="40"/>
  <c r="K36" i="36"/>
  <c r="K34" i="36" s="1"/>
  <c r="K35" i="36"/>
  <c r="U199" i="40"/>
  <c r="U200" i="40" s="1"/>
  <c r="S159" i="40"/>
  <c r="S160" i="40" s="1"/>
  <c r="S153" i="40"/>
  <c r="V60" i="40"/>
  <c r="W59" i="40"/>
  <c r="V103" i="40"/>
  <c r="V109" i="40"/>
  <c r="R153" i="40"/>
  <c r="R159" i="40"/>
  <c r="R160" i="40" s="1"/>
  <c r="T159" i="40"/>
  <c r="T160" i="40" s="1"/>
  <c r="T153" i="40"/>
  <c r="V90" i="40"/>
  <c r="W89" i="40"/>
  <c r="P109" i="40"/>
  <c r="P110" i="40" s="1"/>
  <c r="P103" i="40"/>
  <c r="S163" i="40"/>
  <c r="S169" i="40"/>
  <c r="S170" i="40" s="1"/>
  <c r="W129" i="40"/>
  <c r="V130" i="40"/>
  <c r="U159" i="40"/>
  <c r="U160" i="40" s="1"/>
  <c r="U153" i="40"/>
  <c r="S63" i="40"/>
  <c r="S69" i="40"/>
  <c r="S70" i="40" s="1"/>
  <c r="S103" i="40"/>
  <c r="S109" i="40"/>
  <c r="S110" i="40" s="1"/>
  <c r="Q163" i="40"/>
  <c r="Q169" i="40"/>
  <c r="Q170" i="40" s="1"/>
  <c r="V120" i="40"/>
  <c r="W119" i="40"/>
  <c r="S143" i="40"/>
  <c r="T109" i="40"/>
  <c r="T110" i="40" s="1"/>
  <c r="T103" i="40"/>
  <c r="V200" i="40"/>
  <c r="W199" i="40"/>
  <c r="P179" i="40"/>
  <c r="P180" i="40" s="1"/>
  <c r="U189" i="40"/>
  <c r="U190" i="40" s="1"/>
  <c r="U183" i="40"/>
  <c r="W79" i="40"/>
  <c r="V80" i="40"/>
  <c r="R179" i="40"/>
  <c r="R180" i="40" s="1"/>
  <c r="Q149" i="40"/>
  <c r="Q150" i="40" s="1"/>
  <c r="P93" i="40"/>
  <c r="P99" i="40"/>
  <c r="P100" i="40" s="1"/>
  <c r="T183" i="40"/>
  <c r="T189" i="40"/>
  <c r="T190" i="40" s="1"/>
  <c r="P183" i="40"/>
  <c r="P189" i="40"/>
  <c r="P190" i="40" s="1"/>
  <c r="R163" i="40"/>
  <c r="R169" i="40"/>
  <c r="R170" i="40" s="1"/>
  <c r="Q189" i="40"/>
  <c r="Q190" i="40" s="1"/>
  <c r="Q183" i="40"/>
  <c r="T93" i="40"/>
  <c r="T99" i="40"/>
  <c r="T100" i="40" s="1"/>
  <c r="V163" i="40"/>
  <c r="V169" i="40"/>
  <c r="V140" i="40"/>
  <c r="W139" i="40"/>
  <c r="P169" i="40"/>
  <c r="P170" i="40" s="1"/>
  <c r="P163" i="40"/>
  <c r="U143" i="40"/>
  <c r="V93" i="40"/>
  <c r="V99" i="40"/>
  <c r="V153" i="40"/>
  <c r="V159" i="40"/>
  <c r="R63" i="40"/>
  <c r="R69" i="40"/>
  <c r="R70" i="40" s="1"/>
  <c r="U99" i="40"/>
  <c r="U100" i="40" s="1"/>
  <c r="U93" i="40"/>
  <c r="U169" i="40"/>
  <c r="U170" i="40" s="1"/>
  <c r="U163" i="40"/>
  <c r="U63" i="40"/>
  <c r="U69" i="40"/>
  <c r="U70" i="40" s="1"/>
  <c r="Q99" i="40"/>
  <c r="Q100" i="40" s="1"/>
  <c r="Q93" i="40"/>
  <c r="T169" i="40"/>
  <c r="T170" i="40" s="1"/>
  <c r="T163" i="40"/>
  <c r="R183" i="40"/>
  <c r="R189" i="40"/>
  <c r="R190" i="40" s="1"/>
  <c r="T69" i="40"/>
  <c r="T70" i="40" s="1"/>
  <c r="T63" i="40"/>
  <c r="S183" i="40"/>
  <c r="S189" i="40"/>
  <c r="S190" i="40" s="1"/>
  <c r="P153" i="40"/>
  <c r="P159" i="40"/>
  <c r="P160" i="40" s="1"/>
  <c r="Q63" i="40"/>
  <c r="Q69" i="40"/>
  <c r="Q70" i="40" s="1"/>
  <c r="S173" i="40"/>
  <c r="Q179" i="40"/>
  <c r="Q180" i="40" s="1"/>
  <c r="P149" i="40"/>
  <c r="P150" i="40" s="1"/>
  <c r="V149" i="40"/>
  <c r="S93" i="40"/>
  <c r="S99" i="40"/>
  <c r="S100" i="40" s="1"/>
  <c r="Q109" i="40"/>
  <c r="Q110" i="40" s="1"/>
  <c r="Q103" i="40"/>
  <c r="Q153" i="40"/>
  <c r="Q159" i="40"/>
  <c r="Q160" i="40" s="1"/>
  <c r="V63" i="40"/>
  <c r="V69" i="40"/>
  <c r="T149" i="40"/>
  <c r="T150" i="40" s="1"/>
  <c r="P69" i="40"/>
  <c r="P70" i="40" s="1"/>
  <c r="P63" i="40"/>
  <c r="R93" i="40"/>
  <c r="R99" i="40"/>
  <c r="R100" i="40" s="1"/>
  <c r="V183" i="40"/>
  <c r="V189" i="40"/>
  <c r="U103" i="40"/>
  <c r="U109" i="40"/>
  <c r="U110" i="40" s="1"/>
  <c r="U179" i="40"/>
  <c r="U180" i="40" s="1"/>
  <c r="R103" i="40"/>
  <c r="R109" i="40"/>
  <c r="R110" i="40" s="1"/>
  <c r="H51" i="36"/>
  <c r="H49" i="36" s="1"/>
  <c r="H50" i="36"/>
  <c r="F41" i="36"/>
  <c r="F39" i="36" s="1"/>
  <c r="F40" i="36"/>
  <c r="G51" i="36"/>
  <c r="G49" i="36" s="1"/>
  <c r="G50" i="36"/>
  <c r="H36" i="36"/>
  <c r="H34" i="36" s="1"/>
  <c r="H35" i="36"/>
  <c r="G45" i="36"/>
  <c r="G46" i="36"/>
  <c r="G44" i="36" s="1"/>
  <c r="J50" i="36"/>
  <c r="J51" i="36"/>
  <c r="J49" i="36" s="1"/>
  <c r="J46" i="36"/>
  <c r="J44" i="36" s="1"/>
  <c r="J45" i="36"/>
  <c r="I45" i="36"/>
  <c r="I46" i="36"/>
  <c r="I44" i="36" s="1"/>
  <c r="I41" i="36"/>
  <c r="I39" i="36" s="1"/>
  <c r="I40" i="36"/>
  <c r="L51" i="36"/>
  <c r="L49" i="36" s="1"/>
  <c r="L50" i="36"/>
  <c r="J40" i="36"/>
  <c r="J41" i="36"/>
  <c r="J39" i="36" s="1"/>
  <c r="F51" i="36"/>
  <c r="F49" i="36" s="1"/>
  <c r="F50" i="36"/>
  <c r="K51" i="36"/>
  <c r="K49" i="36" s="1"/>
  <c r="K50" i="36"/>
  <c r="F46" i="36"/>
  <c r="F44" i="36" s="1"/>
  <c r="F45" i="36"/>
  <c r="L36" i="36"/>
  <c r="L34" i="36" s="1"/>
  <c r="L35" i="36"/>
  <c r="I50" i="36"/>
  <c r="I51" i="36"/>
  <c r="I49" i="36" s="1"/>
  <c r="E129" i="16"/>
  <c r="E66" i="16"/>
  <c r="E81" i="6"/>
  <c r="E66" i="6"/>
  <c r="F25" i="33"/>
  <c r="F24" i="33"/>
  <c r="F26" i="33"/>
  <c r="F21" i="30"/>
  <c r="F20" i="30"/>
  <c r="F22" i="30"/>
  <c r="F22" i="28"/>
  <c r="F21" i="28"/>
  <c r="F23" i="28"/>
  <c r="F35" i="26"/>
  <c r="F34" i="26"/>
  <c r="F36" i="26"/>
  <c r="F32" i="22"/>
  <c r="F31" i="22"/>
  <c r="F30" i="22"/>
  <c r="F32" i="18"/>
  <c r="F31" i="18"/>
  <c r="F30" i="18"/>
  <c r="F32" i="16"/>
  <c r="F31" i="16"/>
  <c r="F30" i="16"/>
  <c r="V180" i="40" l="1"/>
  <c r="W140" i="40"/>
  <c r="X139" i="40"/>
  <c r="X140" i="40" s="1"/>
  <c r="X119" i="40"/>
  <c r="X120" i="40" s="1"/>
  <c r="W120" i="40"/>
  <c r="X59" i="40"/>
  <c r="X60" i="40" s="1"/>
  <c r="W60" i="40"/>
  <c r="W180" i="40"/>
  <c r="X179" i="40"/>
  <c r="X180" i="40" s="1"/>
  <c r="V160" i="40"/>
  <c r="W159" i="40"/>
  <c r="V190" i="40"/>
  <c r="W189" i="40"/>
  <c r="V170" i="40"/>
  <c r="W169" i="40"/>
  <c r="V110" i="40"/>
  <c r="W109" i="40"/>
  <c r="W90" i="40"/>
  <c r="X89" i="40"/>
  <c r="X90" i="40" s="1"/>
  <c r="V70" i="40"/>
  <c r="W69" i="40"/>
  <c r="V150" i="40"/>
  <c r="W149" i="40"/>
  <c r="V100" i="40"/>
  <c r="W99" i="40"/>
  <c r="W80" i="40"/>
  <c r="X79" i="40"/>
  <c r="X80" i="40" s="1"/>
  <c r="X199" i="40"/>
  <c r="X200" i="40" s="1"/>
  <c r="W200" i="40"/>
  <c r="W130" i="40"/>
  <c r="X129" i="40"/>
  <c r="X130" i="40" s="1"/>
  <c r="F32" i="6"/>
  <c r="F31" i="6"/>
  <c r="F30" i="6"/>
  <c r="L44" i="33"/>
  <c r="H63" i="33"/>
  <c r="F84" i="34"/>
  <c r="J63" i="33" s="1"/>
  <c r="F83" i="34"/>
  <c r="I56" i="33" s="1"/>
  <c r="F82" i="34"/>
  <c r="F81" i="34"/>
  <c r="F80" i="34"/>
  <c r="F57" i="33" s="1"/>
  <c r="C29" i="34"/>
  <c r="D30" i="34" s="1"/>
  <c r="C66" i="27"/>
  <c r="L34" i="33"/>
  <c r="K17" i="33"/>
  <c r="K34" i="33" s="1"/>
  <c r="B12" i="34"/>
  <c r="F20" i="34" s="1"/>
  <c r="F19" i="34"/>
  <c r="F21" i="34" s="1"/>
  <c r="K33" i="33"/>
  <c r="L31" i="33"/>
  <c r="K31" i="33"/>
  <c r="L30" i="33"/>
  <c r="C32" i="33"/>
  <c r="F12" i="34"/>
  <c r="J32" i="33" s="1"/>
  <c r="D12" i="34"/>
  <c r="N9" i="29"/>
  <c r="N7" i="29"/>
  <c r="N10" i="29" s="1"/>
  <c r="N12" i="29" s="1"/>
  <c r="L30" i="28"/>
  <c r="K30" i="28"/>
  <c r="L29" i="28"/>
  <c r="L28" i="28"/>
  <c r="L27" i="28"/>
  <c r="K27" i="28"/>
  <c r="C29" i="28"/>
  <c r="C28" i="28"/>
  <c r="C27" i="28"/>
  <c r="C30" i="27"/>
  <c r="C32" i="27" s="1"/>
  <c r="K245" i="26"/>
  <c r="I245" i="26" s="1"/>
  <c r="I103" i="26"/>
  <c r="I74" i="26"/>
  <c r="I73" i="26"/>
  <c r="B48" i="27"/>
  <c r="F58" i="27" s="1"/>
  <c r="K47" i="26"/>
  <c r="L46" i="26"/>
  <c r="L45" i="26"/>
  <c r="K45" i="26"/>
  <c r="K44" i="26"/>
  <c r="L42" i="26"/>
  <c r="K42" i="26"/>
  <c r="K41" i="26"/>
  <c r="K40" i="26"/>
  <c r="L41" i="26"/>
  <c r="L40" i="26"/>
  <c r="E48" i="27"/>
  <c r="F57" i="27" s="1"/>
  <c r="F59" i="27" s="1"/>
  <c r="I67" i="22"/>
  <c r="I66" i="22"/>
  <c r="Z7" i="23"/>
  <c r="Z9" i="23" s="1"/>
  <c r="Y7" i="23"/>
  <c r="Z10" i="23" s="1"/>
  <c r="Z12" i="23" s="1"/>
  <c r="K42" i="22"/>
  <c r="K40" i="22"/>
  <c r="K37" i="22"/>
  <c r="K36" i="22"/>
  <c r="L37" i="22"/>
  <c r="L36" i="22"/>
  <c r="C12" i="22"/>
  <c r="I68" i="18"/>
  <c r="I67" i="18"/>
  <c r="Z7" i="19"/>
  <c r="Z9" i="19" s="1"/>
  <c r="Y7" i="19"/>
  <c r="Z10" i="19" s="1"/>
  <c r="K40" i="18"/>
  <c r="K42" i="18"/>
  <c r="K37" i="18"/>
  <c r="K36" i="18"/>
  <c r="L37" i="18"/>
  <c r="L36" i="18"/>
  <c r="F2" i="19"/>
  <c r="J38" i="18" s="1"/>
  <c r="H68" i="16"/>
  <c r="AD114" i="17"/>
  <c r="AC101" i="17" s="1"/>
  <c r="AC103" i="17" s="1"/>
  <c r="Y114" i="17"/>
  <c r="AC124" i="17" s="1"/>
  <c r="AC100" i="17" s="1"/>
  <c r="AC102" i="17" s="1"/>
  <c r="AB114" i="17"/>
  <c r="AC123" i="17" s="1"/>
  <c r="AC125" i="17" s="1"/>
  <c r="K37" i="16"/>
  <c r="K36" i="16"/>
  <c r="L42" i="16"/>
  <c r="L41" i="16"/>
  <c r="K41" i="16"/>
  <c r="L38" i="16"/>
  <c r="K38" i="16"/>
  <c r="L37" i="16"/>
  <c r="L36" i="16"/>
  <c r="AC114" i="17"/>
  <c r="J39" i="16" s="1"/>
  <c r="J69" i="16" s="1"/>
  <c r="X69" i="40" l="1"/>
  <c r="X70" i="40" s="1"/>
  <c r="W70" i="40"/>
  <c r="X109" i="40"/>
  <c r="X110" i="40" s="1"/>
  <c r="W110" i="40"/>
  <c r="W190" i="40"/>
  <c r="X189" i="40"/>
  <c r="X190" i="40" s="1"/>
  <c r="W100" i="40"/>
  <c r="X99" i="40"/>
  <c r="X100" i="40" s="1"/>
  <c r="X149" i="40"/>
  <c r="X150" i="40" s="1"/>
  <c r="W150" i="40"/>
  <c r="X169" i="40"/>
  <c r="X170" i="40" s="1"/>
  <c r="W170" i="40"/>
  <c r="W160" i="40"/>
  <c r="X159" i="40"/>
  <c r="X160" i="40" s="1"/>
  <c r="C63" i="33"/>
  <c r="C53" i="33"/>
  <c r="F22" i="34"/>
  <c r="F23" i="34" s="1"/>
  <c r="N11" i="29"/>
  <c r="N13" i="29" s="1"/>
  <c r="N14" i="29" s="1"/>
  <c r="D7" i="29" s="1"/>
  <c r="F60" i="27"/>
  <c r="F61" i="27" s="1"/>
  <c r="F62" i="27" s="1"/>
  <c r="C69" i="27" s="1"/>
  <c r="G30" i="27"/>
  <c r="G32" i="27" s="1"/>
  <c r="Z11" i="23"/>
  <c r="Z13" i="23" s="1"/>
  <c r="Z14" i="23" s="1"/>
  <c r="C23" i="23" s="1"/>
  <c r="I69" i="18"/>
  <c r="Z12" i="19"/>
  <c r="Z11" i="19"/>
  <c r="AC104" i="17"/>
  <c r="AC105" i="17" s="1"/>
  <c r="AC106" i="17" s="1"/>
  <c r="E67" i="16"/>
  <c r="AC126" i="17"/>
  <c r="D25" i="15"/>
  <c r="AK180" i="15"/>
  <c r="AK179" i="15"/>
  <c r="AK178" i="15"/>
  <c r="AK177" i="15"/>
  <c r="AK176" i="15"/>
  <c r="AK175" i="15"/>
  <c r="AK174" i="15"/>
  <c r="AK173" i="15"/>
  <c r="AK172" i="15"/>
  <c r="AK171" i="15"/>
  <c r="AK170" i="15"/>
  <c r="AK169" i="15"/>
  <c r="AK168" i="15"/>
  <c r="AK167" i="15"/>
  <c r="AK166" i="15"/>
  <c r="AK165" i="15"/>
  <c r="AK164" i="15"/>
  <c r="AK163" i="15"/>
  <c r="AK162" i="15"/>
  <c r="AK161" i="15"/>
  <c r="AK160" i="15"/>
  <c r="AK159" i="15"/>
  <c r="AK158" i="15"/>
  <c r="AK157" i="15"/>
  <c r="AK156" i="15"/>
  <c r="AK155" i="15"/>
  <c r="AK154" i="15"/>
  <c r="AK153" i="15"/>
  <c r="AK152" i="15"/>
  <c r="AK151" i="15"/>
  <c r="AK150" i="15"/>
  <c r="AK149" i="15"/>
  <c r="AK148" i="15"/>
  <c r="AK147" i="15"/>
  <c r="AK146" i="15"/>
  <c r="AK145" i="15"/>
  <c r="AK144" i="15"/>
  <c r="AK143" i="15"/>
  <c r="AK142" i="15"/>
  <c r="AK141" i="15"/>
  <c r="AK140" i="15"/>
  <c r="AK139" i="15"/>
  <c r="AK138" i="15"/>
  <c r="AK137" i="15"/>
  <c r="AK136" i="15"/>
  <c r="AK135" i="15"/>
  <c r="AK134" i="15"/>
  <c r="AK133" i="15"/>
  <c r="AK132" i="15"/>
  <c r="AK131" i="15"/>
  <c r="AK130" i="15"/>
  <c r="AK129" i="15"/>
  <c r="AK128" i="15"/>
  <c r="AK127" i="15"/>
  <c r="AK126" i="15"/>
  <c r="AK125" i="15"/>
  <c r="AK124" i="15"/>
  <c r="AK123" i="15"/>
  <c r="AK122" i="15"/>
  <c r="AK121" i="15"/>
  <c r="AK120" i="15"/>
  <c r="AK119" i="15"/>
  <c r="AK118" i="15"/>
  <c r="AK117" i="15"/>
  <c r="AK116" i="15"/>
  <c r="AK115" i="15"/>
  <c r="AK114" i="15"/>
  <c r="AK113" i="15"/>
  <c r="AK112" i="15"/>
  <c r="AK111" i="15"/>
  <c r="AK110" i="15"/>
  <c r="AK109" i="15"/>
  <c r="AK108" i="15"/>
  <c r="AK107" i="15"/>
  <c r="AK106" i="15"/>
  <c r="AK105" i="15"/>
  <c r="AK104" i="15"/>
  <c r="AK103" i="15"/>
  <c r="AK102" i="15"/>
  <c r="AK101" i="15"/>
  <c r="AK100" i="15"/>
  <c r="AK99" i="15"/>
  <c r="AK98" i="15"/>
  <c r="AK97" i="15"/>
  <c r="AK96" i="15"/>
  <c r="AK95" i="15"/>
  <c r="AK94" i="15"/>
  <c r="AK93" i="15"/>
  <c r="AK92" i="15"/>
  <c r="AK91" i="15"/>
  <c r="AK90" i="15"/>
  <c r="AK89" i="15"/>
  <c r="AK88" i="15"/>
  <c r="AK87" i="15"/>
  <c r="AK86" i="15"/>
  <c r="AK85" i="15"/>
  <c r="AK84" i="15"/>
  <c r="AK83" i="15"/>
  <c r="AK82" i="15"/>
  <c r="AK81" i="15"/>
  <c r="AK80" i="15"/>
  <c r="AK79" i="15"/>
  <c r="AK78" i="15"/>
  <c r="AK77" i="15"/>
  <c r="AK76" i="15"/>
  <c r="AK75" i="15"/>
  <c r="AK74" i="15"/>
  <c r="AK73" i="15"/>
  <c r="AK72" i="15"/>
  <c r="AK71" i="15"/>
  <c r="AK70" i="15"/>
  <c r="AK69" i="15"/>
  <c r="AK68" i="15"/>
  <c r="AK67" i="15"/>
  <c r="AK66" i="15"/>
  <c r="AK65" i="15"/>
  <c r="AK64" i="15"/>
  <c r="AK63" i="15"/>
  <c r="AK62" i="15"/>
  <c r="AK61" i="15"/>
  <c r="AK60" i="15"/>
  <c r="AK59" i="15"/>
  <c r="AK58" i="15"/>
  <c r="AK57" i="15"/>
  <c r="AK56" i="15"/>
  <c r="AK55" i="15"/>
  <c r="AK54" i="15"/>
  <c r="AK53" i="15"/>
  <c r="AK52" i="15"/>
  <c r="AK51" i="15"/>
  <c r="AK50" i="15"/>
  <c r="AK49" i="15"/>
  <c r="AK48" i="15"/>
  <c r="AK47" i="15"/>
  <c r="AK46" i="15"/>
  <c r="AK45" i="15"/>
  <c r="AK44" i="15"/>
  <c r="AK43" i="15"/>
  <c r="AK42" i="15"/>
  <c r="AK41" i="15"/>
  <c r="AK40" i="15"/>
  <c r="AK39" i="15"/>
  <c r="AK38" i="15"/>
  <c r="AK37" i="15"/>
  <c r="AK36" i="15"/>
  <c r="AK35" i="15"/>
  <c r="AK34" i="15"/>
  <c r="AK33" i="15"/>
  <c r="AK32" i="15"/>
  <c r="AK31" i="15"/>
  <c r="L42" i="6"/>
  <c r="L41" i="6"/>
  <c r="K41" i="6"/>
  <c r="L38" i="6"/>
  <c r="K38" i="6"/>
  <c r="G48" i="27" s="1"/>
  <c r="G31" i="27" s="1"/>
  <c r="G33" i="27" s="1"/>
  <c r="L37" i="6"/>
  <c r="K37" i="6"/>
  <c r="L36" i="6"/>
  <c r="K36" i="6"/>
  <c r="L56" i="33"/>
  <c r="G25" i="15"/>
  <c r="F12" i="15" s="1"/>
  <c r="I67" i="6"/>
  <c r="I68" i="6"/>
  <c r="F24" i="34" l="1"/>
  <c r="E44" i="33" s="1"/>
  <c r="G34" i="27"/>
  <c r="G35" i="27" s="1"/>
  <c r="G36" i="27" s="1"/>
  <c r="Z13" i="19"/>
  <c r="Z14" i="19" s="1"/>
  <c r="C23" i="19" s="1"/>
  <c r="E67" i="18" s="1"/>
  <c r="AC127" i="17"/>
  <c r="B25" i="15"/>
  <c r="F35" i="15" s="1"/>
  <c r="F31" i="15"/>
  <c r="H148" i="18"/>
  <c r="D185" i="18" s="1"/>
  <c r="H147" i="18"/>
  <c r="D178" i="18" s="1"/>
  <c r="M147" i="18"/>
  <c r="K26" i="6"/>
  <c r="D25" i="31"/>
  <c r="H61" i="30" s="1"/>
  <c r="K61" i="30"/>
  <c r="F15" i="31"/>
  <c r="F14" i="31"/>
  <c r="J29" i="30"/>
  <c r="J26" i="30"/>
  <c r="I86" i="28"/>
  <c r="I83" i="28"/>
  <c r="I62" i="28"/>
  <c r="G9" i="29"/>
  <c r="G8" i="29"/>
  <c r="I85" i="28" s="1"/>
  <c r="G7" i="29"/>
  <c r="I84" i="28" s="1"/>
  <c r="F71" i="27"/>
  <c r="F69" i="27"/>
  <c r="I48" i="28"/>
  <c r="E47" i="28"/>
  <c r="C13" i="31" l="1"/>
  <c r="C16" i="31"/>
  <c r="A16" i="31" s="1"/>
  <c r="C11" i="31"/>
  <c r="C10" i="31"/>
  <c r="A10" i="31" s="1"/>
  <c r="C17" i="31"/>
  <c r="A17" i="31" s="1"/>
  <c r="E46" i="33"/>
  <c r="C52" i="33" s="1"/>
  <c r="E68" i="16"/>
  <c r="I87" i="28"/>
  <c r="C15" i="31"/>
  <c r="C14" i="31"/>
  <c r="C12" i="31"/>
  <c r="J28" i="30"/>
  <c r="J27" i="30"/>
  <c r="D6" i="29"/>
  <c r="E48" i="28" s="1"/>
  <c r="K28" i="28"/>
  <c r="K29" i="28"/>
  <c r="M62" i="28"/>
  <c r="F63" i="28" s="1"/>
  <c r="E74" i="28" s="1"/>
  <c r="D83" i="28"/>
  <c r="K30" i="26"/>
  <c r="E88" i="26" s="1"/>
  <c r="K26" i="22"/>
  <c r="E81" i="22" s="1"/>
  <c r="K26" i="18"/>
  <c r="E82" i="18" s="1"/>
  <c r="K26" i="16"/>
  <c r="E130" i="16" s="1"/>
  <c r="E82" i="6"/>
  <c r="J94" i="28" l="1"/>
  <c r="C59" i="28"/>
  <c r="C60" i="28" s="1"/>
  <c r="A15" i="31"/>
  <c r="A12" i="31"/>
  <c r="A14" i="31"/>
  <c r="A13" i="31"/>
  <c r="A11" i="31"/>
  <c r="E50" i="28"/>
  <c r="J92" i="28" s="1"/>
  <c r="J93" i="28"/>
  <c r="E49" i="28"/>
  <c r="F170" i="27"/>
  <c r="F169" i="27"/>
  <c r="C276" i="26" s="1"/>
  <c r="F168" i="27"/>
  <c r="F167" i="27"/>
  <c r="F166" i="27"/>
  <c r="F70" i="27"/>
  <c r="D65" i="27"/>
  <c r="I267" i="26"/>
  <c r="I188" i="26"/>
  <c r="J274" i="26" s="1"/>
  <c r="I187" i="26"/>
  <c r="I186" i="26"/>
  <c r="I153" i="26"/>
  <c r="D185" i="26" s="1"/>
  <c r="C274" i="26" s="1"/>
  <c r="K23" i="26"/>
  <c r="J356" i="27"/>
  <c r="J353" i="27" s="1"/>
  <c r="J352" i="27" s="1"/>
  <c r="J354" i="27" s="1"/>
  <c r="J355" i="27" s="1"/>
  <c r="J346" i="27"/>
  <c r="J343" i="27" s="1"/>
  <c r="J342" i="27" s="1"/>
  <c r="J344" i="27" s="1"/>
  <c r="J345" i="27" s="1"/>
  <c r="J336" i="27"/>
  <c r="J339" i="27" s="1"/>
  <c r="J340" i="27" s="1"/>
  <c r="J326" i="27"/>
  <c r="J323" i="27" s="1"/>
  <c r="J322" i="27" s="1"/>
  <c r="J324" i="27" s="1"/>
  <c r="J325" i="27" s="1"/>
  <c r="U321" i="27"/>
  <c r="U320" i="27"/>
  <c r="U319" i="27"/>
  <c r="U318" i="27"/>
  <c r="U317" i="27"/>
  <c r="U316" i="27"/>
  <c r="J316" i="27"/>
  <c r="J319" i="27" s="1"/>
  <c r="J320" i="27" s="1"/>
  <c r="U315" i="27"/>
  <c r="U314" i="27"/>
  <c r="U313" i="27"/>
  <c r="U312" i="27"/>
  <c r="U311" i="27"/>
  <c r="U310" i="27"/>
  <c r="U309" i="27"/>
  <c r="U308" i="27"/>
  <c r="U307" i="27"/>
  <c r="U306" i="27"/>
  <c r="J306" i="27"/>
  <c r="J309" i="27" s="1"/>
  <c r="J310" i="27" s="1"/>
  <c r="U305" i="27"/>
  <c r="U304" i="27"/>
  <c r="U303" i="27"/>
  <c r="U302" i="27"/>
  <c r="U301" i="27"/>
  <c r="U300" i="27"/>
  <c r="U299" i="27"/>
  <c r="U298" i="27"/>
  <c r="U297" i="27"/>
  <c r="U296" i="27"/>
  <c r="U295" i="27"/>
  <c r="U294" i="27"/>
  <c r="U293" i="27"/>
  <c r="J293" i="27"/>
  <c r="J289" i="27" s="1"/>
  <c r="J287" i="27" s="1"/>
  <c r="J288" i="27" s="1"/>
  <c r="U292" i="27"/>
  <c r="U291" i="27"/>
  <c r="U290" i="27"/>
  <c r="U289" i="27"/>
  <c r="U288" i="27"/>
  <c r="U287" i="27"/>
  <c r="U286" i="27"/>
  <c r="U285" i="27"/>
  <c r="U284" i="27"/>
  <c r="U283" i="27"/>
  <c r="U282" i="27"/>
  <c r="J282" i="27"/>
  <c r="J283" i="27" s="1"/>
  <c r="J284" i="27" s="1"/>
  <c r="U281" i="27"/>
  <c r="U280" i="27"/>
  <c r="U279" i="27"/>
  <c r="U278" i="27"/>
  <c r="U277" i="27"/>
  <c r="U276" i="27"/>
  <c r="U275" i="27"/>
  <c r="J275" i="27"/>
  <c r="J277" i="27" s="1"/>
  <c r="U274" i="27"/>
  <c r="U273" i="27"/>
  <c r="U272" i="27"/>
  <c r="U271" i="27"/>
  <c r="U270" i="27"/>
  <c r="U269" i="27"/>
  <c r="J269" i="27"/>
  <c r="J270" i="27" s="1"/>
  <c r="U268" i="27"/>
  <c r="U267" i="27"/>
  <c r="U266" i="27"/>
  <c r="U265" i="27"/>
  <c r="U264" i="27"/>
  <c r="J264" i="27"/>
  <c r="J265" i="27" s="1"/>
  <c r="J266" i="27" s="1"/>
  <c r="U263" i="27"/>
  <c r="U262" i="27"/>
  <c r="U261" i="27"/>
  <c r="K255" i="27"/>
  <c r="L255" i="27" s="1"/>
  <c r="M255" i="27" s="1"/>
  <c r="N255" i="27" s="1"/>
  <c r="O255" i="27" s="1"/>
  <c r="P255" i="27" s="1"/>
  <c r="Q255" i="27" s="1"/>
  <c r="R255" i="27" s="1"/>
  <c r="S255" i="27" s="1"/>
  <c r="T255" i="27" s="1"/>
  <c r="J250" i="27"/>
  <c r="J253" i="27" s="1"/>
  <c r="J254" i="27" s="1"/>
  <c r="K245" i="27"/>
  <c r="J240" i="27"/>
  <c r="J238" i="27" s="1"/>
  <c r="K235" i="27"/>
  <c r="J230" i="27"/>
  <c r="J233" i="27" s="1"/>
  <c r="J234" i="27" s="1"/>
  <c r="K225" i="27"/>
  <c r="J220" i="27"/>
  <c r="J223" i="27" s="1"/>
  <c r="J224" i="27" s="1"/>
  <c r="T210" i="27"/>
  <c r="T213" i="27" s="1"/>
  <c r="T214" i="27" s="1"/>
  <c r="S210" i="27"/>
  <c r="R210" i="27"/>
  <c r="R208" i="27" s="1"/>
  <c r="R206" i="27" s="1"/>
  <c r="R207" i="27" s="1"/>
  <c r="Q210" i="27"/>
  <c r="P210" i="27"/>
  <c r="P213" i="27" s="1"/>
  <c r="P214" i="27" s="1"/>
  <c r="O210" i="27"/>
  <c r="N210" i="27"/>
  <c r="N208" i="27" s="1"/>
  <c r="M210" i="27"/>
  <c r="L210" i="27"/>
  <c r="L213" i="27" s="1"/>
  <c r="L214" i="27" s="1"/>
  <c r="K210" i="27"/>
  <c r="J210" i="27"/>
  <c r="J208" i="27" s="1"/>
  <c r="D67" i="27"/>
  <c r="F54" i="27"/>
  <c r="F48" i="27"/>
  <c r="K74" i="26" s="1"/>
  <c r="D48" i="27"/>
  <c r="H276" i="26"/>
  <c r="L267" i="26"/>
  <c r="H256" i="26"/>
  <c r="C27" i="27" s="1"/>
  <c r="C31" i="27" s="1"/>
  <c r="C33" i="27" s="1"/>
  <c r="C34" i="27" s="1"/>
  <c r="C35" i="27" s="1"/>
  <c r="E256" i="26" s="1"/>
  <c r="I185" i="26"/>
  <c r="H274" i="26" s="1"/>
  <c r="H275" i="26" s="1"/>
  <c r="L153" i="26"/>
  <c r="F154" i="26" s="1"/>
  <c r="E165" i="26" s="1"/>
  <c r="E102" i="26"/>
  <c r="C70" i="27"/>
  <c r="E91" i="26" s="1"/>
  <c r="G38" i="27" s="1"/>
  <c r="I170" i="22"/>
  <c r="J263" i="22" s="1"/>
  <c r="I163" i="22"/>
  <c r="J262" i="22" s="1"/>
  <c r="I162" i="22"/>
  <c r="I161" i="22"/>
  <c r="J261" i="22"/>
  <c r="C261" i="22"/>
  <c r="P14" i="24"/>
  <c r="P16" i="38" s="1"/>
  <c r="P13" i="24"/>
  <c r="P15" i="38" s="1"/>
  <c r="P12" i="24"/>
  <c r="D172" i="22"/>
  <c r="J171" i="22"/>
  <c r="D170" i="22"/>
  <c r="D171" i="22"/>
  <c r="J169" i="22"/>
  <c r="I169" i="22"/>
  <c r="D169" i="22"/>
  <c r="J168" i="22"/>
  <c r="I168" i="22"/>
  <c r="D168" i="22"/>
  <c r="J167" i="22"/>
  <c r="I167" i="22"/>
  <c r="H263" i="22" s="1"/>
  <c r="F23" i="23"/>
  <c r="H140" i="22"/>
  <c r="D167" i="22" s="1"/>
  <c r="C263" i="22" s="1"/>
  <c r="M139" i="22"/>
  <c r="H139" i="22"/>
  <c r="D160" i="22" s="1"/>
  <c r="C262" i="22" s="1"/>
  <c r="F120" i="23"/>
  <c r="C24" i="23"/>
  <c r="E83" i="22" s="1"/>
  <c r="E121" i="22" s="1"/>
  <c r="D19" i="23"/>
  <c r="K41" i="22"/>
  <c r="F2" i="23"/>
  <c r="E2" i="23"/>
  <c r="C12" i="18"/>
  <c r="C12" i="16"/>
  <c r="B276" i="25"/>
  <c r="N262" i="25"/>
  <c r="O262" i="25" s="1"/>
  <c r="N261" i="25"/>
  <c r="D261" i="25"/>
  <c r="E261" i="25" s="1"/>
  <c r="A261" i="25"/>
  <c r="O260" i="25"/>
  <c r="M260" i="25"/>
  <c r="M262" i="25" s="1"/>
  <c r="D260" i="25"/>
  <c r="D262" i="25" s="1"/>
  <c r="N259" i="25"/>
  <c r="E259" i="25"/>
  <c r="K259" i="25" s="1"/>
  <c r="N257" i="25"/>
  <c r="O257" i="25" s="1"/>
  <c r="N256" i="25"/>
  <c r="D256" i="25"/>
  <c r="E256" i="25" s="1"/>
  <c r="L256" i="25" s="1"/>
  <c r="A256" i="25"/>
  <c r="O255" i="25"/>
  <c r="M255" i="25"/>
  <c r="M257" i="25" s="1"/>
  <c r="D255" i="25"/>
  <c r="N254" i="25"/>
  <c r="E254" i="25"/>
  <c r="E260" i="25" s="1"/>
  <c r="E262" i="25" s="1"/>
  <c r="N252" i="25"/>
  <c r="O252" i="25" s="1"/>
  <c r="N251" i="25"/>
  <c r="D251" i="25"/>
  <c r="E251" i="25" s="1"/>
  <c r="I251" i="25" s="1"/>
  <c r="A251" i="25"/>
  <c r="O250" i="25"/>
  <c r="M250" i="25"/>
  <c r="M252" i="25" s="1"/>
  <c r="D250" i="25"/>
  <c r="D252" i="25" s="1"/>
  <c r="N249" i="25"/>
  <c r="E249" i="25"/>
  <c r="I249" i="25" s="1"/>
  <c r="I250" i="25" s="1"/>
  <c r="I252" i="25" s="1"/>
  <c r="N247" i="25"/>
  <c r="O247" i="25" s="1"/>
  <c r="N246" i="25"/>
  <c r="D246" i="25"/>
  <c r="E246" i="25" s="1"/>
  <c r="A246" i="25"/>
  <c r="O245" i="25"/>
  <c r="M245" i="25"/>
  <c r="M247" i="25" s="1"/>
  <c r="D245" i="25"/>
  <c r="D247" i="25" s="1"/>
  <c r="N244" i="25"/>
  <c r="E244" i="25"/>
  <c r="I244" i="25" s="1"/>
  <c r="I245" i="25" s="1"/>
  <c r="I247" i="25" s="1"/>
  <c r="N242" i="25"/>
  <c r="O242" i="25" s="1"/>
  <c r="N241" i="25"/>
  <c r="D241" i="25"/>
  <c r="E241" i="25" s="1"/>
  <c r="A241" i="25"/>
  <c r="O240" i="25"/>
  <c r="M240" i="25"/>
  <c r="M242" i="25" s="1"/>
  <c r="D240" i="25"/>
  <c r="D242" i="25" s="1"/>
  <c r="N239" i="25"/>
  <c r="E239" i="25"/>
  <c r="K239" i="25" s="1"/>
  <c r="K240" i="25" s="1"/>
  <c r="K242" i="25" s="1"/>
  <c r="N237" i="25"/>
  <c r="O237" i="25" s="1"/>
  <c r="N236" i="25"/>
  <c r="D236" i="25"/>
  <c r="E236" i="25" s="1"/>
  <c r="H236" i="25" s="1"/>
  <c r="A236" i="25"/>
  <c r="O235" i="25"/>
  <c r="M235" i="25"/>
  <c r="M237" i="25" s="1"/>
  <c r="D235" i="25"/>
  <c r="N234" i="25"/>
  <c r="E234" i="25"/>
  <c r="E235" i="25" s="1"/>
  <c r="E237" i="25" s="1"/>
  <c r="N232" i="25"/>
  <c r="O232" i="25" s="1"/>
  <c r="N231" i="25"/>
  <c r="D231" i="25"/>
  <c r="E231" i="25" s="1"/>
  <c r="A231" i="25"/>
  <c r="O230" i="25"/>
  <c r="M230" i="25"/>
  <c r="M232" i="25" s="1"/>
  <c r="D230" i="25"/>
  <c r="D232" i="25" s="1"/>
  <c r="N229" i="25"/>
  <c r="E229" i="25"/>
  <c r="I229" i="25" s="1"/>
  <c r="I230" i="25" s="1"/>
  <c r="I232" i="25" s="1"/>
  <c r="N227" i="25"/>
  <c r="O227" i="25" s="1"/>
  <c r="N226" i="25"/>
  <c r="D226" i="25"/>
  <c r="E226" i="25" s="1"/>
  <c r="A226" i="25"/>
  <c r="O225" i="25"/>
  <c r="M225" i="25"/>
  <c r="M227" i="25" s="1"/>
  <c r="D225" i="25"/>
  <c r="D227" i="25" s="1"/>
  <c r="N224" i="25"/>
  <c r="E224" i="25"/>
  <c r="I224" i="25" s="1"/>
  <c r="I225" i="25" s="1"/>
  <c r="I227" i="25" s="1"/>
  <c r="N222" i="25"/>
  <c r="O222" i="25" s="1"/>
  <c r="N221" i="25"/>
  <c r="D221" i="25"/>
  <c r="E221" i="25" s="1"/>
  <c r="L221" i="25" s="1"/>
  <c r="A221" i="25"/>
  <c r="O220" i="25"/>
  <c r="M220" i="25"/>
  <c r="M222" i="25" s="1"/>
  <c r="D220" i="25"/>
  <c r="D222" i="25" s="1"/>
  <c r="N219" i="25"/>
  <c r="E219" i="25"/>
  <c r="K219" i="25" s="1"/>
  <c r="K220" i="25" s="1"/>
  <c r="K222" i="25" s="1"/>
  <c r="N217" i="25"/>
  <c r="N216" i="25"/>
  <c r="D216" i="25"/>
  <c r="E216" i="25" s="1"/>
  <c r="A216" i="25"/>
  <c r="M215" i="25"/>
  <c r="M217" i="25" s="1"/>
  <c r="D215" i="25"/>
  <c r="C215" i="25" s="1"/>
  <c r="C217" i="25" s="1"/>
  <c r="N214" i="25"/>
  <c r="E214" i="25"/>
  <c r="I214" i="25" s="1"/>
  <c r="I215" i="25" s="1"/>
  <c r="I217" i="25" s="1"/>
  <c r="N212" i="25"/>
  <c r="O212" i="25" s="1"/>
  <c r="N211" i="25"/>
  <c r="D211" i="25"/>
  <c r="E211" i="25" s="1"/>
  <c r="A211" i="25"/>
  <c r="O210" i="25"/>
  <c r="M210" i="25"/>
  <c r="M212" i="25" s="1"/>
  <c r="D210" i="25"/>
  <c r="D212" i="25" s="1"/>
  <c r="N209" i="25"/>
  <c r="E209" i="25"/>
  <c r="K209" i="25" s="1"/>
  <c r="K210" i="25" s="1"/>
  <c r="K212" i="25" s="1"/>
  <c r="N207" i="25"/>
  <c r="O207" i="25" s="1"/>
  <c r="N206" i="25"/>
  <c r="D206" i="25"/>
  <c r="E206" i="25" s="1"/>
  <c r="A206" i="25"/>
  <c r="O205" i="25"/>
  <c r="M205" i="25"/>
  <c r="M207" i="25" s="1"/>
  <c r="D205" i="25"/>
  <c r="N204" i="25"/>
  <c r="E204" i="25"/>
  <c r="E205" i="25" s="1"/>
  <c r="E207" i="25" s="1"/>
  <c r="N202" i="25"/>
  <c r="O202" i="25" s="1"/>
  <c r="N201" i="25"/>
  <c r="D201" i="25"/>
  <c r="E201" i="25" s="1"/>
  <c r="I201" i="25" s="1"/>
  <c r="A201" i="25"/>
  <c r="O200" i="25"/>
  <c r="M200" i="25"/>
  <c r="M202" i="25" s="1"/>
  <c r="D200" i="25"/>
  <c r="D202" i="25" s="1"/>
  <c r="N199" i="25"/>
  <c r="E199" i="25"/>
  <c r="I199" i="25" s="1"/>
  <c r="I200" i="25" s="1"/>
  <c r="I202" i="25" s="1"/>
  <c r="N197" i="25"/>
  <c r="N196" i="25"/>
  <c r="D196" i="25"/>
  <c r="E196" i="25" s="1"/>
  <c r="I196" i="25" s="1"/>
  <c r="A196" i="25"/>
  <c r="M195" i="25"/>
  <c r="M197" i="25" s="1"/>
  <c r="D195" i="25"/>
  <c r="N194" i="25"/>
  <c r="E194" i="25"/>
  <c r="E195" i="25" s="1"/>
  <c r="E197" i="25" s="1"/>
  <c r="N192" i="25"/>
  <c r="O192" i="25" s="1"/>
  <c r="N191" i="25"/>
  <c r="D191" i="25"/>
  <c r="E191" i="25" s="1"/>
  <c r="I191" i="25" s="1"/>
  <c r="A191" i="25"/>
  <c r="O190" i="25"/>
  <c r="M190" i="25"/>
  <c r="M192" i="25" s="1"/>
  <c r="D190" i="25"/>
  <c r="D192" i="25" s="1"/>
  <c r="N189" i="25"/>
  <c r="E189" i="25"/>
  <c r="I189" i="25" s="1"/>
  <c r="I190" i="25" s="1"/>
  <c r="I192" i="25" s="1"/>
  <c r="N187" i="25"/>
  <c r="O187" i="25" s="1"/>
  <c r="N186" i="25"/>
  <c r="D186" i="25"/>
  <c r="E186" i="25" s="1"/>
  <c r="A186" i="25"/>
  <c r="O185" i="25"/>
  <c r="M185" i="25"/>
  <c r="M187" i="25" s="1"/>
  <c r="D185" i="25"/>
  <c r="D187" i="25" s="1"/>
  <c r="N184" i="25"/>
  <c r="E184" i="25"/>
  <c r="I184" i="25" s="1"/>
  <c r="I185" i="25" s="1"/>
  <c r="I187" i="25" s="1"/>
  <c r="N182" i="25"/>
  <c r="O182" i="25" s="1"/>
  <c r="N181" i="25"/>
  <c r="D181" i="25"/>
  <c r="E181" i="25" s="1"/>
  <c r="A181" i="25"/>
  <c r="O180" i="25"/>
  <c r="M180" i="25"/>
  <c r="M182" i="25" s="1"/>
  <c r="D180" i="25"/>
  <c r="D182" i="25" s="1"/>
  <c r="N179" i="25"/>
  <c r="E179" i="25"/>
  <c r="I179" i="25" s="1"/>
  <c r="I180" i="25" s="1"/>
  <c r="I182" i="25" s="1"/>
  <c r="N177" i="25"/>
  <c r="O177" i="25" s="1"/>
  <c r="O176" i="25"/>
  <c r="N176" i="25"/>
  <c r="D176" i="25"/>
  <c r="E176" i="25" s="1"/>
  <c r="A176" i="25"/>
  <c r="O175" i="25"/>
  <c r="M175" i="25"/>
  <c r="M177" i="25" s="1"/>
  <c r="D175" i="25"/>
  <c r="C175" i="25" s="1"/>
  <c r="C177" i="25" s="1"/>
  <c r="N174" i="25"/>
  <c r="E174" i="25"/>
  <c r="I174" i="25" s="1"/>
  <c r="I175" i="25" s="1"/>
  <c r="I177" i="25" s="1"/>
  <c r="N172" i="25"/>
  <c r="O172" i="25" s="1"/>
  <c r="N171" i="25"/>
  <c r="D171" i="25"/>
  <c r="E171" i="25" s="1"/>
  <c r="F171" i="25" s="1"/>
  <c r="A171" i="25"/>
  <c r="O170" i="25"/>
  <c r="M170" i="25"/>
  <c r="M172" i="25" s="1"/>
  <c r="D170" i="25"/>
  <c r="D172" i="25" s="1"/>
  <c r="N169" i="25"/>
  <c r="E169" i="25"/>
  <c r="L169" i="25" s="1"/>
  <c r="L170" i="25" s="1"/>
  <c r="L172" i="25" s="1"/>
  <c r="N167" i="25"/>
  <c r="O167" i="25" s="1"/>
  <c r="N166" i="25"/>
  <c r="D166" i="25"/>
  <c r="E166" i="25" s="1"/>
  <c r="A166" i="25"/>
  <c r="O165" i="25"/>
  <c r="M165" i="25"/>
  <c r="M167" i="25" s="1"/>
  <c r="D165" i="25"/>
  <c r="D167" i="25" s="1"/>
  <c r="N164" i="25"/>
  <c r="E164" i="25"/>
  <c r="F164" i="25" s="1"/>
  <c r="F165" i="25" s="1"/>
  <c r="F167" i="25" s="1"/>
  <c r="N161" i="25"/>
  <c r="D161" i="25"/>
  <c r="C161" i="25"/>
  <c r="M160" i="25"/>
  <c r="L160" i="25"/>
  <c r="K160" i="25"/>
  <c r="J160" i="25"/>
  <c r="I160" i="25"/>
  <c r="H160" i="25"/>
  <c r="G160" i="25"/>
  <c r="F160" i="25"/>
  <c r="E160" i="25"/>
  <c r="D160" i="25"/>
  <c r="C160" i="25"/>
  <c r="M159" i="25"/>
  <c r="M161" i="25" s="1"/>
  <c r="L159" i="25"/>
  <c r="L161" i="25" s="1"/>
  <c r="K159" i="25"/>
  <c r="K161" i="25" s="1"/>
  <c r="J159" i="25"/>
  <c r="J161" i="25" s="1"/>
  <c r="I159" i="25"/>
  <c r="I161" i="25" s="1"/>
  <c r="H159" i="25"/>
  <c r="H161" i="25" s="1"/>
  <c r="G159" i="25"/>
  <c r="G161" i="25" s="1"/>
  <c r="F159" i="25"/>
  <c r="F161" i="25" s="1"/>
  <c r="E159" i="25"/>
  <c r="E161" i="25" s="1"/>
  <c r="D156" i="25"/>
  <c r="C156" i="25"/>
  <c r="M155" i="25"/>
  <c r="L155" i="25"/>
  <c r="K155" i="25"/>
  <c r="J155" i="25"/>
  <c r="I155" i="25"/>
  <c r="H155" i="25"/>
  <c r="G155" i="25"/>
  <c r="F155" i="25"/>
  <c r="E155" i="25"/>
  <c r="D155" i="25"/>
  <c r="C155" i="25"/>
  <c r="M154" i="25"/>
  <c r="M156" i="25" s="1"/>
  <c r="L154" i="25"/>
  <c r="L156" i="25" s="1"/>
  <c r="K154" i="25"/>
  <c r="K156" i="25" s="1"/>
  <c r="J154" i="25"/>
  <c r="J156" i="25" s="1"/>
  <c r="I154" i="25"/>
  <c r="I156" i="25" s="1"/>
  <c r="H154" i="25"/>
  <c r="H156" i="25" s="1"/>
  <c r="G154" i="25"/>
  <c r="G156" i="25" s="1"/>
  <c r="F154" i="25"/>
  <c r="F156" i="25" s="1"/>
  <c r="E154" i="25"/>
  <c r="E156" i="25" s="1"/>
  <c r="D151" i="25"/>
  <c r="C151" i="25"/>
  <c r="L149" i="25"/>
  <c r="L151" i="25" s="1"/>
  <c r="K149" i="25"/>
  <c r="K151" i="25" s="1"/>
  <c r="J149" i="25"/>
  <c r="J151" i="25" s="1"/>
  <c r="I149" i="25"/>
  <c r="I151" i="25" s="1"/>
  <c r="H149" i="25"/>
  <c r="H151" i="25" s="1"/>
  <c r="G149" i="25"/>
  <c r="G151" i="25" s="1"/>
  <c r="F149" i="25"/>
  <c r="F151" i="25" s="1"/>
  <c r="E149" i="25"/>
  <c r="E151" i="25" s="1"/>
  <c r="D146" i="25"/>
  <c r="C146" i="25"/>
  <c r="L144" i="25"/>
  <c r="L146" i="25" s="1"/>
  <c r="K144" i="25"/>
  <c r="K146" i="25" s="1"/>
  <c r="J144" i="25"/>
  <c r="J146" i="25" s="1"/>
  <c r="I144" i="25"/>
  <c r="I146" i="25" s="1"/>
  <c r="H144" i="25"/>
  <c r="H146" i="25" s="1"/>
  <c r="G144" i="25"/>
  <c r="G146" i="25" s="1"/>
  <c r="F144" i="25"/>
  <c r="F146" i="25" s="1"/>
  <c r="E144" i="25"/>
  <c r="E146" i="25" s="1"/>
  <c r="D141" i="25"/>
  <c r="C141" i="25"/>
  <c r="M139" i="25"/>
  <c r="L139" i="25"/>
  <c r="L141" i="25" s="1"/>
  <c r="K139" i="25"/>
  <c r="K141" i="25" s="1"/>
  <c r="J139" i="25"/>
  <c r="J141" i="25" s="1"/>
  <c r="I139" i="25"/>
  <c r="I141" i="25" s="1"/>
  <c r="H139" i="25"/>
  <c r="H141" i="25" s="1"/>
  <c r="G139" i="25"/>
  <c r="G141" i="25" s="1"/>
  <c r="F139" i="25"/>
  <c r="F141" i="25" s="1"/>
  <c r="E139" i="25"/>
  <c r="E141" i="25" s="1"/>
  <c r="D136" i="25"/>
  <c r="C136" i="25"/>
  <c r="L134" i="25"/>
  <c r="K134" i="25"/>
  <c r="K136" i="25" s="1"/>
  <c r="J134" i="25"/>
  <c r="J136" i="25" s="1"/>
  <c r="I134" i="25"/>
  <c r="I136" i="25" s="1"/>
  <c r="H134" i="25"/>
  <c r="H136" i="25" s="1"/>
  <c r="G134" i="25"/>
  <c r="G136" i="25" s="1"/>
  <c r="F134" i="25"/>
  <c r="F136" i="25" s="1"/>
  <c r="E134" i="25"/>
  <c r="E136" i="25" s="1"/>
  <c r="D131" i="25"/>
  <c r="C131" i="25"/>
  <c r="P129" i="25"/>
  <c r="P131" i="25" s="1"/>
  <c r="O129" i="25"/>
  <c r="O131" i="25" s="1"/>
  <c r="N129" i="25"/>
  <c r="N131" i="25" s="1"/>
  <c r="M129" i="25"/>
  <c r="M131" i="25" s="1"/>
  <c r="L129" i="25"/>
  <c r="L131" i="25" s="1"/>
  <c r="K129" i="25"/>
  <c r="K131" i="25" s="1"/>
  <c r="J129" i="25"/>
  <c r="J131" i="25" s="1"/>
  <c r="I129" i="25"/>
  <c r="I131" i="25" s="1"/>
  <c r="H129" i="25"/>
  <c r="H131" i="25" s="1"/>
  <c r="G129" i="25"/>
  <c r="G131" i="25" s="1"/>
  <c r="F129" i="25"/>
  <c r="F131" i="25" s="1"/>
  <c r="E129" i="25"/>
  <c r="E131" i="25" s="1"/>
  <c r="D126" i="25"/>
  <c r="C126" i="25"/>
  <c r="O124" i="25"/>
  <c r="O126" i="25" s="1"/>
  <c r="N124" i="25"/>
  <c r="N126" i="25" s="1"/>
  <c r="M124" i="25"/>
  <c r="M126" i="25" s="1"/>
  <c r="L124" i="25"/>
  <c r="L126" i="25" s="1"/>
  <c r="K124" i="25"/>
  <c r="K126" i="25" s="1"/>
  <c r="J124" i="25"/>
  <c r="J126" i="25" s="1"/>
  <c r="I124" i="25"/>
  <c r="I126" i="25" s="1"/>
  <c r="H124" i="25"/>
  <c r="H126" i="25" s="1"/>
  <c r="G124" i="25"/>
  <c r="G126" i="25" s="1"/>
  <c r="F124" i="25"/>
  <c r="F126" i="25" s="1"/>
  <c r="E124" i="25"/>
  <c r="E126" i="25" s="1"/>
  <c r="D121" i="25"/>
  <c r="C121" i="25"/>
  <c r="N119" i="25"/>
  <c r="M119" i="25"/>
  <c r="M121" i="25" s="1"/>
  <c r="L119" i="25"/>
  <c r="L121" i="25" s="1"/>
  <c r="K119" i="25"/>
  <c r="K121" i="25" s="1"/>
  <c r="J119" i="25"/>
  <c r="J121" i="25" s="1"/>
  <c r="I119" i="25"/>
  <c r="I121" i="25" s="1"/>
  <c r="H119" i="25"/>
  <c r="H121" i="25" s="1"/>
  <c r="G119" i="25"/>
  <c r="G121" i="25" s="1"/>
  <c r="F119" i="25"/>
  <c r="F121" i="25" s="1"/>
  <c r="E119" i="25"/>
  <c r="E121" i="25" s="1"/>
  <c r="D116" i="25"/>
  <c r="C116" i="25"/>
  <c r="N114" i="25"/>
  <c r="M114" i="25"/>
  <c r="M116" i="25" s="1"/>
  <c r="L114" i="25"/>
  <c r="L116" i="25" s="1"/>
  <c r="K114" i="25"/>
  <c r="K116" i="25" s="1"/>
  <c r="J114" i="25"/>
  <c r="J116" i="25" s="1"/>
  <c r="I114" i="25"/>
  <c r="I116" i="25" s="1"/>
  <c r="H114" i="25"/>
  <c r="H116" i="25" s="1"/>
  <c r="G114" i="25"/>
  <c r="G116" i="25" s="1"/>
  <c r="F114" i="25"/>
  <c r="F116" i="25" s="1"/>
  <c r="E114" i="25"/>
  <c r="E116" i="25" s="1"/>
  <c r="B27" i="25"/>
  <c r="J310" i="23"/>
  <c r="J313" i="23" s="1"/>
  <c r="J314" i="23" s="1"/>
  <c r="J300" i="23"/>
  <c r="J297" i="23" s="1"/>
  <c r="J296" i="23" s="1"/>
  <c r="J298" i="23" s="1"/>
  <c r="J299" i="23" s="1"/>
  <c r="J290" i="23"/>
  <c r="J287" i="23" s="1"/>
  <c r="J286" i="23" s="1"/>
  <c r="J288" i="23" s="1"/>
  <c r="J289" i="23" s="1"/>
  <c r="J280" i="23"/>
  <c r="J283" i="23" s="1"/>
  <c r="J284" i="23" s="1"/>
  <c r="W275" i="23"/>
  <c r="W274" i="23"/>
  <c r="W273" i="23"/>
  <c r="W272" i="23"/>
  <c r="W271" i="23"/>
  <c r="W270" i="23"/>
  <c r="J270" i="23"/>
  <c r="J273" i="23" s="1"/>
  <c r="J274" i="23" s="1"/>
  <c r="W269" i="23"/>
  <c r="W268" i="23"/>
  <c r="W267" i="23"/>
  <c r="W266" i="23"/>
  <c r="W265" i="23"/>
  <c r="W264" i="23"/>
  <c r="W263" i="23"/>
  <c r="W262" i="23"/>
  <c r="W261" i="23"/>
  <c r="W260" i="23"/>
  <c r="J260" i="23"/>
  <c r="J263" i="23" s="1"/>
  <c r="J264" i="23" s="1"/>
  <c r="W259" i="23"/>
  <c r="W258" i="23"/>
  <c r="W257" i="23"/>
  <c r="J257" i="23"/>
  <c r="J256" i="23" s="1"/>
  <c r="J258" i="23" s="1"/>
  <c r="J259" i="23" s="1"/>
  <c r="W256" i="23"/>
  <c r="W255" i="23"/>
  <c r="W254" i="23"/>
  <c r="W253" i="23"/>
  <c r="W252" i="23"/>
  <c r="W251" i="23"/>
  <c r="W250" i="23"/>
  <c r="W249" i="23"/>
  <c r="W248" i="23"/>
  <c r="W247" i="23"/>
  <c r="J247" i="23"/>
  <c r="J251" i="23" s="1"/>
  <c r="J252" i="23" s="1"/>
  <c r="J253" i="23" s="1"/>
  <c r="W246" i="23"/>
  <c r="W245" i="23"/>
  <c r="W244" i="23"/>
  <c r="W243" i="23"/>
  <c r="W242" i="23"/>
  <c r="W241" i="23"/>
  <c r="W240" i="23"/>
  <c r="W239" i="23"/>
  <c r="W238" i="23"/>
  <c r="W237" i="23"/>
  <c r="W236" i="23"/>
  <c r="J236" i="23"/>
  <c r="J237" i="23" s="1"/>
  <c r="J238" i="23" s="1"/>
  <c r="W235" i="23"/>
  <c r="W234" i="23"/>
  <c r="W233" i="23"/>
  <c r="W232" i="23"/>
  <c r="W231" i="23"/>
  <c r="W230" i="23"/>
  <c r="W229" i="23"/>
  <c r="J229" i="23"/>
  <c r="J227" i="23" s="1"/>
  <c r="J228" i="23" s="1"/>
  <c r="W228" i="23"/>
  <c r="W227" i="23"/>
  <c r="W226" i="23"/>
  <c r="W225" i="23"/>
  <c r="W224" i="23"/>
  <c r="W223" i="23"/>
  <c r="J223" i="23"/>
  <c r="J224" i="23" s="1"/>
  <c r="W222" i="23"/>
  <c r="W221" i="23"/>
  <c r="W220" i="23"/>
  <c r="W219" i="23"/>
  <c r="W218" i="23"/>
  <c r="J218" i="23"/>
  <c r="J219" i="23" s="1"/>
  <c r="J220" i="23" s="1"/>
  <c r="W217" i="23"/>
  <c r="W216" i="23"/>
  <c r="W215" i="23"/>
  <c r="L209" i="23"/>
  <c r="M209" i="23" s="1"/>
  <c r="N209" i="23" s="1"/>
  <c r="O209" i="23" s="1"/>
  <c r="P209" i="23" s="1"/>
  <c r="R209" i="23" s="1"/>
  <c r="S209" i="23" s="1"/>
  <c r="T209" i="23" s="1"/>
  <c r="U209" i="23" s="1"/>
  <c r="V209" i="23" s="1"/>
  <c r="J204" i="23"/>
  <c r="J207" i="23" s="1"/>
  <c r="J208" i="23" s="1"/>
  <c r="J206" i="23" s="1"/>
  <c r="J205" i="23" s="1"/>
  <c r="L199" i="23"/>
  <c r="J194" i="23"/>
  <c r="J197" i="23" s="1"/>
  <c r="J198" i="23" s="1"/>
  <c r="L189" i="23"/>
  <c r="J184" i="23"/>
  <c r="J187" i="23" s="1"/>
  <c r="J188" i="23" s="1"/>
  <c r="L179" i="23"/>
  <c r="L174" i="23" s="1"/>
  <c r="L177" i="23" s="1"/>
  <c r="L178" i="23" s="1"/>
  <c r="J174" i="23"/>
  <c r="J177" i="23" s="1"/>
  <c r="J178" i="23" s="1"/>
  <c r="J176" i="23" s="1"/>
  <c r="V164" i="23"/>
  <c r="V167" i="23" s="1"/>
  <c r="V168" i="23" s="1"/>
  <c r="V166" i="23" s="1"/>
  <c r="U164" i="23"/>
  <c r="T164" i="23"/>
  <c r="T167" i="23" s="1"/>
  <c r="T168" i="23" s="1"/>
  <c r="S164" i="23"/>
  <c r="S162" i="23" s="1"/>
  <c r="R164" i="23"/>
  <c r="R167" i="23" s="1"/>
  <c r="R168" i="23" s="1"/>
  <c r="R166" i="23" s="1"/>
  <c r="P164" i="23"/>
  <c r="O164" i="23"/>
  <c r="N164" i="23"/>
  <c r="N162" i="23" s="1"/>
  <c r="M164" i="23"/>
  <c r="M167" i="23" s="1"/>
  <c r="M168" i="23" s="1"/>
  <c r="M166" i="23" s="1"/>
  <c r="M165" i="23" s="1"/>
  <c r="L164" i="23"/>
  <c r="J164" i="23"/>
  <c r="J167" i="23" s="1"/>
  <c r="J168" i="23" s="1"/>
  <c r="F132" i="23"/>
  <c r="F131" i="23"/>
  <c r="F130" i="23"/>
  <c r="F133" i="22" s="1"/>
  <c r="F124" i="23"/>
  <c r="F123" i="23"/>
  <c r="F122" i="23"/>
  <c r="F121" i="23"/>
  <c r="F25" i="23"/>
  <c r="F24" i="23"/>
  <c r="C20" i="23"/>
  <c r="D21" i="23" s="1"/>
  <c r="F6" i="23"/>
  <c r="D2" i="23"/>
  <c r="P15" i="24" s="1"/>
  <c r="P17" i="38" s="1"/>
  <c r="I160" i="22"/>
  <c r="H262" i="22" s="1"/>
  <c r="M140" i="22"/>
  <c r="L140" i="22"/>
  <c r="C140" i="22"/>
  <c r="I95" i="22"/>
  <c r="E94" i="22"/>
  <c r="F132" i="19"/>
  <c r="F130" i="19"/>
  <c r="F131" i="19"/>
  <c r="F124" i="19"/>
  <c r="F123" i="19"/>
  <c r="F122" i="19"/>
  <c r="F121" i="19"/>
  <c r="F120" i="19"/>
  <c r="D19" i="19"/>
  <c r="E2" i="19"/>
  <c r="D2" i="19"/>
  <c r="J371" i="19"/>
  <c r="J368" i="19" s="1"/>
  <c r="J367" i="19" s="1"/>
  <c r="J369" i="19" s="1"/>
  <c r="J370" i="19" s="1"/>
  <c r="J361" i="19"/>
  <c r="J364" i="19" s="1"/>
  <c r="J365" i="19" s="1"/>
  <c r="J351" i="19"/>
  <c r="J354" i="19" s="1"/>
  <c r="J355" i="19" s="1"/>
  <c r="J341" i="19"/>
  <c r="J338" i="19" s="1"/>
  <c r="J337" i="19" s="1"/>
  <c r="J339" i="19" s="1"/>
  <c r="J340" i="19" s="1"/>
  <c r="J331" i="19"/>
  <c r="J328" i="19" s="1"/>
  <c r="J327" i="19" s="1"/>
  <c r="J329" i="19" s="1"/>
  <c r="J330" i="19" s="1"/>
  <c r="J321" i="19"/>
  <c r="J324" i="19" s="1"/>
  <c r="J325" i="19" s="1"/>
  <c r="J308" i="19"/>
  <c r="J304" i="19" s="1"/>
  <c r="J297" i="19"/>
  <c r="J295" i="19" s="1"/>
  <c r="J296" i="19" s="1"/>
  <c r="J290" i="19"/>
  <c r="J284" i="19"/>
  <c r="J283" i="19" s="1"/>
  <c r="J279" i="19"/>
  <c r="J277" i="19" s="1"/>
  <c r="J278" i="19" s="1"/>
  <c r="J342" i="17"/>
  <c r="J339" i="17" s="1"/>
  <c r="J338" i="17" s="1"/>
  <c r="J340" i="17" s="1"/>
  <c r="J341" i="17" s="1"/>
  <c r="J332" i="17"/>
  <c r="J335" i="17" s="1"/>
  <c r="J336" i="17" s="1"/>
  <c r="J322" i="17"/>
  <c r="J325" i="17" s="1"/>
  <c r="J326" i="17" s="1"/>
  <c r="J312" i="17"/>
  <c r="J309" i="17" s="1"/>
  <c r="J308" i="17" s="1"/>
  <c r="J310" i="17" s="1"/>
  <c r="J311" i="17" s="1"/>
  <c r="J302" i="17"/>
  <c r="J299" i="17" s="1"/>
  <c r="J298" i="17" s="1"/>
  <c r="J300" i="17" s="1"/>
  <c r="J301" i="17" s="1"/>
  <c r="J292" i="17"/>
  <c r="J295" i="17" s="1"/>
  <c r="J296" i="17" s="1"/>
  <c r="J279" i="17"/>
  <c r="J268" i="17"/>
  <c r="J266" i="17" s="1"/>
  <c r="J267" i="17" s="1"/>
  <c r="J261" i="17"/>
  <c r="J255" i="17"/>
  <c r="J254" i="17" s="1"/>
  <c r="J250" i="17"/>
  <c r="J248" i="17" s="1"/>
  <c r="J249" i="17" s="1"/>
  <c r="J272" i="15"/>
  <c r="J261" i="15"/>
  <c r="J262" i="15" s="1"/>
  <c r="J263" i="15" s="1"/>
  <c r="J254" i="15"/>
  <c r="J256" i="15" s="1"/>
  <c r="J257" i="15" s="1"/>
  <c r="J248" i="15"/>
  <c r="J247" i="15" s="1"/>
  <c r="J243" i="15"/>
  <c r="J244" i="15" s="1"/>
  <c r="J245" i="15" s="1"/>
  <c r="C20" i="31" l="1"/>
  <c r="C33" i="30" s="1"/>
  <c r="L194" i="23"/>
  <c r="T208" i="27"/>
  <c r="B239" i="40"/>
  <c r="P19" i="38"/>
  <c r="P20" i="38" s="1"/>
  <c r="P22" i="38" s="1"/>
  <c r="P22" i="24"/>
  <c r="P23" i="24" s="1"/>
  <c r="P14" i="38"/>
  <c r="P24" i="38" s="1"/>
  <c r="P25" i="38" s="1"/>
  <c r="C265" i="26"/>
  <c r="F139" i="18"/>
  <c r="E259" i="26"/>
  <c r="C240" i="25"/>
  <c r="C242" i="25" s="1"/>
  <c r="H249" i="25"/>
  <c r="H250" i="25" s="1"/>
  <c r="H252" i="25" s="1"/>
  <c r="E230" i="25"/>
  <c r="E232" i="25" s="1"/>
  <c r="J289" i="17"/>
  <c r="J288" i="17" s="1"/>
  <c r="J290" i="17" s="1"/>
  <c r="J291" i="17" s="1"/>
  <c r="J293" i="17" s="1"/>
  <c r="J294" i="17" s="1"/>
  <c r="J172" i="23"/>
  <c r="J173" i="23" s="1"/>
  <c r="J202" i="23"/>
  <c r="J200" i="23" s="1"/>
  <c r="J201" i="23" s="1"/>
  <c r="J216" i="23"/>
  <c r="J217" i="23" s="1"/>
  <c r="J243" i="23"/>
  <c r="J245" i="23" s="1"/>
  <c r="J246" i="23" s="1"/>
  <c r="J277" i="23"/>
  <c r="J276" i="23" s="1"/>
  <c r="J278" i="23" s="1"/>
  <c r="J279" i="23" s="1"/>
  <c r="J281" i="23" s="1"/>
  <c r="J282" i="23" s="1"/>
  <c r="J303" i="23"/>
  <c r="J304" i="23" s="1"/>
  <c r="G229" i="25"/>
  <c r="G230" i="25" s="1"/>
  <c r="G232" i="25" s="1"/>
  <c r="J273" i="27"/>
  <c r="J274" i="27" s="1"/>
  <c r="J285" i="19"/>
  <c r="J358" i="19"/>
  <c r="J357" i="19" s="1"/>
  <c r="J359" i="19" s="1"/>
  <c r="J360" i="19" s="1"/>
  <c r="J362" i="19" s="1"/>
  <c r="J363" i="19" s="1"/>
  <c r="L184" i="23"/>
  <c r="L204" i="23"/>
  <c r="L207" i="23" s="1"/>
  <c r="L208" i="23" s="1"/>
  <c r="L206" i="23" s="1"/>
  <c r="L205" i="23" s="1"/>
  <c r="J307" i="23"/>
  <c r="J306" i="23" s="1"/>
  <c r="J308" i="23" s="1"/>
  <c r="J309" i="23" s="1"/>
  <c r="J311" i="23" s="1"/>
  <c r="J312" i="23" s="1"/>
  <c r="C165" i="25"/>
  <c r="C167" i="25" s="1"/>
  <c r="H169" i="25"/>
  <c r="H170" i="25" s="1"/>
  <c r="H172" i="25" s="1"/>
  <c r="E170" i="25"/>
  <c r="E172" i="25" s="1"/>
  <c r="G174" i="25"/>
  <c r="G175" i="25" s="1"/>
  <c r="G177" i="25" s="1"/>
  <c r="K229" i="25"/>
  <c r="K230" i="25" s="1"/>
  <c r="K232" i="25" s="1"/>
  <c r="I169" i="25"/>
  <c r="I170" i="25" s="1"/>
  <c r="I172" i="25" s="1"/>
  <c r="H174" i="25"/>
  <c r="H175" i="25" s="1"/>
  <c r="H177" i="25" s="1"/>
  <c r="L208" i="27"/>
  <c r="E139" i="26"/>
  <c r="E207" i="26"/>
  <c r="K104" i="26"/>
  <c r="J43" i="26"/>
  <c r="E116" i="26"/>
  <c r="E117" i="26" s="1"/>
  <c r="K46" i="26"/>
  <c r="K67" i="22"/>
  <c r="J38" i="22"/>
  <c r="K246" i="25"/>
  <c r="F246" i="25"/>
  <c r="J246" i="25"/>
  <c r="L211" i="25"/>
  <c r="F211" i="25"/>
  <c r="G211" i="25"/>
  <c r="J209" i="27"/>
  <c r="J206" i="27"/>
  <c r="J207" i="27" s="1"/>
  <c r="N209" i="27"/>
  <c r="N206" i="27"/>
  <c r="N207" i="27" s="1"/>
  <c r="N213" i="27"/>
  <c r="N214" i="27" s="1"/>
  <c r="N212" i="27" s="1"/>
  <c r="N211" i="27" s="1"/>
  <c r="J329" i="17"/>
  <c r="J328" i="17" s="1"/>
  <c r="J330" i="17" s="1"/>
  <c r="J331" i="17" s="1"/>
  <c r="J333" i="17" s="1"/>
  <c r="J334" i="17" s="1"/>
  <c r="J318" i="19"/>
  <c r="J317" i="19" s="1"/>
  <c r="J319" i="19" s="1"/>
  <c r="J320" i="19" s="1"/>
  <c r="J322" i="19" s="1"/>
  <c r="J323" i="19" s="1"/>
  <c r="M189" i="23"/>
  <c r="M199" i="23"/>
  <c r="N199" i="23" s="1"/>
  <c r="K199" i="25"/>
  <c r="K200" i="25" s="1"/>
  <c r="K202" i="25" s="1"/>
  <c r="E200" i="25"/>
  <c r="E202" i="25" s="1"/>
  <c r="J204" i="25"/>
  <c r="J205" i="25" s="1"/>
  <c r="J207" i="25" s="1"/>
  <c r="C210" i="25"/>
  <c r="C212" i="25" s="1"/>
  <c r="F229" i="25"/>
  <c r="F230" i="25" s="1"/>
  <c r="F232" i="25" s="1"/>
  <c r="G234" i="25"/>
  <c r="G235" i="25" s="1"/>
  <c r="G237" i="25" s="1"/>
  <c r="H254" i="25"/>
  <c r="H260" i="25" s="1"/>
  <c r="H262" i="25" s="1"/>
  <c r="J259" i="25"/>
  <c r="R209" i="27"/>
  <c r="J218" i="27"/>
  <c r="J259" i="15"/>
  <c r="J260" i="15" s="1"/>
  <c r="J234" i="23"/>
  <c r="J235" i="23" s="1"/>
  <c r="N154" i="25"/>
  <c r="N156" i="25" s="1"/>
  <c r="G199" i="25"/>
  <c r="G200" i="25" s="1"/>
  <c r="G202" i="25" s="1"/>
  <c r="D217" i="25"/>
  <c r="J219" i="25"/>
  <c r="J220" i="25" s="1"/>
  <c r="J222" i="25" s="1"/>
  <c r="L229" i="25"/>
  <c r="L230" i="25" s="1"/>
  <c r="L232" i="25" s="1"/>
  <c r="F234" i="25"/>
  <c r="F235" i="25" s="1"/>
  <c r="F237" i="25" s="1"/>
  <c r="F259" i="25"/>
  <c r="E190" i="25"/>
  <c r="E192" i="25" s="1"/>
  <c r="L199" i="25"/>
  <c r="L200" i="25" s="1"/>
  <c r="L202" i="25" s="1"/>
  <c r="J251" i="17"/>
  <c r="J252" i="17" s="1"/>
  <c r="J298" i="19"/>
  <c r="J299" i="19" s="1"/>
  <c r="K189" i="25"/>
  <c r="K190" i="25" s="1"/>
  <c r="K192" i="25" s="1"/>
  <c r="F199" i="25"/>
  <c r="F200" i="25" s="1"/>
  <c r="F202" i="25" s="1"/>
  <c r="F219" i="25"/>
  <c r="F220" i="25" s="1"/>
  <c r="F222" i="25" s="1"/>
  <c r="K230" i="27"/>
  <c r="L176" i="25"/>
  <c r="H176" i="25"/>
  <c r="I176" i="25"/>
  <c r="L216" i="25"/>
  <c r="K216" i="25"/>
  <c r="G216" i="25"/>
  <c r="F216" i="25"/>
  <c r="J216" i="25"/>
  <c r="L241" i="25"/>
  <c r="K241" i="25"/>
  <c r="F241" i="25"/>
  <c r="J241" i="25"/>
  <c r="G241" i="25"/>
  <c r="K186" i="25"/>
  <c r="I186" i="25"/>
  <c r="F186" i="25"/>
  <c r="J186" i="25"/>
  <c r="L166" i="25"/>
  <c r="K166" i="25"/>
  <c r="G166" i="25"/>
  <c r="F166" i="25"/>
  <c r="J166" i="25"/>
  <c r="K226" i="25"/>
  <c r="F226" i="25"/>
  <c r="J226" i="25"/>
  <c r="L181" i="25"/>
  <c r="F181" i="25"/>
  <c r="J181" i="25"/>
  <c r="G181" i="25"/>
  <c r="K181" i="25"/>
  <c r="J239" i="27"/>
  <c r="J236" i="27"/>
  <c r="J237" i="27" s="1"/>
  <c r="J249" i="15"/>
  <c r="J256" i="17"/>
  <c r="J269" i="17"/>
  <c r="J270" i="17" s="1"/>
  <c r="J315" i="17"/>
  <c r="J316" i="17" s="1"/>
  <c r="J344" i="19"/>
  <c r="J345" i="19" s="1"/>
  <c r="M162" i="23"/>
  <c r="M160" i="23" s="1"/>
  <c r="M161" i="23" s="1"/>
  <c r="V162" i="23"/>
  <c r="V160" i="23" s="1"/>
  <c r="V161" i="23" s="1"/>
  <c r="R165" i="23"/>
  <c r="N167" i="23"/>
  <c r="N168" i="23" s="1"/>
  <c r="N166" i="23" s="1"/>
  <c r="N165" i="23" s="1"/>
  <c r="J261" i="23"/>
  <c r="J262" i="23" s="1"/>
  <c r="F179" i="25"/>
  <c r="F180" i="25" s="1"/>
  <c r="F182" i="25" s="1"/>
  <c r="L189" i="25"/>
  <c r="L190" i="25" s="1"/>
  <c r="L192" i="25" s="1"/>
  <c r="F194" i="25"/>
  <c r="F195" i="25" s="1"/>
  <c r="F197" i="25" s="1"/>
  <c r="K194" i="25"/>
  <c r="K195" i="25" s="1"/>
  <c r="K197" i="25" s="1"/>
  <c r="K204" i="25"/>
  <c r="K205" i="25" s="1"/>
  <c r="K207" i="25" s="1"/>
  <c r="F209" i="25"/>
  <c r="F210" i="25" s="1"/>
  <c r="F212" i="25" s="1"/>
  <c r="F221" i="25"/>
  <c r="F239" i="25"/>
  <c r="F240" i="25" s="1"/>
  <c r="F242" i="25" s="1"/>
  <c r="J249" i="25"/>
  <c r="J250" i="25" s="1"/>
  <c r="J252" i="25" s="1"/>
  <c r="J254" i="25"/>
  <c r="J255" i="25" s="1"/>
  <c r="J257" i="25" s="1"/>
  <c r="J232" i="27"/>
  <c r="J231" i="27" s="1"/>
  <c r="L245" i="27"/>
  <c r="L250" i="27" s="1"/>
  <c r="L253" i="27" s="1"/>
  <c r="L254" i="27" s="1"/>
  <c r="L252" i="27" s="1"/>
  <c r="L251" i="27" s="1"/>
  <c r="J248" i="27"/>
  <c r="K250" i="27"/>
  <c r="K253" i="27" s="1"/>
  <c r="K254" i="27" s="1"/>
  <c r="J262" i="27"/>
  <c r="J263" i="27" s="1"/>
  <c r="J329" i="27"/>
  <c r="J330" i="27" s="1"/>
  <c r="J349" i="27"/>
  <c r="J350" i="27" s="1"/>
  <c r="C151" i="26"/>
  <c r="K221" i="25"/>
  <c r="R162" i="23"/>
  <c r="R160" i="23" s="1"/>
  <c r="R161" i="23" s="1"/>
  <c r="S167" i="23"/>
  <c r="S168" i="23" s="1"/>
  <c r="S166" i="23" s="1"/>
  <c r="S165" i="23" s="1"/>
  <c r="L176" i="23"/>
  <c r="J186" i="23"/>
  <c r="J185" i="23" s="1"/>
  <c r="J301" i="23"/>
  <c r="J302" i="23" s="1"/>
  <c r="L174" i="25"/>
  <c r="L175" i="25" s="1"/>
  <c r="L177" i="25" s="1"/>
  <c r="C180" i="25"/>
  <c r="C182" i="25" s="1"/>
  <c r="H189" i="25"/>
  <c r="H190" i="25" s="1"/>
  <c r="H192" i="25" s="1"/>
  <c r="H194" i="25"/>
  <c r="H195" i="25" s="1"/>
  <c r="H197" i="25" s="1"/>
  <c r="J199" i="25"/>
  <c r="J200" i="25" s="1"/>
  <c r="J202" i="25" s="1"/>
  <c r="G204" i="25"/>
  <c r="G205" i="25" s="1"/>
  <c r="G207" i="25" s="1"/>
  <c r="K211" i="25"/>
  <c r="J221" i="25"/>
  <c r="J229" i="25"/>
  <c r="J230" i="25" s="1"/>
  <c r="J232" i="25" s="1"/>
  <c r="K234" i="25"/>
  <c r="K235" i="25" s="1"/>
  <c r="K237" i="25" s="1"/>
  <c r="L236" i="25"/>
  <c r="G249" i="25"/>
  <c r="G250" i="25" s="1"/>
  <c r="G252" i="25" s="1"/>
  <c r="L249" i="25"/>
  <c r="L250" i="25" s="1"/>
  <c r="L252" i="25" s="1"/>
  <c r="G254" i="25"/>
  <c r="G255" i="25" s="1"/>
  <c r="G257" i="25" s="1"/>
  <c r="L254" i="25"/>
  <c r="J213" i="27"/>
  <c r="J214" i="27" s="1"/>
  <c r="J212" i="27" s="1"/>
  <c r="J211" i="27" s="1"/>
  <c r="R213" i="27"/>
  <c r="R214" i="27" s="1"/>
  <c r="R212" i="27" s="1"/>
  <c r="R211" i="27" s="1"/>
  <c r="K228" i="27"/>
  <c r="J194" i="25"/>
  <c r="J195" i="25" s="1"/>
  <c r="J197" i="25" s="1"/>
  <c r="J319" i="17"/>
  <c r="J318" i="17" s="1"/>
  <c r="J320" i="17" s="1"/>
  <c r="J321" i="17" s="1"/>
  <c r="J323" i="17" s="1"/>
  <c r="J324" i="17" s="1"/>
  <c r="J280" i="19"/>
  <c r="J281" i="19" s="1"/>
  <c r="J348" i="19"/>
  <c r="J347" i="19" s="1"/>
  <c r="J349" i="19" s="1"/>
  <c r="J350" i="19" s="1"/>
  <c r="J352" i="19" s="1"/>
  <c r="J353" i="19" s="1"/>
  <c r="J166" i="23"/>
  <c r="T166" i="23"/>
  <c r="T165" i="23" s="1"/>
  <c r="V165" i="23"/>
  <c r="O167" i="23"/>
  <c r="O168" i="23" s="1"/>
  <c r="O166" i="23" s="1"/>
  <c r="O165" i="23" s="1"/>
  <c r="K174" i="25"/>
  <c r="K175" i="25" s="1"/>
  <c r="K177" i="25" s="1"/>
  <c r="E175" i="25"/>
  <c r="E177" i="25" s="1"/>
  <c r="D177" i="25"/>
  <c r="G189" i="25"/>
  <c r="G190" i="25" s="1"/>
  <c r="G192" i="25" s="1"/>
  <c r="G194" i="25"/>
  <c r="G195" i="25" s="1"/>
  <c r="G197" i="25" s="1"/>
  <c r="L194" i="25"/>
  <c r="L195" i="25" s="1"/>
  <c r="L197" i="25" s="1"/>
  <c r="H199" i="25"/>
  <c r="H200" i="25" s="1"/>
  <c r="H202" i="25" s="1"/>
  <c r="F204" i="25"/>
  <c r="F205" i="25" s="1"/>
  <c r="F207" i="25" s="1"/>
  <c r="J209" i="25"/>
  <c r="J210" i="25" s="1"/>
  <c r="J212" i="25" s="1"/>
  <c r="J211" i="25"/>
  <c r="C220" i="25"/>
  <c r="C222" i="25" s="1"/>
  <c r="G221" i="25"/>
  <c r="H229" i="25"/>
  <c r="H230" i="25" s="1"/>
  <c r="H232" i="25" s="1"/>
  <c r="J234" i="25"/>
  <c r="J235" i="25" s="1"/>
  <c r="J237" i="25" s="1"/>
  <c r="J239" i="25"/>
  <c r="J240" i="25" s="1"/>
  <c r="J242" i="25" s="1"/>
  <c r="F249" i="25"/>
  <c r="F250" i="25" s="1"/>
  <c r="F252" i="25" s="1"/>
  <c r="K249" i="25"/>
  <c r="K250" i="25" s="1"/>
  <c r="K252" i="25" s="1"/>
  <c r="E250" i="25"/>
  <c r="E252" i="25" s="1"/>
  <c r="F254" i="25"/>
  <c r="F255" i="25" s="1"/>
  <c r="F257" i="25" s="1"/>
  <c r="K254" i="25"/>
  <c r="E255" i="25"/>
  <c r="E257" i="25" s="1"/>
  <c r="C260" i="25"/>
  <c r="C262" i="25" s="1"/>
  <c r="P208" i="27"/>
  <c r="K220" i="27"/>
  <c r="L225" i="27"/>
  <c r="L220" i="27" s="1"/>
  <c r="L218" i="27" s="1"/>
  <c r="J228" i="27"/>
  <c r="J280" i="27"/>
  <c r="J281" i="27" s="1"/>
  <c r="J276" i="15"/>
  <c r="J277" i="15" s="1"/>
  <c r="J278" i="15" s="1"/>
  <c r="J241" i="15"/>
  <c r="J242" i="15" s="1"/>
  <c r="J252" i="15"/>
  <c r="J255" i="15"/>
  <c r="J268" i="15"/>
  <c r="I171" i="22"/>
  <c r="E66" i="22"/>
  <c r="E69" i="22" s="1"/>
  <c r="E120" i="22" s="1"/>
  <c r="E125" i="22" s="1"/>
  <c r="E151" i="22" s="1"/>
  <c r="P17" i="24"/>
  <c r="P18" i="24" s="1"/>
  <c r="P20" i="24" s="1"/>
  <c r="I164" i="22"/>
  <c r="K96" i="22"/>
  <c r="D20" i="31"/>
  <c r="J33" i="30" s="1"/>
  <c r="E53" i="28"/>
  <c r="E73" i="28" s="1"/>
  <c r="E73" i="26"/>
  <c r="E76" i="26" s="1"/>
  <c r="J276" i="26"/>
  <c r="F268" i="26"/>
  <c r="I189" i="26"/>
  <c r="E206" i="26"/>
  <c r="E216" i="26" s="1"/>
  <c r="L231" i="26"/>
  <c r="J240" i="26" s="1"/>
  <c r="K213" i="27"/>
  <c r="K214" i="27" s="1"/>
  <c r="K212" i="27" s="1"/>
  <c r="K211" i="27" s="1"/>
  <c r="O213" i="27"/>
  <c r="O214" i="27" s="1"/>
  <c r="O212" i="27" s="1"/>
  <c r="O211" i="27" s="1"/>
  <c r="S213" i="27"/>
  <c r="S214" i="27" s="1"/>
  <c r="S212" i="27" s="1"/>
  <c r="S211" i="27" s="1"/>
  <c r="M213" i="27"/>
  <c r="M214" i="27" s="1"/>
  <c r="M212" i="27" s="1"/>
  <c r="M211" i="27" s="1"/>
  <c r="Q213" i="27"/>
  <c r="Q214" i="27" s="1"/>
  <c r="Q212" i="27" s="1"/>
  <c r="Q211" i="27" s="1"/>
  <c r="J278" i="27"/>
  <c r="J276" i="27"/>
  <c r="K208" i="27"/>
  <c r="O208" i="27"/>
  <c r="S208" i="27"/>
  <c r="J252" i="27"/>
  <c r="J251" i="27" s="1"/>
  <c r="M208" i="27"/>
  <c r="Q208" i="27"/>
  <c r="L212" i="27"/>
  <c r="L211" i="27" s="1"/>
  <c r="P212" i="27"/>
  <c r="P211" i="27" s="1"/>
  <c r="T212" i="27"/>
  <c r="T211" i="27" s="1"/>
  <c r="J268" i="27"/>
  <c r="J313" i="27"/>
  <c r="J312" i="27" s="1"/>
  <c r="J314" i="27" s="1"/>
  <c r="J315" i="27" s="1"/>
  <c r="J317" i="27" s="1"/>
  <c r="J318" i="27" s="1"/>
  <c r="K233" i="27"/>
  <c r="K234" i="27" s="1"/>
  <c r="K232" i="27" s="1"/>
  <c r="K231" i="27" s="1"/>
  <c r="K240" i="27"/>
  <c r="J243" i="27"/>
  <c r="J244" i="27" s="1"/>
  <c r="J242" i="27" s="1"/>
  <c r="J241" i="27" s="1"/>
  <c r="J291" i="27"/>
  <c r="J292" i="27" s="1"/>
  <c r="J297" i="27"/>
  <c r="J298" i="27" s="1"/>
  <c r="J299" i="27" s="1"/>
  <c r="J333" i="27"/>
  <c r="J332" i="27" s="1"/>
  <c r="J334" i="27" s="1"/>
  <c r="J335" i="27" s="1"/>
  <c r="J337" i="27" s="1"/>
  <c r="J338" i="27" s="1"/>
  <c r="J359" i="27"/>
  <c r="J360" i="27" s="1"/>
  <c r="J222" i="27"/>
  <c r="J221" i="27" s="1"/>
  <c r="K252" i="27"/>
  <c r="K251" i="27" s="1"/>
  <c r="L235" i="27"/>
  <c r="J286" i="27"/>
  <c r="J303" i="27"/>
  <c r="J302" i="27" s="1"/>
  <c r="J304" i="27" s="1"/>
  <c r="J305" i="27" s="1"/>
  <c r="J307" i="27" s="1"/>
  <c r="J308" i="27" s="1"/>
  <c r="C25" i="23"/>
  <c r="E95" i="22" s="1"/>
  <c r="E97" i="22" s="1"/>
  <c r="C190" i="22" s="1"/>
  <c r="F141" i="22"/>
  <c r="E152" i="22" s="1"/>
  <c r="E107" i="22"/>
  <c r="I206" i="25"/>
  <c r="G206" i="25"/>
  <c r="J206" i="25"/>
  <c r="F206" i="25"/>
  <c r="K206" i="25"/>
  <c r="J231" i="25"/>
  <c r="F231" i="25"/>
  <c r="H231" i="25"/>
  <c r="K231" i="25"/>
  <c r="G231" i="25"/>
  <c r="L231" i="25"/>
  <c r="D237" i="25"/>
  <c r="C235" i="25"/>
  <c r="C237" i="25" s="1"/>
  <c r="L261" i="25"/>
  <c r="H261" i="25"/>
  <c r="I261" i="25"/>
  <c r="J261" i="25"/>
  <c r="F261" i="25"/>
  <c r="K171" i="25"/>
  <c r="G171" i="25"/>
  <c r="L171" i="25"/>
  <c r="H171" i="25"/>
  <c r="J169" i="25"/>
  <c r="J170" i="25" s="1"/>
  <c r="J172" i="25" s="1"/>
  <c r="F169" i="25"/>
  <c r="F170" i="25" s="1"/>
  <c r="F172" i="25" s="1"/>
  <c r="K169" i="25"/>
  <c r="K170" i="25" s="1"/>
  <c r="K172" i="25" s="1"/>
  <c r="G169" i="25"/>
  <c r="G170" i="25" s="1"/>
  <c r="G172" i="25" s="1"/>
  <c r="I256" i="25"/>
  <c r="G256" i="25"/>
  <c r="J256" i="25"/>
  <c r="F256" i="25"/>
  <c r="K256" i="25"/>
  <c r="J164" i="25"/>
  <c r="J165" i="25" s="1"/>
  <c r="J167" i="25" s="1"/>
  <c r="G260" i="25"/>
  <c r="G262" i="25" s="1"/>
  <c r="I171" i="25"/>
  <c r="H206" i="25"/>
  <c r="I231" i="25"/>
  <c r="G261" i="25"/>
  <c r="K164" i="25"/>
  <c r="K165" i="25" s="1"/>
  <c r="K167" i="25" s="1"/>
  <c r="G164" i="25"/>
  <c r="G165" i="25" s="1"/>
  <c r="G167" i="25" s="1"/>
  <c r="E165" i="25"/>
  <c r="E167" i="25" s="1"/>
  <c r="L164" i="25"/>
  <c r="L165" i="25" s="1"/>
  <c r="L167" i="25" s="1"/>
  <c r="H164" i="25"/>
  <c r="H165" i="25" s="1"/>
  <c r="H167" i="25" s="1"/>
  <c r="J191" i="25"/>
  <c r="F191" i="25"/>
  <c r="H191" i="25"/>
  <c r="K191" i="25"/>
  <c r="G191" i="25"/>
  <c r="L191" i="25"/>
  <c r="J196" i="25"/>
  <c r="F196" i="25"/>
  <c r="L196" i="25"/>
  <c r="K196" i="25"/>
  <c r="G196" i="25"/>
  <c r="H196" i="25"/>
  <c r="J214" i="25"/>
  <c r="J215" i="25" s="1"/>
  <c r="J217" i="25" s="1"/>
  <c r="F214" i="25"/>
  <c r="F215" i="25" s="1"/>
  <c r="F217" i="25" s="1"/>
  <c r="K214" i="25"/>
  <c r="K215" i="25" s="1"/>
  <c r="K217" i="25" s="1"/>
  <c r="G214" i="25"/>
  <c r="G215" i="25" s="1"/>
  <c r="G217" i="25" s="1"/>
  <c r="E215" i="25"/>
  <c r="E217" i="25" s="1"/>
  <c r="L214" i="25"/>
  <c r="L215" i="25" s="1"/>
  <c r="L217" i="25" s="1"/>
  <c r="H214" i="25"/>
  <c r="H215" i="25" s="1"/>
  <c r="H217" i="25" s="1"/>
  <c r="J251" i="25"/>
  <c r="F251" i="25"/>
  <c r="H251" i="25"/>
  <c r="K251" i="25"/>
  <c r="G251" i="25"/>
  <c r="L251" i="25"/>
  <c r="K179" i="25"/>
  <c r="K180" i="25" s="1"/>
  <c r="K182" i="25" s="1"/>
  <c r="G179" i="25"/>
  <c r="G180" i="25" s="1"/>
  <c r="G182" i="25" s="1"/>
  <c r="E180" i="25"/>
  <c r="E182" i="25" s="1"/>
  <c r="L179" i="25"/>
  <c r="L180" i="25" s="1"/>
  <c r="L182" i="25" s="1"/>
  <c r="H179" i="25"/>
  <c r="H180" i="25" s="1"/>
  <c r="H182" i="25" s="1"/>
  <c r="J184" i="25"/>
  <c r="J185" i="25" s="1"/>
  <c r="J187" i="25" s="1"/>
  <c r="F184" i="25"/>
  <c r="F185" i="25" s="1"/>
  <c r="F187" i="25" s="1"/>
  <c r="E185" i="25"/>
  <c r="E187" i="25" s="1"/>
  <c r="L184" i="25"/>
  <c r="L185" i="25" s="1"/>
  <c r="L187" i="25" s="1"/>
  <c r="H184" i="25"/>
  <c r="H185" i="25" s="1"/>
  <c r="H187" i="25" s="1"/>
  <c r="K184" i="25"/>
  <c r="K185" i="25" s="1"/>
  <c r="K187" i="25" s="1"/>
  <c r="G184" i="25"/>
  <c r="G185" i="25" s="1"/>
  <c r="G187" i="25" s="1"/>
  <c r="J176" i="25"/>
  <c r="F176" i="25"/>
  <c r="K176" i="25"/>
  <c r="G176" i="25"/>
  <c r="D197" i="25"/>
  <c r="C195" i="25"/>
  <c r="C197" i="25" s="1"/>
  <c r="J201" i="25"/>
  <c r="F201" i="25"/>
  <c r="H201" i="25"/>
  <c r="K201" i="25"/>
  <c r="G201" i="25"/>
  <c r="L201" i="25"/>
  <c r="D207" i="25"/>
  <c r="C205" i="25"/>
  <c r="C207" i="25" s="1"/>
  <c r="J224" i="25"/>
  <c r="J225" i="25" s="1"/>
  <c r="J227" i="25" s="1"/>
  <c r="F224" i="25"/>
  <c r="F225" i="25" s="1"/>
  <c r="F227" i="25" s="1"/>
  <c r="E225" i="25"/>
  <c r="E227" i="25" s="1"/>
  <c r="L224" i="25"/>
  <c r="L225" i="25" s="1"/>
  <c r="L227" i="25" s="1"/>
  <c r="H224" i="25"/>
  <c r="H225" i="25" s="1"/>
  <c r="H227" i="25" s="1"/>
  <c r="K224" i="25"/>
  <c r="K225" i="25" s="1"/>
  <c r="K227" i="25" s="1"/>
  <c r="G224" i="25"/>
  <c r="G225" i="25" s="1"/>
  <c r="G227" i="25" s="1"/>
  <c r="I236" i="25"/>
  <c r="K236" i="25"/>
  <c r="J236" i="25"/>
  <c r="F236" i="25"/>
  <c r="G236" i="25"/>
  <c r="J244" i="25"/>
  <c r="J245" i="25" s="1"/>
  <c r="J247" i="25" s="1"/>
  <c r="F244" i="25"/>
  <c r="F245" i="25" s="1"/>
  <c r="F247" i="25" s="1"/>
  <c r="K244" i="25"/>
  <c r="K245" i="25" s="1"/>
  <c r="K247" i="25" s="1"/>
  <c r="G244" i="25"/>
  <c r="G245" i="25" s="1"/>
  <c r="G247" i="25" s="1"/>
  <c r="E245" i="25"/>
  <c r="E247" i="25" s="1"/>
  <c r="L244" i="25"/>
  <c r="L245" i="25" s="1"/>
  <c r="L247" i="25" s="1"/>
  <c r="H244" i="25"/>
  <c r="H245" i="25" s="1"/>
  <c r="H247" i="25" s="1"/>
  <c r="D257" i="25"/>
  <c r="C255" i="25"/>
  <c r="C257" i="25" s="1"/>
  <c r="I164" i="25"/>
  <c r="I165" i="25" s="1"/>
  <c r="I167" i="25" s="1"/>
  <c r="J171" i="25"/>
  <c r="J179" i="25"/>
  <c r="J180" i="25" s="1"/>
  <c r="J182" i="25" s="1"/>
  <c r="L206" i="25"/>
  <c r="H256" i="25"/>
  <c r="K261" i="25"/>
  <c r="I209" i="25"/>
  <c r="I210" i="25" s="1"/>
  <c r="I212" i="25" s="1"/>
  <c r="I219" i="25"/>
  <c r="I220" i="25" s="1"/>
  <c r="I222" i="25" s="1"/>
  <c r="I226" i="25"/>
  <c r="I239" i="25"/>
  <c r="I240" i="25" s="1"/>
  <c r="I242" i="25" s="1"/>
  <c r="I246" i="25"/>
  <c r="I259" i="25"/>
  <c r="F260" i="25"/>
  <c r="F262" i="25" s="1"/>
  <c r="I166" i="25"/>
  <c r="F174" i="25"/>
  <c r="F175" i="25" s="1"/>
  <c r="F177" i="25" s="1"/>
  <c r="J174" i="25"/>
  <c r="J175" i="25" s="1"/>
  <c r="J177" i="25" s="1"/>
  <c r="I181" i="25"/>
  <c r="H186" i="25"/>
  <c r="L186" i="25"/>
  <c r="F189" i="25"/>
  <c r="F190" i="25" s="1"/>
  <c r="F192" i="25" s="1"/>
  <c r="J189" i="25"/>
  <c r="J190" i="25" s="1"/>
  <c r="J192" i="25" s="1"/>
  <c r="C190" i="25"/>
  <c r="C192" i="25" s="1"/>
  <c r="I194" i="25"/>
  <c r="I195" i="25" s="1"/>
  <c r="I197" i="25" s="1"/>
  <c r="C200" i="25"/>
  <c r="C202" i="25" s="1"/>
  <c r="I204" i="25"/>
  <c r="I205" i="25" s="1"/>
  <c r="I207" i="25" s="1"/>
  <c r="H209" i="25"/>
  <c r="H210" i="25" s="1"/>
  <c r="H212" i="25" s="1"/>
  <c r="L209" i="25"/>
  <c r="L210" i="25" s="1"/>
  <c r="L212" i="25" s="1"/>
  <c r="E210" i="25"/>
  <c r="E212" i="25" s="1"/>
  <c r="I211" i="25"/>
  <c r="I216" i="25"/>
  <c r="H219" i="25"/>
  <c r="H220" i="25" s="1"/>
  <c r="H222" i="25" s="1"/>
  <c r="L219" i="25"/>
  <c r="L220" i="25" s="1"/>
  <c r="L222" i="25" s="1"/>
  <c r="E220" i="25"/>
  <c r="E222" i="25" s="1"/>
  <c r="I221" i="25"/>
  <c r="H226" i="25"/>
  <c r="L226" i="25"/>
  <c r="C230" i="25"/>
  <c r="C232" i="25" s="1"/>
  <c r="I234" i="25"/>
  <c r="I235" i="25" s="1"/>
  <c r="I237" i="25" s="1"/>
  <c r="H239" i="25"/>
  <c r="H240" i="25" s="1"/>
  <c r="H242" i="25" s="1"/>
  <c r="L239" i="25"/>
  <c r="L240" i="25" s="1"/>
  <c r="L242" i="25" s="1"/>
  <c r="E240" i="25"/>
  <c r="E242" i="25" s="1"/>
  <c r="I241" i="25"/>
  <c r="H246" i="25"/>
  <c r="L246" i="25"/>
  <c r="C250" i="25"/>
  <c r="C252" i="25" s="1"/>
  <c r="I254" i="25"/>
  <c r="H259" i="25"/>
  <c r="L259" i="25"/>
  <c r="H166" i="25"/>
  <c r="C170" i="25"/>
  <c r="C172" i="25" s="1"/>
  <c r="H181" i="25"/>
  <c r="C185" i="25"/>
  <c r="C187" i="25" s="1"/>
  <c r="G186" i="25"/>
  <c r="H204" i="25"/>
  <c r="H205" i="25" s="1"/>
  <c r="H207" i="25" s="1"/>
  <c r="L204" i="25"/>
  <c r="L205" i="25" s="1"/>
  <c r="L207" i="25" s="1"/>
  <c r="G209" i="25"/>
  <c r="G210" i="25" s="1"/>
  <c r="G212" i="25" s="1"/>
  <c r="H211" i="25"/>
  <c r="H216" i="25"/>
  <c r="G219" i="25"/>
  <c r="G220" i="25" s="1"/>
  <c r="G222" i="25" s="1"/>
  <c r="H221" i="25"/>
  <c r="C225" i="25"/>
  <c r="C227" i="25" s="1"/>
  <c r="G226" i="25"/>
  <c r="H234" i="25"/>
  <c r="H235" i="25" s="1"/>
  <c r="H237" i="25" s="1"/>
  <c r="L234" i="25"/>
  <c r="L235" i="25" s="1"/>
  <c r="L237" i="25" s="1"/>
  <c r="G239" i="25"/>
  <c r="G240" i="25" s="1"/>
  <c r="G242" i="25" s="1"/>
  <c r="H241" i="25"/>
  <c r="C245" i="25"/>
  <c r="C247" i="25" s="1"/>
  <c r="G246" i="25"/>
  <c r="G259" i="25"/>
  <c r="P167" i="23"/>
  <c r="P168" i="23" s="1"/>
  <c r="P166" i="23" s="1"/>
  <c r="P165" i="23" s="1"/>
  <c r="P162" i="23"/>
  <c r="L197" i="23"/>
  <c r="L198" i="23" s="1"/>
  <c r="L196" i="23" s="1"/>
  <c r="L195" i="23" s="1"/>
  <c r="L192" i="23"/>
  <c r="L193" i="23" s="1"/>
  <c r="S160" i="23"/>
  <c r="S161" i="23" s="1"/>
  <c r="S163" i="23"/>
  <c r="J244" i="23"/>
  <c r="J175" i="23"/>
  <c r="N163" i="23"/>
  <c r="N160" i="23"/>
  <c r="N161" i="23" s="1"/>
  <c r="L167" i="23"/>
  <c r="L168" i="23" s="1"/>
  <c r="L166" i="23" s="1"/>
  <c r="L165" i="23" s="1"/>
  <c r="L162" i="23"/>
  <c r="U167" i="23"/>
  <c r="U168" i="23" s="1"/>
  <c r="U166" i="23" s="1"/>
  <c r="U165" i="23" s="1"/>
  <c r="U162" i="23"/>
  <c r="J231" i="23"/>
  <c r="J232" i="23" s="1"/>
  <c r="J165" i="23"/>
  <c r="L175" i="23"/>
  <c r="M179" i="23"/>
  <c r="J192" i="23"/>
  <c r="J196" i="23"/>
  <c r="J195" i="23" s="1"/>
  <c r="J222" i="23"/>
  <c r="J267" i="23"/>
  <c r="J266" i="23" s="1"/>
  <c r="J268" i="23" s="1"/>
  <c r="J269" i="23" s="1"/>
  <c r="J271" i="23" s="1"/>
  <c r="J272" i="23" s="1"/>
  <c r="J293" i="23"/>
  <c r="J294" i="23" s="1"/>
  <c r="J162" i="23"/>
  <c r="O162" i="23"/>
  <c r="T162" i="23"/>
  <c r="L172" i="23"/>
  <c r="J182" i="23"/>
  <c r="J226" i="23"/>
  <c r="J249" i="23"/>
  <c r="L190" i="22"/>
  <c r="J198" i="22" s="1"/>
  <c r="J312" i="19"/>
  <c r="J313" i="19" s="1"/>
  <c r="J314" i="19" s="1"/>
  <c r="J334" i="19"/>
  <c r="J335" i="19" s="1"/>
  <c r="J374" i="19"/>
  <c r="J375" i="19" s="1"/>
  <c r="J288" i="19"/>
  <c r="J292" i="19"/>
  <c r="J293" i="19" s="1"/>
  <c r="J302" i="19"/>
  <c r="J306" i="19"/>
  <c r="J307" i="19" s="1"/>
  <c r="J283" i="17"/>
  <c r="J284" i="17" s="1"/>
  <c r="J285" i="17" s="1"/>
  <c r="J345" i="17"/>
  <c r="J346" i="17" s="1"/>
  <c r="J259" i="17"/>
  <c r="J263" i="17"/>
  <c r="J264" i="17" s="1"/>
  <c r="J281" i="17"/>
  <c r="J282" i="17" s="1"/>
  <c r="J275" i="17"/>
  <c r="J305" i="17"/>
  <c r="J306" i="17" s="1"/>
  <c r="C148" i="18"/>
  <c r="C255" i="18"/>
  <c r="D190" i="18"/>
  <c r="J189" i="18"/>
  <c r="D189" i="18"/>
  <c r="I188" i="18"/>
  <c r="J257" i="18" s="1"/>
  <c r="D188" i="18"/>
  <c r="J187" i="18"/>
  <c r="I187" i="18"/>
  <c r="D187" i="18"/>
  <c r="J186" i="18"/>
  <c r="I186" i="18"/>
  <c r="D186" i="18"/>
  <c r="J185" i="18"/>
  <c r="I185" i="18"/>
  <c r="I257" i="18" s="1"/>
  <c r="M148" i="18"/>
  <c r="L148" i="18"/>
  <c r="C257" i="18"/>
  <c r="C256" i="18"/>
  <c r="E15" i="20"/>
  <c r="P15" i="35" s="1"/>
  <c r="P17" i="35" s="1"/>
  <c r="E14" i="20"/>
  <c r="P14" i="35" s="1"/>
  <c r="E13" i="20"/>
  <c r="P13" i="35" s="1"/>
  <c r="E12" i="20"/>
  <c r="I181" i="18"/>
  <c r="J256" i="18" s="1"/>
  <c r="I180" i="18"/>
  <c r="I179" i="18"/>
  <c r="K41" i="18"/>
  <c r="R42" i="21"/>
  <c r="Q42" i="21"/>
  <c r="P42" i="21"/>
  <c r="O42" i="21"/>
  <c r="N42" i="21"/>
  <c r="M42" i="21"/>
  <c r="L42" i="21"/>
  <c r="K42" i="21"/>
  <c r="J42" i="21"/>
  <c r="I42" i="21"/>
  <c r="H42" i="21"/>
  <c r="G42" i="21"/>
  <c r="F42" i="21"/>
  <c r="E42" i="21"/>
  <c r="D42" i="21"/>
  <c r="S36" i="21"/>
  <c r="R36" i="21"/>
  <c r="Q36" i="21"/>
  <c r="P36" i="21"/>
  <c r="O36" i="21"/>
  <c r="N36" i="21"/>
  <c r="M36" i="21"/>
  <c r="L36" i="21"/>
  <c r="K36" i="21"/>
  <c r="J36" i="21"/>
  <c r="I36" i="21"/>
  <c r="H36" i="21"/>
  <c r="G36" i="21"/>
  <c r="F36" i="21"/>
  <c r="E36" i="21"/>
  <c r="S30" i="21"/>
  <c r="R30" i="21"/>
  <c r="Q30" i="21"/>
  <c r="P30" i="21"/>
  <c r="O30" i="21"/>
  <c r="N30" i="21"/>
  <c r="M30" i="21"/>
  <c r="L30" i="21"/>
  <c r="K30" i="21"/>
  <c r="J30" i="21"/>
  <c r="I30" i="21"/>
  <c r="H30" i="21"/>
  <c r="G30" i="21"/>
  <c r="F30" i="21"/>
  <c r="E30" i="21"/>
  <c r="M24" i="21"/>
  <c r="L24" i="21"/>
  <c r="K24" i="21"/>
  <c r="J24" i="21"/>
  <c r="I24" i="21"/>
  <c r="H24" i="21"/>
  <c r="G24" i="21"/>
  <c r="F24" i="21"/>
  <c r="E24" i="21"/>
  <c r="R18" i="21"/>
  <c r="Q18" i="21"/>
  <c r="P18" i="21"/>
  <c r="O18" i="21"/>
  <c r="N18" i="21"/>
  <c r="M18" i="21"/>
  <c r="L18" i="21"/>
  <c r="K18" i="21"/>
  <c r="J18" i="21"/>
  <c r="I18" i="21"/>
  <c r="H18" i="21"/>
  <c r="G18" i="21"/>
  <c r="F18" i="21"/>
  <c r="E18" i="21"/>
  <c r="W336" i="19"/>
  <c r="W335" i="19"/>
  <c r="W334" i="19"/>
  <c r="W333" i="19"/>
  <c r="W332" i="19"/>
  <c r="W331" i="19"/>
  <c r="W330" i="19"/>
  <c r="W329" i="19"/>
  <c r="W328" i="19"/>
  <c r="W327" i="19"/>
  <c r="W326" i="19"/>
  <c r="W325" i="19"/>
  <c r="W324" i="19"/>
  <c r="W323" i="19"/>
  <c r="W322" i="19"/>
  <c r="W321" i="19"/>
  <c r="W320" i="19"/>
  <c r="W319" i="19"/>
  <c r="W318" i="19"/>
  <c r="W317" i="19"/>
  <c r="W316" i="19"/>
  <c r="W315" i="19"/>
  <c r="W314" i="19"/>
  <c r="W313" i="19"/>
  <c r="W312" i="19"/>
  <c r="W311" i="19"/>
  <c r="W310" i="19"/>
  <c r="W309" i="19"/>
  <c r="W308" i="19"/>
  <c r="W307" i="19"/>
  <c r="W306" i="19"/>
  <c r="W305" i="19"/>
  <c r="W304" i="19"/>
  <c r="W303" i="19"/>
  <c r="W302" i="19"/>
  <c r="W301" i="19"/>
  <c r="W300" i="19"/>
  <c r="W299" i="19"/>
  <c r="W298" i="19"/>
  <c r="W297" i="19"/>
  <c r="W296" i="19"/>
  <c r="W295" i="19"/>
  <c r="W294" i="19"/>
  <c r="W293" i="19"/>
  <c r="W292" i="19"/>
  <c r="W291" i="19"/>
  <c r="W290" i="19"/>
  <c r="W289" i="19"/>
  <c r="W288" i="19"/>
  <c r="W287" i="19"/>
  <c r="W286" i="19"/>
  <c r="W285" i="19"/>
  <c r="W284" i="19"/>
  <c r="W283" i="19"/>
  <c r="W282" i="19"/>
  <c r="W281" i="19"/>
  <c r="W280" i="19"/>
  <c r="W279" i="19"/>
  <c r="W278" i="19"/>
  <c r="W277" i="19"/>
  <c r="W276" i="19"/>
  <c r="L270" i="19"/>
  <c r="M270" i="19" s="1"/>
  <c r="N270" i="19" s="1"/>
  <c r="O270" i="19" s="1"/>
  <c r="P270" i="19" s="1"/>
  <c r="R270" i="19" s="1"/>
  <c r="S270" i="19" s="1"/>
  <c r="T270" i="19" s="1"/>
  <c r="U270" i="19" s="1"/>
  <c r="V270" i="19" s="1"/>
  <c r="J265" i="19"/>
  <c r="J268" i="19" s="1"/>
  <c r="J269" i="19" s="1"/>
  <c r="J267" i="19" s="1"/>
  <c r="J266" i="19" s="1"/>
  <c r="L260" i="19"/>
  <c r="J255" i="19"/>
  <c r="J258" i="19" s="1"/>
  <c r="J259" i="19" s="1"/>
  <c r="L250" i="19"/>
  <c r="M250" i="19" s="1"/>
  <c r="J245" i="19"/>
  <c r="J248" i="19" s="1"/>
  <c r="J249" i="19" s="1"/>
  <c r="L240" i="19"/>
  <c r="J235" i="19"/>
  <c r="V225" i="19"/>
  <c r="V228" i="19" s="1"/>
  <c r="V229" i="19" s="1"/>
  <c r="V227" i="19" s="1"/>
  <c r="V226" i="19" s="1"/>
  <c r="U225" i="19"/>
  <c r="T225" i="19"/>
  <c r="T228" i="19" s="1"/>
  <c r="T229" i="19" s="1"/>
  <c r="S225" i="19"/>
  <c r="S228" i="19" s="1"/>
  <c r="S229" i="19" s="1"/>
  <c r="R225" i="19"/>
  <c r="R228" i="19" s="1"/>
  <c r="R229" i="19" s="1"/>
  <c r="R227" i="19" s="1"/>
  <c r="R226" i="19" s="1"/>
  <c r="P225" i="19"/>
  <c r="O225" i="19"/>
  <c r="O228" i="19" s="1"/>
  <c r="O229" i="19" s="1"/>
  <c r="N225" i="19"/>
  <c r="N223" i="19" s="1"/>
  <c r="M225" i="19"/>
  <c r="M228" i="19" s="1"/>
  <c r="M229" i="19" s="1"/>
  <c r="M227" i="19" s="1"/>
  <c r="L225" i="19"/>
  <c r="J225" i="19"/>
  <c r="J228" i="19" s="1"/>
  <c r="J229" i="19" s="1"/>
  <c r="F25" i="19"/>
  <c r="F24" i="19"/>
  <c r="F23" i="19"/>
  <c r="C20" i="19"/>
  <c r="D21" i="19" s="1"/>
  <c r="F6" i="19"/>
  <c r="I178" i="18"/>
  <c r="I256" i="18" s="1"/>
  <c r="I97" i="18"/>
  <c r="E96" i="18"/>
  <c r="C24" i="19"/>
  <c r="E85" i="18" s="1"/>
  <c r="E125" i="18" s="1"/>
  <c r="F152" i="17"/>
  <c r="F55" i="17"/>
  <c r="D51" i="17"/>
  <c r="F155" i="17"/>
  <c r="I217" i="16"/>
  <c r="H266" i="16" s="1"/>
  <c r="H267" i="16" s="1"/>
  <c r="C52" i="17"/>
  <c r="D53" i="17" s="1"/>
  <c r="AC107" i="17"/>
  <c r="AC108" i="17" s="1"/>
  <c r="E81" i="16"/>
  <c r="E83" i="16" s="1"/>
  <c r="E71" i="16"/>
  <c r="C264" i="26" l="1"/>
  <c r="J260" i="25"/>
  <c r="J262" i="25" s="1"/>
  <c r="S223" i="19"/>
  <c r="J203" i="23"/>
  <c r="H255" i="25"/>
  <c r="H257" i="25" s="1"/>
  <c r="E235" i="16"/>
  <c r="E154" i="16"/>
  <c r="J170" i="23"/>
  <c r="J171" i="23" s="1"/>
  <c r="J272" i="27"/>
  <c r="L202" i="23"/>
  <c r="L203" i="23" s="1"/>
  <c r="L187" i="23"/>
  <c r="L188" i="23" s="1"/>
  <c r="L186" i="23" s="1"/>
  <c r="L185" i="23" s="1"/>
  <c r="M204" i="23"/>
  <c r="V163" i="23"/>
  <c r="M245" i="27"/>
  <c r="N245" i="27" s="1"/>
  <c r="J241" i="23"/>
  <c r="T209" i="27"/>
  <c r="T206" i="27"/>
  <c r="T207" i="27" s="1"/>
  <c r="D177" i="22"/>
  <c r="P21" i="38"/>
  <c r="D176" i="22" s="1"/>
  <c r="P23" i="38"/>
  <c r="D178" i="22" s="1"/>
  <c r="N54" i="40"/>
  <c r="P54" i="40"/>
  <c r="F134" i="40"/>
  <c r="X54" i="40"/>
  <c r="D74" i="40"/>
  <c r="C54" i="40"/>
  <c r="D64" i="40"/>
  <c r="W104" i="40"/>
  <c r="C134" i="40"/>
  <c r="X184" i="40"/>
  <c r="C144" i="40"/>
  <c r="X114" i="40"/>
  <c r="O114" i="40"/>
  <c r="X64" i="40"/>
  <c r="N74" i="40"/>
  <c r="C74" i="40"/>
  <c r="T124" i="40"/>
  <c r="X174" i="40"/>
  <c r="X144" i="40"/>
  <c r="M164" i="40"/>
  <c r="D144" i="40"/>
  <c r="D174" i="40"/>
  <c r="W174" i="40"/>
  <c r="C184" i="40"/>
  <c r="U194" i="40"/>
  <c r="W74" i="40"/>
  <c r="N84" i="40"/>
  <c r="O54" i="40"/>
  <c r="D84" i="40"/>
  <c r="T74" i="40"/>
  <c r="C94" i="40"/>
  <c r="W54" i="40"/>
  <c r="X194" i="40"/>
  <c r="M174" i="40"/>
  <c r="X134" i="40"/>
  <c r="C114" i="40"/>
  <c r="X104" i="40"/>
  <c r="C64" i="40"/>
  <c r="M134" i="40"/>
  <c r="P124" i="40"/>
  <c r="D134" i="40"/>
  <c r="M124" i="40"/>
  <c r="H154" i="40"/>
  <c r="M144" i="40"/>
  <c r="W184" i="40"/>
  <c r="H194" i="40"/>
  <c r="D54" i="40"/>
  <c r="T54" i="40"/>
  <c r="M104" i="40"/>
  <c r="W114" i="40"/>
  <c r="D114" i="40"/>
  <c r="W124" i="40"/>
  <c r="M74" i="40"/>
  <c r="D184" i="40"/>
  <c r="X154" i="40"/>
  <c r="X164" i="40"/>
  <c r="C104" i="40"/>
  <c r="M54" i="40"/>
  <c r="C124" i="40"/>
  <c r="G74" i="40"/>
  <c r="M94" i="40"/>
  <c r="W84" i="40"/>
  <c r="C194" i="40"/>
  <c r="X74" i="40"/>
  <c r="D154" i="40"/>
  <c r="M184" i="40"/>
  <c r="W64" i="40"/>
  <c r="C164" i="40"/>
  <c r="N124" i="40"/>
  <c r="W94" i="40"/>
  <c r="M84" i="40"/>
  <c r="C84" i="40"/>
  <c r="D94" i="40"/>
  <c r="W154" i="40"/>
  <c r="D124" i="40"/>
  <c r="G154" i="40"/>
  <c r="J194" i="40"/>
  <c r="M64" i="40"/>
  <c r="X124" i="40"/>
  <c r="X94" i="40"/>
  <c r="H64" i="40"/>
  <c r="M154" i="40"/>
  <c r="W134" i="40"/>
  <c r="C154" i="40"/>
  <c r="D194" i="40"/>
  <c r="C174" i="40"/>
  <c r="M114" i="40"/>
  <c r="O124" i="40"/>
  <c r="X84" i="40"/>
  <c r="P74" i="40"/>
  <c r="U114" i="40"/>
  <c r="Q114" i="40"/>
  <c r="D164" i="40"/>
  <c r="W194" i="40"/>
  <c r="F194" i="40"/>
  <c r="M194" i="40"/>
  <c r="N174" i="40"/>
  <c r="I184" i="40"/>
  <c r="K174" i="40"/>
  <c r="N194" i="40"/>
  <c r="N134" i="40"/>
  <c r="K194" i="40"/>
  <c r="O74" i="40"/>
  <c r="G54" i="40"/>
  <c r="N154" i="40"/>
  <c r="N114" i="40"/>
  <c r="W144" i="40"/>
  <c r="F84" i="40"/>
  <c r="F74" i="40"/>
  <c r="E74" i="40"/>
  <c r="E124" i="40"/>
  <c r="K154" i="40"/>
  <c r="O194" i="40"/>
  <c r="E54" i="40"/>
  <c r="J124" i="40"/>
  <c r="U54" i="40"/>
  <c r="J74" i="40"/>
  <c r="E184" i="40"/>
  <c r="N64" i="40"/>
  <c r="E174" i="40"/>
  <c r="E134" i="40"/>
  <c r="F54" i="40"/>
  <c r="W164" i="40"/>
  <c r="L104" i="40"/>
  <c r="K54" i="40"/>
  <c r="L194" i="40"/>
  <c r="H174" i="40"/>
  <c r="J54" i="40"/>
  <c r="F114" i="40"/>
  <c r="L174" i="40"/>
  <c r="F124" i="40"/>
  <c r="L154" i="40"/>
  <c r="D104" i="40"/>
  <c r="N144" i="40"/>
  <c r="G174" i="40"/>
  <c r="E84" i="40"/>
  <c r="E144" i="40"/>
  <c r="J84" i="40"/>
  <c r="G194" i="40"/>
  <c r="N94" i="40"/>
  <c r="J154" i="40"/>
  <c r="P114" i="40"/>
  <c r="K64" i="40"/>
  <c r="L164" i="40"/>
  <c r="E64" i="40"/>
  <c r="T114" i="40"/>
  <c r="G184" i="40"/>
  <c r="O174" i="40"/>
  <c r="H54" i="40"/>
  <c r="G114" i="40"/>
  <c r="E114" i="40"/>
  <c r="O84" i="40"/>
  <c r="J184" i="40"/>
  <c r="E154" i="40"/>
  <c r="Q54" i="40"/>
  <c r="F144" i="40"/>
  <c r="K144" i="40"/>
  <c r="G124" i="40"/>
  <c r="L184" i="40"/>
  <c r="I94" i="40"/>
  <c r="O134" i="40"/>
  <c r="J134" i="40"/>
  <c r="G64" i="40"/>
  <c r="H104" i="40"/>
  <c r="E194" i="40"/>
  <c r="E164" i="40"/>
  <c r="I194" i="40"/>
  <c r="L114" i="40"/>
  <c r="E94" i="40"/>
  <c r="S84" i="40"/>
  <c r="L54" i="40"/>
  <c r="O144" i="40"/>
  <c r="Q194" i="40"/>
  <c r="N104" i="40"/>
  <c r="J114" i="40"/>
  <c r="H114" i="40"/>
  <c r="N184" i="40"/>
  <c r="K124" i="40"/>
  <c r="N164" i="40"/>
  <c r="J64" i="40"/>
  <c r="K74" i="40"/>
  <c r="L64" i="40"/>
  <c r="H184" i="40"/>
  <c r="F184" i="40"/>
  <c r="K184" i="40"/>
  <c r="E104" i="40"/>
  <c r="K114" i="40"/>
  <c r="L84" i="40"/>
  <c r="G144" i="40"/>
  <c r="I124" i="40"/>
  <c r="I54" i="40"/>
  <c r="Q134" i="40"/>
  <c r="I144" i="40"/>
  <c r="Q124" i="40"/>
  <c r="L144" i="40"/>
  <c r="O104" i="40"/>
  <c r="K104" i="40"/>
  <c r="H84" i="40"/>
  <c r="R54" i="40"/>
  <c r="O164" i="40"/>
  <c r="G134" i="40"/>
  <c r="V134" i="40"/>
  <c r="V174" i="40"/>
  <c r="J104" i="40"/>
  <c r="U124" i="40"/>
  <c r="T84" i="40"/>
  <c r="F94" i="40"/>
  <c r="T174" i="40"/>
  <c r="V124" i="40"/>
  <c r="S74" i="40"/>
  <c r="L74" i="40"/>
  <c r="J94" i="40"/>
  <c r="R144" i="40"/>
  <c r="O94" i="40"/>
  <c r="P174" i="40"/>
  <c r="F154" i="40"/>
  <c r="H134" i="40"/>
  <c r="U134" i="40"/>
  <c r="R194" i="40"/>
  <c r="Q174" i="40"/>
  <c r="U84" i="40"/>
  <c r="I114" i="40"/>
  <c r="P194" i="40"/>
  <c r="H94" i="40"/>
  <c r="K164" i="40"/>
  <c r="L134" i="40"/>
  <c r="Q144" i="40"/>
  <c r="F64" i="40"/>
  <c r="V144" i="40"/>
  <c r="J164" i="40"/>
  <c r="V74" i="40"/>
  <c r="T194" i="40"/>
  <c r="S124" i="40"/>
  <c r="I104" i="40"/>
  <c r="R84" i="40"/>
  <c r="H124" i="40"/>
  <c r="G104" i="40"/>
  <c r="K84" i="40"/>
  <c r="R134" i="40"/>
  <c r="I134" i="40"/>
  <c r="V54" i="40"/>
  <c r="I154" i="40"/>
  <c r="S194" i="40"/>
  <c r="I164" i="40"/>
  <c r="K134" i="40"/>
  <c r="L124" i="40"/>
  <c r="J174" i="40"/>
  <c r="R174" i="40"/>
  <c r="U174" i="40"/>
  <c r="L94" i="40"/>
  <c r="U74" i="40"/>
  <c r="I174" i="40"/>
  <c r="V84" i="40"/>
  <c r="R124" i="40"/>
  <c r="I84" i="40"/>
  <c r="G84" i="40"/>
  <c r="F104" i="40"/>
  <c r="O64" i="40"/>
  <c r="J144" i="40"/>
  <c r="I74" i="40"/>
  <c r="G94" i="40"/>
  <c r="T144" i="40"/>
  <c r="S114" i="40"/>
  <c r="P144" i="40"/>
  <c r="H74" i="40"/>
  <c r="T134" i="40"/>
  <c r="R74" i="40"/>
  <c r="O184" i="40"/>
  <c r="O154" i="40"/>
  <c r="S54" i="40"/>
  <c r="H164" i="40"/>
  <c r="I64" i="40"/>
  <c r="P84" i="40"/>
  <c r="F174" i="40"/>
  <c r="Q74" i="40"/>
  <c r="P134" i="40"/>
  <c r="H144" i="40"/>
  <c r="Q84" i="40"/>
  <c r="F164" i="40"/>
  <c r="G164" i="40"/>
  <c r="S134" i="40"/>
  <c r="V194" i="40"/>
  <c r="K94" i="40"/>
  <c r="R114" i="40"/>
  <c r="V114" i="40"/>
  <c r="V184" i="40"/>
  <c r="Q164" i="40"/>
  <c r="V94" i="40"/>
  <c r="Q154" i="40"/>
  <c r="U64" i="40"/>
  <c r="P104" i="40"/>
  <c r="Q94" i="40"/>
  <c r="V64" i="40"/>
  <c r="U104" i="40"/>
  <c r="U94" i="40"/>
  <c r="T184" i="40"/>
  <c r="R154" i="40"/>
  <c r="V104" i="40"/>
  <c r="S94" i="40"/>
  <c r="T154" i="40"/>
  <c r="P184" i="40"/>
  <c r="R94" i="40"/>
  <c r="T104" i="40"/>
  <c r="Q64" i="40"/>
  <c r="P164" i="40"/>
  <c r="S144" i="40"/>
  <c r="T64" i="40"/>
  <c r="S104" i="40"/>
  <c r="P94" i="40"/>
  <c r="S184" i="40"/>
  <c r="P64" i="40"/>
  <c r="P154" i="40"/>
  <c r="Q184" i="40"/>
  <c r="Q104" i="40"/>
  <c r="S64" i="40"/>
  <c r="U184" i="40"/>
  <c r="T164" i="40"/>
  <c r="R164" i="40"/>
  <c r="S164" i="40"/>
  <c r="U164" i="40"/>
  <c r="U154" i="40"/>
  <c r="V154" i="40"/>
  <c r="R184" i="40"/>
  <c r="U144" i="40"/>
  <c r="V164" i="40"/>
  <c r="R104" i="40"/>
  <c r="S174" i="40"/>
  <c r="S154" i="40"/>
  <c r="R64" i="40"/>
  <c r="T94" i="40"/>
  <c r="E22" i="20"/>
  <c r="E23" i="20" s="1"/>
  <c r="P12" i="35"/>
  <c r="P22" i="35" s="1"/>
  <c r="P23" i="35" s="1"/>
  <c r="P18" i="35"/>
  <c r="P20" i="35" s="1"/>
  <c r="L265" i="19"/>
  <c r="L268" i="19" s="1"/>
  <c r="L269" i="19" s="1"/>
  <c r="L267" i="19" s="1"/>
  <c r="L266" i="19" s="1"/>
  <c r="R163" i="23"/>
  <c r="L182" i="23"/>
  <c r="M163" i="23"/>
  <c r="L248" i="27"/>
  <c r="L249" i="27" s="1"/>
  <c r="L245" i="19"/>
  <c r="L248" i="19" s="1"/>
  <c r="L249" i="19" s="1"/>
  <c r="L235" i="19"/>
  <c r="L238" i="19" s="1"/>
  <c r="L239" i="19" s="1"/>
  <c r="J310" i="19"/>
  <c r="J311" i="19" s="1"/>
  <c r="J295" i="27"/>
  <c r="J296" i="27" s="1"/>
  <c r="L209" i="27"/>
  <c r="L206" i="27"/>
  <c r="L207" i="27" s="1"/>
  <c r="J291" i="19"/>
  <c r="E119" i="26"/>
  <c r="E130" i="26" s="1"/>
  <c r="J219" i="27"/>
  <c r="J216" i="27"/>
  <c r="J217" i="27" s="1"/>
  <c r="M194" i="23"/>
  <c r="N189" i="23"/>
  <c r="O189" i="23" s="1"/>
  <c r="P189" i="23" s="1"/>
  <c r="J263" i="19"/>
  <c r="J261" i="19" s="1"/>
  <c r="J262" i="19" s="1"/>
  <c r="L190" i="23"/>
  <c r="L191" i="23" s="1"/>
  <c r="J342" i="19"/>
  <c r="J343" i="19" s="1"/>
  <c r="J327" i="27"/>
  <c r="J328" i="27" s="1"/>
  <c r="L255" i="19"/>
  <c r="L258" i="19" s="1"/>
  <c r="L259" i="19" s="1"/>
  <c r="L257" i="19" s="1"/>
  <c r="L256" i="19" s="1"/>
  <c r="M260" i="19"/>
  <c r="M265" i="19" s="1"/>
  <c r="L223" i="27"/>
  <c r="L224" i="27" s="1"/>
  <c r="L222" i="27" s="1"/>
  <c r="L221" i="27" s="1"/>
  <c r="J290" i="27"/>
  <c r="M225" i="27"/>
  <c r="M220" i="27" s="1"/>
  <c r="K218" i="27"/>
  <c r="K223" i="27"/>
  <c r="K224" i="27" s="1"/>
  <c r="K222" i="27" s="1"/>
  <c r="K221" i="27" s="1"/>
  <c r="K229" i="27"/>
  <c r="K226" i="27"/>
  <c r="K227" i="27" s="1"/>
  <c r="L260" i="25"/>
  <c r="L262" i="25" s="1"/>
  <c r="L255" i="25"/>
  <c r="L257" i="25" s="1"/>
  <c r="J246" i="27"/>
  <c r="J247" i="27" s="1"/>
  <c r="J249" i="27"/>
  <c r="L219" i="27"/>
  <c r="L216" i="27"/>
  <c r="L217" i="27" s="1"/>
  <c r="R223" i="19"/>
  <c r="R221" i="19" s="1"/>
  <c r="R222" i="19" s="1"/>
  <c r="S227" i="19"/>
  <c r="S226" i="19" s="1"/>
  <c r="J262" i="17"/>
  <c r="J305" i="19"/>
  <c r="J230" i="23"/>
  <c r="J291" i="23"/>
  <c r="J292" i="23" s="1"/>
  <c r="J313" i="17"/>
  <c r="J314" i="17" s="1"/>
  <c r="J229" i="27"/>
  <c r="J226" i="27"/>
  <c r="J227" i="27" s="1"/>
  <c r="P206" i="27"/>
  <c r="P207" i="27" s="1"/>
  <c r="P209" i="27"/>
  <c r="J227" i="19"/>
  <c r="J226" i="19" s="1"/>
  <c r="T227" i="19"/>
  <c r="T226" i="19" s="1"/>
  <c r="J343" i="17"/>
  <c r="J344" i="17" s="1"/>
  <c r="J347" i="27"/>
  <c r="J348" i="27" s="1"/>
  <c r="K255" i="25"/>
  <c r="K257" i="25" s="1"/>
  <c r="K260" i="25"/>
  <c r="K262" i="25" s="1"/>
  <c r="M223" i="19"/>
  <c r="M221" i="19" s="1"/>
  <c r="M222" i="19" s="1"/>
  <c r="V223" i="19"/>
  <c r="V221" i="19" s="1"/>
  <c r="V222" i="19" s="1"/>
  <c r="M226" i="19"/>
  <c r="N228" i="19"/>
  <c r="N229" i="19" s="1"/>
  <c r="N227" i="19" s="1"/>
  <c r="N226" i="19" s="1"/>
  <c r="J233" i="19"/>
  <c r="J234" i="19" s="1"/>
  <c r="J238" i="19"/>
  <c r="J239" i="19" s="1"/>
  <c r="J237" i="19" s="1"/>
  <c r="J236" i="19" s="1"/>
  <c r="N250" i="19"/>
  <c r="O250" i="19" s="1"/>
  <c r="K248" i="27"/>
  <c r="J274" i="15"/>
  <c r="J266" i="15"/>
  <c r="J270" i="15"/>
  <c r="J271" i="15" s="1"/>
  <c r="J251" i="15"/>
  <c r="J253" i="15"/>
  <c r="E138" i="26"/>
  <c r="E178" i="26"/>
  <c r="F56" i="27" s="1"/>
  <c r="E180" i="26" s="1"/>
  <c r="J241" i="26" s="1"/>
  <c r="P21" i="24"/>
  <c r="P19" i="24"/>
  <c r="E19" i="23"/>
  <c r="C19" i="23" s="1"/>
  <c r="H33" i="30"/>
  <c r="M250" i="27"/>
  <c r="K209" i="27"/>
  <c r="K206" i="27"/>
  <c r="K207" i="27" s="1"/>
  <c r="O209" i="27"/>
  <c r="O206" i="27"/>
  <c r="O207" i="27" s="1"/>
  <c r="K243" i="27"/>
  <c r="K244" i="27" s="1"/>
  <c r="K242" i="27" s="1"/>
  <c r="K241" i="27" s="1"/>
  <c r="M209" i="27"/>
  <c r="M206" i="27"/>
  <c r="M207" i="27" s="1"/>
  <c r="S209" i="27"/>
  <c r="S206" i="27"/>
  <c r="S207" i="27" s="1"/>
  <c r="M235" i="27"/>
  <c r="L240" i="27"/>
  <c r="L238" i="27" s="1"/>
  <c r="L239" i="27" s="1"/>
  <c r="Q209" i="27"/>
  <c r="Q206" i="27"/>
  <c r="Q207" i="27" s="1"/>
  <c r="J294" i="27"/>
  <c r="L230" i="27"/>
  <c r="K238" i="27"/>
  <c r="J357" i="27"/>
  <c r="J358" i="27" s="1"/>
  <c r="E108" i="22"/>
  <c r="E110" i="22" s="1"/>
  <c r="E122" i="22" s="1"/>
  <c r="G154" i="22"/>
  <c r="C156" i="22" s="1"/>
  <c r="E123" i="22"/>
  <c r="L208" i="18"/>
  <c r="J216" i="18" s="1"/>
  <c r="I255" i="25"/>
  <c r="I257" i="25" s="1"/>
  <c r="I260" i="25"/>
  <c r="I262" i="25" s="1"/>
  <c r="J180" i="23"/>
  <c r="J181" i="23" s="1"/>
  <c r="J183" i="23"/>
  <c r="O160" i="23"/>
  <c r="O161" i="23" s="1"/>
  <c r="O163" i="23"/>
  <c r="L163" i="23"/>
  <c r="L160" i="23"/>
  <c r="L161" i="23" s="1"/>
  <c r="O199" i="23"/>
  <c r="N204" i="23"/>
  <c r="T160" i="23"/>
  <c r="T161" i="23" s="1"/>
  <c r="T163" i="23"/>
  <c r="U163" i="23"/>
  <c r="U160" i="23"/>
  <c r="U161" i="23" s="1"/>
  <c r="J250" i="23"/>
  <c r="J248" i="23"/>
  <c r="J160" i="23"/>
  <c r="J161" i="23" s="1"/>
  <c r="J163" i="23"/>
  <c r="J193" i="23"/>
  <c r="J190" i="23"/>
  <c r="J191" i="23" s="1"/>
  <c r="M207" i="23"/>
  <c r="M208" i="23" s="1"/>
  <c r="M206" i="23" s="1"/>
  <c r="M205" i="23" s="1"/>
  <c r="M184" i="23"/>
  <c r="M182" i="23" s="1"/>
  <c r="M183" i="23" s="1"/>
  <c r="N179" i="23"/>
  <c r="M174" i="23"/>
  <c r="L170" i="23"/>
  <c r="L171" i="23" s="1"/>
  <c r="L173" i="23"/>
  <c r="P163" i="23"/>
  <c r="P160" i="23"/>
  <c r="P161" i="23" s="1"/>
  <c r="M202" i="23"/>
  <c r="J287" i="19"/>
  <c r="J289" i="19"/>
  <c r="J372" i="19"/>
  <c r="J373" i="19" s="1"/>
  <c r="J301" i="19"/>
  <c r="J303" i="19"/>
  <c r="J332" i="19"/>
  <c r="J333" i="19" s="1"/>
  <c r="J98" i="18"/>
  <c r="C25" i="19"/>
  <c r="E97" i="18" s="1"/>
  <c r="E70" i="18"/>
  <c r="J258" i="17"/>
  <c r="J260" i="17"/>
  <c r="J280" i="17"/>
  <c r="J303" i="17"/>
  <c r="J304" i="17" s="1"/>
  <c r="J277" i="17"/>
  <c r="J278" i="17" s="1"/>
  <c r="J273" i="17"/>
  <c r="F149" i="18"/>
  <c r="E160" i="18" s="1"/>
  <c r="I189" i="18"/>
  <c r="C137" i="18"/>
  <c r="C144" i="18"/>
  <c r="C145" i="18" s="1"/>
  <c r="E17" i="20"/>
  <c r="E18" i="20" s="1"/>
  <c r="E20" i="20" s="1"/>
  <c r="I182" i="18"/>
  <c r="E110" i="18"/>
  <c r="S224" i="19"/>
  <c r="S221" i="19"/>
  <c r="S222" i="19" s="1"/>
  <c r="O227" i="19"/>
  <c r="O226" i="19" s="1"/>
  <c r="J247" i="19"/>
  <c r="J246" i="19" s="1"/>
  <c r="N221" i="19"/>
  <c r="N222" i="19" s="1"/>
  <c r="N224" i="19"/>
  <c r="L228" i="19"/>
  <c r="L229" i="19" s="1"/>
  <c r="L227" i="19" s="1"/>
  <c r="L226" i="19" s="1"/>
  <c r="L223" i="19"/>
  <c r="P228" i="19"/>
  <c r="P229" i="19" s="1"/>
  <c r="P227" i="19" s="1"/>
  <c r="P226" i="19" s="1"/>
  <c r="P223" i="19"/>
  <c r="U228" i="19"/>
  <c r="U229" i="19" s="1"/>
  <c r="U227" i="19" s="1"/>
  <c r="U226" i="19" s="1"/>
  <c r="U223" i="19"/>
  <c r="R224" i="19"/>
  <c r="M240" i="19"/>
  <c r="J253" i="19"/>
  <c r="J257" i="19"/>
  <c r="J256" i="19" s="1"/>
  <c r="J223" i="19"/>
  <c r="O223" i="19"/>
  <c r="T223" i="19"/>
  <c r="J243" i="19"/>
  <c r="C249" i="16"/>
  <c r="J256" i="16" s="1"/>
  <c r="E112" i="16"/>
  <c r="H69" i="16"/>
  <c r="I220" i="16"/>
  <c r="J266" i="16" s="1"/>
  <c r="I219" i="16"/>
  <c r="I218" i="16"/>
  <c r="I185" i="16"/>
  <c r="U307" i="17"/>
  <c r="U306" i="17"/>
  <c r="U305" i="17"/>
  <c r="U304" i="17"/>
  <c r="U303" i="17"/>
  <c r="U302" i="17"/>
  <c r="U301" i="17"/>
  <c r="U300" i="17"/>
  <c r="U299" i="17"/>
  <c r="U298" i="17"/>
  <c r="U297" i="17"/>
  <c r="U296" i="17"/>
  <c r="U295" i="17"/>
  <c r="U294" i="17"/>
  <c r="U293" i="17"/>
  <c r="U292" i="17"/>
  <c r="U291" i="17"/>
  <c r="U290" i="17"/>
  <c r="U289" i="17"/>
  <c r="U288" i="17"/>
  <c r="U287" i="17"/>
  <c r="U286" i="17"/>
  <c r="U285" i="17"/>
  <c r="U284" i="17"/>
  <c r="U283" i="17"/>
  <c r="U282" i="17"/>
  <c r="U281" i="17"/>
  <c r="U280" i="17"/>
  <c r="U279" i="17"/>
  <c r="U278" i="17"/>
  <c r="U277" i="17"/>
  <c r="U276" i="17"/>
  <c r="U275" i="17"/>
  <c r="U274" i="17"/>
  <c r="U273" i="17"/>
  <c r="U272" i="17"/>
  <c r="U271" i="17"/>
  <c r="U270" i="17"/>
  <c r="U269" i="17"/>
  <c r="U268" i="17"/>
  <c r="U267" i="17"/>
  <c r="U266" i="17"/>
  <c r="U265" i="17"/>
  <c r="U264" i="17"/>
  <c r="U263" i="17"/>
  <c r="U262" i="17"/>
  <c r="U261" i="17"/>
  <c r="U260" i="17"/>
  <c r="U259" i="17"/>
  <c r="U258" i="17"/>
  <c r="U257" i="17"/>
  <c r="U256" i="17"/>
  <c r="U255" i="17"/>
  <c r="U254" i="17"/>
  <c r="U253" i="17"/>
  <c r="U252" i="17"/>
  <c r="U251" i="17"/>
  <c r="U250" i="17"/>
  <c r="U249" i="17"/>
  <c r="U248" i="17"/>
  <c r="U247" i="17"/>
  <c r="K241" i="17"/>
  <c r="L241" i="17" s="1"/>
  <c r="M241" i="17" s="1"/>
  <c r="N241" i="17" s="1"/>
  <c r="O241" i="17" s="1"/>
  <c r="P241" i="17" s="1"/>
  <c r="Q241" i="17" s="1"/>
  <c r="R241" i="17" s="1"/>
  <c r="S241" i="17" s="1"/>
  <c r="T241" i="17" s="1"/>
  <c r="J236" i="17"/>
  <c r="J239" i="17" s="1"/>
  <c r="J240" i="17" s="1"/>
  <c r="J238" i="17" s="1"/>
  <c r="K231" i="17"/>
  <c r="J226" i="17"/>
  <c r="J229" i="17" s="1"/>
  <c r="J230" i="17" s="1"/>
  <c r="J228" i="17" s="1"/>
  <c r="J227" i="17" s="1"/>
  <c r="K221" i="17"/>
  <c r="J216" i="17"/>
  <c r="K211" i="17"/>
  <c r="L211" i="17" s="1"/>
  <c r="J206" i="17"/>
  <c r="J209" i="17" s="1"/>
  <c r="J210" i="17" s="1"/>
  <c r="T196" i="17"/>
  <c r="T199" i="17" s="1"/>
  <c r="T200" i="17" s="1"/>
  <c r="T198" i="17" s="1"/>
  <c r="S196" i="17"/>
  <c r="S199" i="17" s="1"/>
  <c r="S200" i="17" s="1"/>
  <c r="S198" i="17" s="1"/>
  <c r="S197" i="17" s="1"/>
  <c r="R196" i="17"/>
  <c r="Q196" i="17"/>
  <c r="Q199" i="17" s="1"/>
  <c r="Q200" i="17" s="1"/>
  <c r="P196" i="17"/>
  <c r="P194" i="17" s="1"/>
  <c r="O196" i="17"/>
  <c r="O199" i="17" s="1"/>
  <c r="O200" i="17" s="1"/>
  <c r="O198" i="17" s="1"/>
  <c r="O197" i="17" s="1"/>
  <c r="N196" i="17"/>
  <c r="M196" i="17"/>
  <c r="M199" i="17" s="1"/>
  <c r="M200" i="17" s="1"/>
  <c r="L196" i="17"/>
  <c r="L199" i="17" s="1"/>
  <c r="L200" i="17" s="1"/>
  <c r="L198" i="17" s="1"/>
  <c r="K196" i="17"/>
  <c r="K199" i="17" s="1"/>
  <c r="K200" i="17" s="1"/>
  <c r="K198" i="17" s="1"/>
  <c r="K197" i="17" s="1"/>
  <c r="J196" i="17"/>
  <c r="F156" i="17"/>
  <c r="F154" i="17"/>
  <c r="F153" i="17"/>
  <c r="F57" i="17"/>
  <c r="F56" i="17"/>
  <c r="L185" i="16"/>
  <c r="F186" i="16" s="1"/>
  <c r="E197" i="16" s="1"/>
  <c r="E234" i="16" s="1"/>
  <c r="K42" i="6"/>
  <c r="F149" i="15"/>
  <c r="F148" i="15"/>
  <c r="F147" i="15"/>
  <c r="F146" i="15"/>
  <c r="C54" i="33" s="1"/>
  <c r="F145" i="15"/>
  <c r="I146" i="6"/>
  <c r="J335" i="15"/>
  <c r="J332" i="15" s="1"/>
  <c r="J331" i="15" s="1"/>
  <c r="J333" i="15" s="1"/>
  <c r="J334" i="15" s="1"/>
  <c r="J325" i="15"/>
  <c r="J322" i="15" s="1"/>
  <c r="J321" i="15" s="1"/>
  <c r="J323" i="15" s="1"/>
  <c r="J324" i="15" s="1"/>
  <c r="J315" i="15"/>
  <c r="J312" i="15" s="1"/>
  <c r="J311" i="15" s="1"/>
  <c r="J313" i="15" s="1"/>
  <c r="J314" i="15" s="1"/>
  <c r="J305" i="15"/>
  <c r="J308" i="15" s="1"/>
  <c r="J309" i="15" s="1"/>
  <c r="J295" i="15"/>
  <c r="J292" i="15" s="1"/>
  <c r="J291" i="15" s="1"/>
  <c r="J293" i="15" s="1"/>
  <c r="J294" i="15" s="1"/>
  <c r="J285" i="15"/>
  <c r="J288" i="15" s="1"/>
  <c r="J289" i="15" s="1"/>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L253" i="19" l="1"/>
  <c r="L254" i="19" s="1"/>
  <c r="L243" i="19"/>
  <c r="L247" i="19"/>
  <c r="L246" i="19" s="1"/>
  <c r="N260" i="19"/>
  <c r="N255" i="19" s="1"/>
  <c r="M224" i="19"/>
  <c r="V224" i="19"/>
  <c r="L237" i="19"/>
  <c r="L236" i="19" s="1"/>
  <c r="L263" i="19"/>
  <c r="L200" i="23"/>
  <c r="L201" i="23" s="1"/>
  <c r="L233" i="19"/>
  <c r="L194" i="17"/>
  <c r="L192" i="17" s="1"/>
  <c r="L193" i="17" s="1"/>
  <c r="J309" i="19"/>
  <c r="J242" i="23"/>
  <c r="J240" i="23"/>
  <c r="T194" i="17"/>
  <c r="T195" i="17" s="1"/>
  <c r="P19" i="35"/>
  <c r="D194" i="18" s="1"/>
  <c r="D195" i="18"/>
  <c r="D241" i="18" s="1"/>
  <c r="G241" i="18" s="1"/>
  <c r="D250" i="22"/>
  <c r="P21" i="35"/>
  <c r="D196" i="18" s="1"/>
  <c r="L183" i="23"/>
  <c r="L180" i="23"/>
  <c r="L181" i="23" s="1"/>
  <c r="K226" i="17"/>
  <c r="J264" i="19"/>
  <c r="L246" i="27"/>
  <c r="L247" i="27" s="1"/>
  <c r="M180" i="23"/>
  <c r="M181" i="23" s="1"/>
  <c r="K206" i="17"/>
  <c r="K204" i="17" s="1"/>
  <c r="J234" i="17"/>
  <c r="J232" i="17" s="1"/>
  <c r="J233" i="17" s="1"/>
  <c r="E141" i="26"/>
  <c r="L225" i="26"/>
  <c r="E51" i="17"/>
  <c r="C51" i="17" s="1"/>
  <c r="C22" i="16" s="1"/>
  <c r="K42" i="16"/>
  <c r="N225" i="27"/>
  <c r="O225" i="27" s="1"/>
  <c r="M255" i="19"/>
  <c r="K216" i="17"/>
  <c r="K219" i="17" s="1"/>
  <c r="K220" i="17" s="1"/>
  <c r="K218" i="17" s="1"/>
  <c r="K217" i="17" s="1"/>
  <c r="L221" i="17"/>
  <c r="M221" i="17" s="1"/>
  <c r="M192" i="23"/>
  <c r="M197" i="23"/>
  <c r="M198" i="23" s="1"/>
  <c r="M196" i="23" s="1"/>
  <c r="M195" i="23" s="1"/>
  <c r="N194" i="23"/>
  <c r="K249" i="27"/>
  <c r="K246" i="27"/>
  <c r="K247" i="27" s="1"/>
  <c r="K216" i="27"/>
  <c r="K217" i="27" s="1"/>
  <c r="K219" i="27"/>
  <c r="K194" i="17"/>
  <c r="K195" i="17" s="1"/>
  <c r="S194" i="17"/>
  <c r="S195" i="17" s="1"/>
  <c r="P199" i="17"/>
  <c r="P200" i="17" s="1"/>
  <c r="P198" i="17" s="1"/>
  <c r="P197" i="17" s="1"/>
  <c r="M211" i="17"/>
  <c r="N211" i="17" s="1"/>
  <c r="J224" i="17"/>
  <c r="J225" i="17" s="1"/>
  <c r="J237" i="17"/>
  <c r="J276" i="17"/>
  <c r="O194" i="17"/>
  <c r="O195" i="17" s="1"/>
  <c r="J231" i="19"/>
  <c r="J232" i="19" s="1"/>
  <c r="J269" i="15"/>
  <c r="J275" i="15"/>
  <c r="J273" i="15"/>
  <c r="J267" i="15"/>
  <c r="J265" i="15"/>
  <c r="J338" i="15"/>
  <c r="J339" i="15" s="1"/>
  <c r="C131" i="22"/>
  <c r="C136" i="22"/>
  <c r="C266" i="26"/>
  <c r="K239" i="27"/>
  <c r="K236" i="27"/>
  <c r="K237" i="27" s="1"/>
  <c r="M253" i="27"/>
  <c r="M254" i="27" s="1"/>
  <c r="M252" i="27" s="1"/>
  <c r="M251" i="27" s="1"/>
  <c r="M240" i="27"/>
  <c r="N235" i="27"/>
  <c r="L243" i="27"/>
  <c r="L244" i="27" s="1"/>
  <c r="L242" i="27" s="1"/>
  <c r="L241" i="27" s="1"/>
  <c r="M218" i="27"/>
  <c r="M223" i="27"/>
  <c r="M224" i="27" s="1"/>
  <c r="M222" i="27" s="1"/>
  <c r="M221" i="27" s="1"/>
  <c r="L233" i="27"/>
  <c r="L234" i="27" s="1"/>
  <c r="L232" i="27" s="1"/>
  <c r="L231" i="27" s="1"/>
  <c r="L228" i="27"/>
  <c r="O245" i="27"/>
  <c r="N250" i="27"/>
  <c r="N248" i="27" s="1"/>
  <c r="N249" i="27" s="1"/>
  <c r="M248" i="27"/>
  <c r="L236" i="27"/>
  <c r="L237" i="27" s="1"/>
  <c r="M230" i="27"/>
  <c r="C157" i="22"/>
  <c r="H20" i="22"/>
  <c r="C20" i="22"/>
  <c r="G20" i="22"/>
  <c r="I20" i="22"/>
  <c r="C21" i="22"/>
  <c r="R189" i="23"/>
  <c r="O204" i="23"/>
  <c r="P199" i="23"/>
  <c r="P194" i="23" s="1"/>
  <c r="P192" i="23" s="1"/>
  <c r="N174" i="23"/>
  <c r="N184" i="23"/>
  <c r="O179" i="23"/>
  <c r="O194" i="23"/>
  <c r="N207" i="23"/>
  <c r="N208" i="23" s="1"/>
  <c r="N206" i="23" s="1"/>
  <c r="N205" i="23" s="1"/>
  <c r="M203" i="23"/>
  <c r="M200" i="23"/>
  <c r="M201" i="23" s="1"/>
  <c r="M177" i="23"/>
  <c r="M178" i="23" s="1"/>
  <c r="M176" i="23" s="1"/>
  <c r="M175" i="23" s="1"/>
  <c r="M172" i="23"/>
  <c r="M187" i="23"/>
  <c r="M188" i="23" s="1"/>
  <c r="M186" i="23" s="1"/>
  <c r="M185" i="23" s="1"/>
  <c r="N202" i="23"/>
  <c r="J272" i="17"/>
  <c r="J274" i="17"/>
  <c r="E210" i="16"/>
  <c r="J336" i="15"/>
  <c r="J337" i="15" s="1"/>
  <c r="J282" i="15"/>
  <c r="J281" i="15" s="1"/>
  <c r="J283" i="15" s="1"/>
  <c r="J284" i="15" s="1"/>
  <c r="J286" i="15" s="1"/>
  <c r="J287" i="15" s="1"/>
  <c r="J302" i="15"/>
  <c r="J301" i="15" s="1"/>
  <c r="J303" i="15" s="1"/>
  <c r="J304" i="15" s="1"/>
  <c r="J306" i="15" s="1"/>
  <c r="J307" i="15" s="1"/>
  <c r="E21" i="20"/>
  <c r="E19" i="20"/>
  <c r="E24" i="20"/>
  <c r="E124" i="18"/>
  <c r="E129" i="18" s="1"/>
  <c r="E111" i="18"/>
  <c r="E113" i="18" s="1"/>
  <c r="E126" i="18" s="1"/>
  <c r="E99" i="18"/>
  <c r="P250" i="19"/>
  <c r="O221" i="19"/>
  <c r="O222" i="19" s="1"/>
  <c r="O224" i="19"/>
  <c r="P224" i="19"/>
  <c r="P221" i="19"/>
  <c r="P222" i="19" s="1"/>
  <c r="T221" i="19"/>
  <c r="T222" i="19" s="1"/>
  <c r="T224" i="19"/>
  <c r="M268" i="19"/>
  <c r="M269" i="19" s="1"/>
  <c r="M267" i="19" s="1"/>
  <c r="M266" i="19" s="1"/>
  <c r="N258" i="19"/>
  <c r="N259" i="19" s="1"/>
  <c r="N257" i="19" s="1"/>
  <c r="N256" i="19" s="1"/>
  <c r="J241" i="19"/>
  <c r="J242" i="19" s="1"/>
  <c r="J244" i="19"/>
  <c r="J221" i="19"/>
  <c r="J222" i="19" s="1"/>
  <c r="J224" i="19"/>
  <c r="U224" i="19"/>
  <c r="U221" i="19"/>
  <c r="U222" i="19" s="1"/>
  <c r="L224" i="19"/>
  <c r="L221" i="19"/>
  <c r="L222" i="19" s="1"/>
  <c r="L251" i="19"/>
  <c r="L252" i="19" s="1"/>
  <c r="N253" i="19"/>
  <c r="N265" i="19"/>
  <c r="N263" i="19" s="1"/>
  <c r="O260" i="19"/>
  <c r="L231" i="19"/>
  <c r="L232" i="19" s="1"/>
  <c r="L234" i="19"/>
  <c r="J254" i="19"/>
  <c r="J251" i="19"/>
  <c r="J252" i="19" s="1"/>
  <c r="M245" i="19"/>
  <c r="M243" i="19" s="1"/>
  <c r="M244" i="19" s="1"/>
  <c r="N240" i="19"/>
  <c r="M235" i="19"/>
  <c r="M263" i="19"/>
  <c r="L249" i="16"/>
  <c r="J258" i="16" s="1"/>
  <c r="D217" i="16"/>
  <c r="C266" i="16" s="1"/>
  <c r="C183" i="16"/>
  <c r="C184" i="16" s="1"/>
  <c r="I221" i="16"/>
  <c r="E94" i="16"/>
  <c r="E95" i="16" s="1"/>
  <c r="E97" i="16" s="1"/>
  <c r="L197" i="17"/>
  <c r="T197" i="17"/>
  <c r="J194" i="17"/>
  <c r="J199" i="17"/>
  <c r="J200" i="17" s="1"/>
  <c r="J198" i="17" s="1"/>
  <c r="J197" i="17" s="1"/>
  <c r="N194" i="17"/>
  <c r="N199" i="17"/>
  <c r="N200" i="17" s="1"/>
  <c r="N198" i="17" s="1"/>
  <c r="N197" i="17" s="1"/>
  <c r="R194" i="17"/>
  <c r="R199" i="17"/>
  <c r="R200" i="17" s="1"/>
  <c r="R198" i="17" s="1"/>
  <c r="R197" i="17" s="1"/>
  <c r="P192" i="17"/>
  <c r="P193" i="17" s="1"/>
  <c r="P195" i="17"/>
  <c r="K214" i="17"/>
  <c r="K215" i="17" s="1"/>
  <c r="K229" i="17"/>
  <c r="K230" i="17" s="1"/>
  <c r="K228" i="17" s="1"/>
  <c r="K227" i="17" s="1"/>
  <c r="K224" i="17"/>
  <c r="K225" i="17" s="1"/>
  <c r="K236" i="17"/>
  <c r="M194" i="17"/>
  <c r="Q194" i="17"/>
  <c r="M198" i="17"/>
  <c r="M197" i="17" s="1"/>
  <c r="Q198" i="17"/>
  <c r="Q197" i="17" s="1"/>
  <c r="J204" i="17"/>
  <c r="L206" i="17"/>
  <c r="J208" i="17"/>
  <c r="J207" i="17" s="1"/>
  <c r="J219" i="17"/>
  <c r="J220" i="17" s="1"/>
  <c r="J218" i="17" s="1"/>
  <c r="J217" i="17" s="1"/>
  <c r="L231" i="17"/>
  <c r="J214" i="17"/>
  <c r="J328" i="15"/>
  <c r="J329" i="15" s="1"/>
  <c r="J318" i="15"/>
  <c r="J319" i="15" s="1"/>
  <c r="J298" i="15"/>
  <c r="J299" i="15" s="1"/>
  <c r="L244" i="19" l="1"/>
  <c r="L241" i="19"/>
  <c r="L242" i="19" s="1"/>
  <c r="L195" i="17"/>
  <c r="T192" i="17"/>
  <c r="T193" i="17" s="1"/>
  <c r="J222" i="17"/>
  <c r="J223" i="17" s="1"/>
  <c r="L264" i="19"/>
  <c r="L261" i="19"/>
  <c r="L262" i="19" s="1"/>
  <c r="S192" i="17"/>
  <c r="S193" i="17" s="1"/>
  <c r="N220" i="27"/>
  <c r="N223" i="27" s="1"/>
  <c r="N224" i="27" s="1"/>
  <c r="N222" i="27" s="1"/>
  <c r="N221" i="27" s="1"/>
  <c r="K209" i="17"/>
  <c r="K210" i="17" s="1"/>
  <c r="K208" i="17" s="1"/>
  <c r="K207" i="17" s="1"/>
  <c r="J235" i="17"/>
  <c r="L216" i="17"/>
  <c r="AC110" i="17"/>
  <c r="N192" i="23"/>
  <c r="N197" i="23"/>
  <c r="N198" i="23" s="1"/>
  <c r="N196" i="23" s="1"/>
  <c r="N195" i="23" s="1"/>
  <c r="L226" i="17"/>
  <c r="L224" i="17" s="1"/>
  <c r="M258" i="19"/>
  <c r="M259" i="19" s="1"/>
  <c r="M257" i="19" s="1"/>
  <c r="M256" i="19" s="1"/>
  <c r="M253" i="19"/>
  <c r="M193" i="23"/>
  <c r="M190" i="23"/>
  <c r="M191" i="23" s="1"/>
  <c r="K192" i="17"/>
  <c r="K193" i="17" s="1"/>
  <c r="M206" i="17"/>
  <c r="M209" i="17" s="1"/>
  <c r="M210" i="17" s="1"/>
  <c r="M208" i="17" s="1"/>
  <c r="M207" i="17" s="1"/>
  <c r="O192" i="17"/>
  <c r="O193" i="17" s="1"/>
  <c r="J296" i="15"/>
  <c r="J297" i="15" s="1"/>
  <c r="N246" i="27"/>
  <c r="N247" i="27" s="1"/>
  <c r="F11" i="15"/>
  <c r="F13" i="15" s="1"/>
  <c r="F14" i="15"/>
  <c r="F37" i="15"/>
  <c r="C132" i="22"/>
  <c r="C137" i="22"/>
  <c r="G76" i="28"/>
  <c r="C78" i="28" s="1"/>
  <c r="C58" i="28" s="1"/>
  <c r="L229" i="27"/>
  <c r="L226" i="27"/>
  <c r="L227" i="27" s="1"/>
  <c r="O220" i="27"/>
  <c r="P225" i="27"/>
  <c r="N240" i="27"/>
  <c r="N238" i="27" s="1"/>
  <c r="N239" i="27" s="1"/>
  <c r="O235" i="27"/>
  <c r="M249" i="27"/>
  <c r="M246" i="27"/>
  <c r="M247" i="27" s="1"/>
  <c r="M243" i="27"/>
  <c r="M244" i="27" s="1"/>
  <c r="M242" i="27" s="1"/>
  <c r="M241" i="27" s="1"/>
  <c r="P245" i="27"/>
  <c r="O250" i="27"/>
  <c r="O248" i="27" s="1"/>
  <c r="O249" i="27" s="1"/>
  <c r="M216" i="27"/>
  <c r="M217" i="27" s="1"/>
  <c r="M219" i="27"/>
  <c r="M233" i="27"/>
  <c r="M234" i="27" s="1"/>
  <c r="M232" i="27" s="1"/>
  <c r="M231" i="27" s="1"/>
  <c r="M228" i="27"/>
  <c r="N253" i="27"/>
  <c r="N254" i="27" s="1"/>
  <c r="N252" i="27" s="1"/>
  <c r="N251" i="27" s="1"/>
  <c r="N230" i="27"/>
  <c r="M238" i="27"/>
  <c r="L202" i="18"/>
  <c r="L184" i="22"/>
  <c r="C202" i="18"/>
  <c r="J215" i="18" s="1"/>
  <c r="C184" i="22"/>
  <c r="J197" i="22" s="1"/>
  <c r="C208" i="18"/>
  <c r="E19" i="19"/>
  <c r="C19" i="19" s="1"/>
  <c r="P193" i="23"/>
  <c r="P190" i="23"/>
  <c r="P191" i="23" s="1"/>
  <c r="N177" i="23"/>
  <c r="N178" i="23" s="1"/>
  <c r="N176" i="23" s="1"/>
  <c r="N175" i="23" s="1"/>
  <c r="N172" i="23"/>
  <c r="O207" i="23"/>
  <c r="O208" i="23" s="1"/>
  <c r="O206" i="23" s="1"/>
  <c r="O205" i="23" s="1"/>
  <c r="O197" i="23"/>
  <c r="O198" i="23" s="1"/>
  <c r="O196" i="23" s="1"/>
  <c r="O195" i="23" s="1"/>
  <c r="O192" i="23"/>
  <c r="N187" i="23"/>
  <c r="N188" i="23" s="1"/>
  <c r="N186" i="23" s="1"/>
  <c r="N185" i="23" s="1"/>
  <c r="N203" i="23"/>
  <c r="N200" i="23"/>
  <c r="N201" i="23" s="1"/>
  <c r="M173" i="23"/>
  <c r="M170" i="23"/>
  <c r="M171" i="23" s="1"/>
  <c r="O202" i="23"/>
  <c r="P179" i="23"/>
  <c r="O184" i="23"/>
  <c r="O182" i="23" s="1"/>
  <c r="O174" i="23"/>
  <c r="P197" i="23"/>
  <c r="P198" i="23" s="1"/>
  <c r="P196" i="23" s="1"/>
  <c r="P195" i="23" s="1"/>
  <c r="R199" i="23"/>
  <c r="R194" i="23" s="1"/>
  <c r="R192" i="23" s="1"/>
  <c r="P204" i="23"/>
  <c r="P202" i="23" s="1"/>
  <c r="S189" i="23"/>
  <c r="N182" i="23"/>
  <c r="E110" i="16"/>
  <c r="E128" i="16"/>
  <c r="E133" i="16" s="1"/>
  <c r="E127" i="18"/>
  <c r="N264" i="19"/>
  <c r="N261" i="19"/>
  <c r="N262" i="19" s="1"/>
  <c r="O265" i="19"/>
  <c r="P260" i="19"/>
  <c r="N235" i="19"/>
  <c r="O240" i="19"/>
  <c r="N245" i="19"/>
  <c r="N243" i="19" s="1"/>
  <c r="R250" i="19"/>
  <c r="M264" i="19"/>
  <c r="M261" i="19"/>
  <c r="M262" i="19" s="1"/>
  <c r="M241" i="19"/>
  <c r="M242" i="19" s="1"/>
  <c r="O255" i="19"/>
  <c r="N254" i="19"/>
  <c r="N251" i="19"/>
  <c r="N252" i="19" s="1"/>
  <c r="M238" i="19"/>
  <c r="M239" i="19" s="1"/>
  <c r="M237" i="19" s="1"/>
  <c r="M236" i="19" s="1"/>
  <c r="M233" i="19"/>
  <c r="M248" i="19"/>
  <c r="M249" i="19" s="1"/>
  <c r="M247" i="19" s="1"/>
  <c r="M246" i="19" s="1"/>
  <c r="N268" i="19"/>
  <c r="N269" i="19" s="1"/>
  <c r="N267" i="19" s="1"/>
  <c r="N266" i="19" s="1"/>
  <c r="F37" i="17"/>
  <c r="E157" i="17" s="1"/>
  <c r="E172" i="16"/>
  <c r="L243" i="16"/>
  <c r="E111" i="16"/>
  <c r="E151" i="16"/>
  <c r="N221" i="17"/>
  <c r="L209" i="17"/>
  <c r="L210" i="17" s="1"/>
  <c r="L208" i="17" s="1"/>
  <c r="L207" i="17" s="1"/>
  <c r="L204" i="17"/>
  <c r="Q192" i="17"/>
  <c r="Q193" i="17" s="1"/>
  <c r="Q195" i="17"/>
  <c r="K205" i="17"/>
  <c r="K202" i="17"/>
  <c r="K203" i="17" s="1"/>
  <c r="J215" i="17"/>
  <c r="J212" i="17"/>
  <c r="J213" i="17" s="1"/>
  <c r="L229" i="17"/>
  <c r="L230" i="17" s="1"/>
  <c r="L228" i="17" s="1"/>
  <c r="L227" i="17" s="1"/>
  <c r="R195" i="17"/>
  <c r="R192" i="17"/>
  <c r="R193" i="17" s="1"/>
  <c r="N195" i="17"/>
  <c r="N192" i="17"/>
  <c r="N193" i="17" s="1"/>
  <c r="J195" i="17"/>
  <c r="J192" i="17"/>
  <c r="J193" i="17" s="1"/>
  <c r="M231" i="17"/>
  <c r="M226" i="17" s="1"/>
  <c r="M224" i="17" s="1"/>
  <c r="L236" i="17"/>
  <c r="O211" i="17"/>
  <c r="N206" i="17"/>
  <c r="M216" i="17"/>
  <c r="K222" i="17"/>
  <c r="K223" i="17" s="1"/>
  <c r="K212" i="17"/>
  <c r="K213" i="17" s="1"/>
  <c r="J202" i="17"/>
  <c r="J203" i="17" s="1"/>
  <c r="J205" i="17"/>
  <c r="M192" i="17"/>
  <c r="M193" i="17" s="1"/>
  <c r="M195" i="17"/>
  <c r="K239" i="17"/>
  <c r="K240" i="17" s="1"/>
  <c r="K238" i="17" s="1"/>
  <c r="K237" i="17" s="1"/>
  <c r="M204" i="17"/>
  <c r="K234" i="17"/>
  <c r="J326" i="15"/>
  <c r="J327" i="15" s="1"/>
  <c r="J316" i="15"/>
  <c r="J317" i="15" s="1"/>
  <c r="D44" i="15"/>
  <c r="F50" i="15"/>
  <c r="F49" i="15"/>
  <c r="I178" i="6"/>
  <c r="I181" i="6"/>
  <c r="J241" i="6" s="1"/>
  <c r="I180" i="6"/>
  <c r="I179" i="6"/>
  <c r="F48" i="15"/>
  <c r="L146" i="6"/>
  <c r="D178" i="6"/>
  <c r="C241" i="6" s="1"/>
  <c r="C45" i="15"/>
  <c r="D46" i="15" s="1"/>
  <c r="I97" i="6"/>
  <c r="K204" i="15"/>
  <c r="K234" i="15"/>
  <c r="L234" i="15" s="1"/>
  <c r="M234" i="15" s="1"/>
  <c r="K224" i="15"/>
  <c r="K214" i="15"/>
  <c r="L214" i="15" s="1"/>
  <c r="T189" i="15"/>
  <c r="S189" i="15"/>
  <c r="S192" i="15" s="1"/>
  <c r="S193" i="15" s="1"/>
  <c r="S191" i="15" s="1"/>
  <c r="S190" i="15" s="1"/>
  <c r="R189" i="15"/>
  <c r="Q189" i="15"/>
  <c r="Q187" i="15" s="1"/>
  <c r="P189" i="15"/>
  <c r="P192" i="15" s="1"/>
  <c r="P193" i="15" s="1"/>
  <c r="O189" i="15"/>
  <c r="N189" i="15"/>
  <c r="N192" i="15" s="1"/>
  <c r="N193" i="15" s="1"/>
  <c r="N191" i="15" s="1"/>
  <c r="N190" i="15" s="1"/>
  <c r="M189" i="15"/>
  <c r="M192" i="15" s="1"/>
  <c r="M193" i="15" s="1"/>
  <c r="M191" i="15" s="1"/>
  <c r="L189" i="15"/>
  <c r="L187" i="15" s="1"/>
  <c r="K189" i="15"/>
  <c r="J229" i="15"/>
  <c r="J227" i="15" s="1"/>
  <c r="J219" i="15"/>
  <c r="J217" i="15" s="1"/>
  <c r="J209" i="15"/>
  <c r="J199" i="15"/>
  <c r="J197" i="15" s="1"/>
  <c r="J195" i="15" s="1"/>
  <c r="J196" i="15" s="1"/>
  <c r="J189" i="15"/>
  <c r="J187" i="15" s="1"/>
  <c r="J188" i="15" s="1"/>
  <c r="E96" i="6"/>
  <c r="F25" i="15"/>
  <c r="J39" i="6" s="1"/>
  <c r="E25" i="15"/>
  <c r="F34" i="15" s="1"/>
  <c r="N218" i="27" l="1"/>
  <c r="N244" i="19"/>
  <c r="N241" i="19"/>
  <c r="N242" i="19" s="1"/>
  <c r="J222" i="15"/>
  <c r="J223" i="15" s="1"/>
  <c r="J221" i="15" s="1"/>
  <c r="J220" i="15" s="1"/>
  <c r="J185" i="15"/>
  <c r="J186" i="15" s="1"/>
  <c r="J202" i="15"/>
  <c r="J203" i="15" s="1"/>
  <c r="J201" i="15" s="1"/>
  <c r="J200" i="15" s="1"/>
  <c r="N236" i="27"/>
  <c r="N237" i="27" s="1"/>
  <c r="L214" i="17"/>
  <c r="L219" i="17"/>
  <c r="L220" i="17" s="1"/>
  <c r="L218" i="17" s="1"/>
  <c r="L217" i="17" s="1"/>
  <c r="E152" i="16"/>
  <c r="E115" i="16"/>
  <c r="J267" i="16"/>
  <c r="E212" i="16"/>
  <c r="J259" i="16" s="1"/>
  <c r="J232" i="15"/>
  <c r="J233" i="15" s="1"/>
  <c r="J231" i="15" s="1"/>
  <c r="J230" i="15" s="1"/>
  <c r="K209" i="15"/>
  <c r="K212" i="15" s="1"/>
  <c r="K213" i="15" s="1"/>
  <c r="K211" i="15" s="1"/>
  <c r="K210" i="15" s="1"/>
  <c r="M254" i="19"/>
  <c r="M251" i="19"/>
  <c r="M252" i="19" s="1"/>
  <c r="N193" i="23"/>
  <c r="N190" i="23"/>
  <c r="N191" i="23" s="1"/>
  <c r="J192" i="15"/>
  <c r="J193" i="15" s="1"/>
  <c r="J191" i="15" s="1"/>
  <c r="J190" i="15" s="1"/>
  <c r="K229" i="15"/>
  <c r="K227" i="15" s="1"/>
  <c r="I69" i="6"/>
  <c r="L224" i="15"/>
  <c r="M224" i="15" s="1"/>
  <c r="N224" i="15" s="1"/>
  <c r="O224" i="15" s="1"/>
  <c r="P224" i="15" s="1"/>
  <c r="Q224" i="15" s="1"/>
  <c r="R224" i="15" s="1"/>
  <c r="S224" i="15" s="1"/>
  <c r="T224" i="15" s="1"/>
  <c r="S187" i="15"/>
  <c r="F15" i="15"/>
  <c r="F36" i="15"/>
  <c r="F38" i="15" s="1"/>
  <c r="F39" i="15" s="1"/>
  <c r="J225" i="15"/>
  <c r="J226" i="15" s="1"/>
  <c r="J228" i="15"/>
  <c r="M214" i="15"/>
  <c r="L185" i="15"/>
  <c r="L186" i="15" s="1"/>
  <c r="L188" i="15"/>
  <c r="N234" i="15"/>
  <c r="Q185" i="15"/>
  <c r="Q186" i="15" s="1"/>
  <c r="Q188" i="15"/>
  <c r="J215" i="15"/>
  <c r="J216" i="15" s="1"/>
  <c r="J218" i="15"/>
  <c r="M190" i="15"/>
  <c r="K199" i="15"/>
  <c r="J198" i="15"/>
  <c r="L192" i="15"/>
  <c r="L193" i="15" s="1"/>
  <c r="L191" i="15" s="1"/>
  <c r="L190" i="15" s="1"/>
  <c r="N187" i="15"/>
  <c r="N188" i="15" s="1"/>
  <c r="Q192" i="15"/>
  <c r="Q193" i="15" s="1"/>
  <c r="Q191" i="15" s="1"/>
  <c r="Q190" i="15" s="1"/>
  <c r="K219" i="15"/>
  <c r="K222" i="15" s="1"/>
  <c r="K223" i="15" s="1"/>
  <c r="K221" i="15" s="1"/>
  <c r="K220" i="15" s="1"/>
  <c r="M187" i="15"/>
  <c r="M185" i="15" s="1"/>
  <c r="M186" i="15" s="1"/>
  <c r="C49" i="15"/>
  <c r="C138" i="18"/>
  <c r="C152" i="26"/>
  <c r="C79" i="28"/>
  <c r="E171" i="16"/>
  <c r="N233" i="27"/>
  <c r="N234" i="27" s="1"/>
  <c r="N232" i="27" s="1"/>
  <c r="N231" i="27" s="1"/>
  <c r="N228" i="27"/>
  <c r="M229" i="27"/>
  <c r="M226" i="27"/>
  <c r="M227" i="27" s="1"/>
  <c r="P250" i="27"/>
  <c r="P248" i="27" s="1"/>
  <c r="P249" i="27" s="1"/>
  <c r="Q245" i="27"/>
  <c r="M239" i="27"/>
  <c r="M236" i="27"/>
  <c r="M237" i="27" s="1"/>
  <c r="O253" i="27"/>
  <c r="O254" i="27" s="1"/>
  <c r="O252" i="27" s="1"/>
  <c r="O251" i="27" s="1"/>
  <c r="P235" i="27"/>
  <c r="O240" i="27"/>
  <c r="Q225" i="27"/>
  <c r="P220" i="27"/>
  <c r="O223" i="27"/>
  <c r="O224" i="27" s="1"/>
  <c r="O222" i="27" s="1"/>
  <c r="O221" i="27" s="1"/>
  <c r="O218" i="27"/>
  <c r="N219" i="27"/>
  <c r="N216" i="27"/>
  <c r="N217" i="27" s="1"/>
  <c r="N243" i="27"/>
  <c r="N244" i="27" s="1"/>
  <c r="N242" i="27" s="1"/>
  <c r="N241" i="27" s="1"/>
  <c r="O246" i="27"/>
  <c r="O247" i="27" s="1"/>
  <c r="O230" i="27"/>
  <c r="H20" i="18"/>
  <c r="P203" i="23"/>
  <c r="P200" i="23"/>
  <c r="P201" i="23" s="1"/>
  <c r="O183" i="23"/>
  <c r="O180" i="23"/>
  <c r="O181" i="23" s="1"/>
  <c r="R193" i="23"/>
  <c r="R190" i="23"/>
  <c r="R191" i="23" s="1"/>
  <c r="T189" i="23"/>
  <c r="O203" i="23"/>
  <c r="O200" i="23"/>
  <c r="O201" i="23" s="1"/>
  <c r="O193" i="23"/>
  <c r="O190" i="23"/>
  <c r="O191" i="23" s="1"/>
  <c r="N170" i="23"/>
  <c r="N171" i="23" s="1"/>
  <c r="N173" i="23"/>
  <c r="N183" i="23"/>
  <c r="N180" i="23"/>
  <c r="N181" i="23" s="1"/>
  <c r="O177" i="23"/>
  <c r="O178" i="23" s="1"/>
  <c r="O176" i="23" s="1"/>
  <c r="O175" i="23" s="1"/>
  <c r="O172" i="23"/>
  <c r="R197" i="23"/>
  <c r="R198" i="23" s="1"/>
  <c r="R196" i="23" s="1"/>
  <c r="R195" i="23" s="1"/>
  <c r="S199" i="23"/>
  <c r="S194" i="23" s="1"/>
  <c r="R204" i="23"/>
  <c r="R202" i="23" s="1"/>
  <c r="P174" i="23"/>
  <c r="R179" i="23"/>
  <c r="P184" i="23"/>
  <c r="P207" i="23"/>
  <c r="P208" i="23" s="1"/>
  <c r="P206" i="23" s="1"/>
  <c r="P205" i="23" s="1"/>
  <c r="O187" i="23"/>
  <c r="O188" i="23" s="1"/>
  <c r="O186" i="23" s="1"/>
  <c r="O185" i="23" s="1"/>
  <c r="E159" i="18"/>
  <c r="G162" i="18" s="1"/>
  <c r="C164" i="18" s="1"/>
  <c r="I20" i="18"/>
  <c r="C20" i="18"/>
  <c r="G20" i="18"/>
  <c r="C21" i="18"/>
  <c r="P265" i="19"/>
  <c r="R260" i="19"/>
  <c r="R255" i="19" s="1"/>
  <c r="O258" i="19"/>
  <c r="O259" i="19" s="1"/>
  <c r="O257" i="19" s="1"/>
  <c r="O256" i="19" s="1"/>
  <c r="O253" i="19"/>
  <c r="S250" i="19"/>
  <c r="O268" i="19"/>
  <c r="O269" i="19" s="1"/>
  <c r="O267" i="19" s="1"/>
  <c r="O266" i="19" s="1"/>
  <c r="M234" i="19"/>
  <c r="M231" i="19"/>
  <c r="M232" i="19" s="1"/>
  <c r="N248" i="19"/>
  <c r="N249" i="19" s="1"/>
  <c r="N247" i="19" s="1"/>
  <c r="N246" i="19" s="1"/>
  <c r="O263" i="19"/>
  <c r="N238" i="19"/>
  <c r="N239" i="19" s="1"/>
  <c r="N237" i="19" s="1"/>
  <c r="N236" i="19" s="1"/>
  <c r="N233" i="19"/>
  <c r="P240" i="19"/>
  <c r="O245" i="19"/>
  <c r="O243" i="19" s="1"/>
  <c r="O235" i="19"/>
  <c r="P255" i="19"/>
  <c r="F38" i="17"/>
  <c r="H241" i="6"/>
  <c r="H242" i="6" s="1"/>
  <c r="M225" i="17"/>
  <c r="M222" i="17"/>
  <c r="M223" i="17" s="1"/>
  <c r="M219" i="17"/>
  <c r="M220" i="17" s="1"/>
  <c r="M218" i="17" s="1"/>
  <c r="M217" i="17" s="1"/>
  <c r="M214" i="17"/>
  <c r="P211" i="17"/>
  <c r="O206" i="17"/>
  <c r="M236" i="17"/>
  <c r="N231" i="17"/>
  <c r="N226" i="17" s="1"/>
  <c r="N224" i="17" s="1"/>
  <c r="M202" i="17"/>
  <c r="M203" i="17" s="1"/>
  <c r="M205" i="17"/>
  <c r="N204" i="17"/>
  <c r="N209" i="17"/>
  <c r="N210" i="17" s="1"/>
  <c r="N208" i="17" s="1"/>
  <c r="N207" i="17" s="1"/>
  <c r="L239" i="17"/>
  <c r="L240" i="17" s="1"/>
  <c r="L238" i="17" s="1"/>
  <c r="L237" i="17" s="1"/>
  <c r="L205" i="17"/>
  <c r="L202" i="17"/>
  <c r="L203" i="17" s="1"/>
  <c r="O221" i="17"/>
  <c r="K235" i="17"/>
  <c r="K232" i="17"/>
  <c r="K233" i="17" s="1"/>
  <c r="M229" i="17"/>
  <c r="M230" i="17" s="1"/>
  <c r="M228" i="17" s="1"/>
  <c r="M227" i="17" s="1"/>
  <c r="L225" i="17"/>
  <c r="L222" i="17"/>
  <c r="L223" i="17" s="1"/>
  <c r="N216" i="17"/>
  <c r="L234" i="17"/>
  <c r="I182" i="6"/>
  <c r="J98" i="6"/>
  <c r="C50" i="15"/>
  <c r="E97" i="6" s="1"/>
  <c r="E99" i="6" s="1"/>
  <c r="E44" i="15" s="1"/>
  <c r="F147" i="6"/>
  <c r="E158" i="6" s="1"/>
  <c r="E199" i="6" s="1"/>
  <c r="K207" i="15"/>
  <c r="T192" i="15"/>
  <c r="T193" i="15" s="1"/>
  <c r="T191" i="15" s="1"/>
  <c r="T190" i="15" s="1"/>
  <c r="T187" i="15"/>
  <c r="R192" i="15"/>
  <c r="R193" i="15" s="1"/>
  <c r="R191" i="15" s="1"/>
  <c r="R190" i="15" s="1"/>
  <c r="R187" i="15"/>
  <c r="O192" i="15"/>
  <c r="O193" i="15" s="1"/>
  <c r="O191" i="15" s="1"/>
  <c r="O190" i="15" s="1"/>
  <c r="P187" i="15"/>
  <c r="P191" i="15"/>
  <c r="P190" i="15" s="1"/>
  <c r="O187" i="15"/>
  <c r="K192" i="15"/>
  <c r="K193" i="15" s="1"/>
  <c r="K191" i="15" s="1"/>
  <c r="K190" i="15" s="1"/>
  <c r="K187" i="15"/>
  <c r="J207" i="15"/>
  <c r="J212" i="15"/>
  <c r="J213" i="15" s="1"/>
  <c r="J211" i="15" s="1"/>
  <c r="J210" i="15" s="1"/>
  <c r="K217" i="15" l="1"/>
  <c r="K232" i="15"/>
  <c r="K233" i="15" s="1"/>
  <c r="K231" i="15" s="1"/>
  <c r="K230" i="15" s="1"/>
  <c r="F16" i="15"/>
  <c r="F17" i="15" s="1"/>
  <c r="L215" i="17"/>
  <c r="L212" i="17"/>
  <c r="L213" i="17" s="1"/>
  <c r="C267" i="16"/>
  <c r="O244" i="19"/>
  <c r="O241" i="19"/>
  <c r="O242" i="19" s="1"/>
  <c r="M188" i="15"/>
  <c r="E85" i="6"/>
  <c r="E200" i="6" s="1"/>
  <c r="S185" i="15"/>
  <c r="S186" i="15" s="1"/>
  <c r="S188" i="15"/>
  <c r="L229" i="15"/>
  <c r="M229" i="15"/>
  <c r="M232" i="15" s="1"/>
  <c r="M233" i="15" s="1"/>
  <c r="M231" i="15" s="1"/>
  <c r="M230" i="15" s="1"/>
  <c r="L219" i="15"/>
  <c r="L222" i="15" s="1"/>
  <c r="L223" i="15" s="1"/>
  <c r="L221" i="15" s="1"/>
  <c r="L220" i="15" s="1"/>
  <c r="E209" i="6"/>
  <c r="C48" i="15"/>
  <c r="N185" i="15"/>
  <c r="N186" i="15" s="1"/>
  <c r="K197" i="15"/>
  <c r="K202" i="15"/>
  <c r="K203" i="15" s="1"/>
  <c r="K201" i="15" s="1"/>
  <c r="K200" i="15" s="1"/>
  <c r="N214" i="15"/>
  <c r="M219" i="15"/>
  <c r="M222" i="15" s="1"/>
  <c r="M223" i="15" s="1"/>
  <c r="M221" i="15" s="1"/>
  <c r="M220" i="15" s="1"/>
  <c r="K225" i="15"/>
  <c r="K226" i="15" s="1"/>
  <c r="K228" i="15"/>
  <c r="O234" i="15"/>
  <c r="N229" i="15"/>
  <c r="C135" i="18"/>
  <c r="C142" i="18"/>
  <c r="E153" i="16"/>
  <c r="R225" i="27"/>
  <c r="C71" i="27" s="1"/>
  <c r="E103" i="26" s="1"/>
  <c r="E105" i="26" s="1"/>
  <c r="Q220" i="27"/>
  <c r="Q235" i="27"/>
  <c r="P240" i="27"/>
  <c r="P238" i="27" s="1"/>
  <c r="P239" i="27" s="1"/>
  <c r="P223" i="27"/>
  <c r="P224" i="27" s="1"/>
  <c r="P222" i="27" s="1"/>
  <c r="P221" i="27" s="1"/>
  <c r="P218" i="27"/>
  <c r="O243" i="27"/>
  <c r="O244" i="27" s="1"/>
  <c r="O242" i="27" s="1"/>
  <c r="O241" i="27" s="1"/>
  <c r="Q250" i="27"/>
  <c r="R245" i="27"/>
  <c r="O233" i="27"/>
  <c r="O234" i="27" s="1"/>
  <c r="O232" i="27" s="1"/>
  <c r="O231" i="27" s="1"/>
  <c r="O228" i="27"/>
  <c r="O216" i="27"/>
  <c r="O217" i="27" s="1"/>
  <c r="O219" i="27"/>
  <c r="P253" i="27"/>
  <c r="P254" i="27" s="1"/>
  <c r="P252" i="27" s="1"/>
  <c r="P251" i="27" s="1"/>
  <c r="N229" i="27"/>
  <c r="N226" i="27"/>
  <c r="N227" i="27" s="1"/>
  <c r="P230" i="27"/>
  <c r="O238" i="27"/>
  <c r="P246" i="27"/>
  <c r="P247" i="27" s="1"/>
  <c r="R203" i="23"/>
  <c r="R200" i="23"/>
  <c r="R201" i="23" s="1"/>
  <c r="P187" i="23"/>
  <c r="P188" i="23" s="1"/>
  <c r="P186" i="23" s="1"/>
  <c r="P185" i="23" s="1"/>
  <c r="O173" i="23"/>
  <c r="O170" i="23"/>
  <c r="O171" i="23" s="1"/>
  <c r="S197" i="23"/>
  <c r="S198" i="23" s="1"/>
  <c r="S196" i="23" s="1"/>
  <c r="S195" i="23" s="1"/>
  <c r="P172" i="23"/>
  <c r="P177" i="23"/>
  <c r="P178" i="23" s="1"/>
  <c r="P176" i="23" s="1"/>
  <c r="P175" i="23" s="1"/>
  <c r="S204" i="23"/>
  <c r="S202" i="23" s="1"/>
  <c r="S203" i="23" s="1"/>
  <c r="T199" i="23"/>
  <c r="P182" i="23"/>
  <c r="S192" i="23"/>
  <c r="R184" i="23"/>
  <c r="S179" i="23"/>
  <c r="R174" i="23"/>
  <c r="R207" i="23"/>
  <c r="R208" i="23" s="1"/>
  <c r="R206" i="23" s="1"/>
  <c r="R205" i="23" s="1"/>
  <c r="U189" i="23"/>
  <c r="C165" i="18"/>
  <c r="R258" i="19"/>
  <c r="R259" i="19" s="1"/>
  <c r="R257" i="19" s="1"/>
  <c r="R256" i="19" s="1"/>
  <c r="P268" i="19"/>
  <c r="P269" i="19" s="1"/>
  <c r="P267" i="19" s="1"/>
  <c r="P266" i="19" s="1"/>
  <c r="P258" i="19"/>
  <c r="P259" i="19" s="1"/>
  <c r="P257" i="19" s="1"/>
  <c r="P256" i="19" s="1"/>
  <c r="P253" i="19"/>
  <c r="P235" i="19"/>
  <c r="P245" i="19"/>
  <c r="P243" i="19" s="1"/>
  <c r="P244" i="19" s="1"/>
  <c r="R240" i="19"/>
  <c r="O238" i="19"/>
  <c r="O239" i="19" s="1"/>
  <c r="O237" i="19" s="1"/>
  <c r="O236" i="19" s="1"/>
  <c r="O233" i="19"/>
  <c r="O264" i="19"/>
  <c r="O261" i="19"/>
  <c r="O262" i="19" s="1"/>
  <c r="R253" i="19"/>
  <c r="P263" i="19"/>
  <c r="O248" i="19"/>
  <c r="O249" i="19" s="1"/>
  <c r="O247" i="19" s="1"/>
  <c r="O246" i="19" s="1"/>
  <c r="N231" i="19"/>
  <c r="N232" i="19" s="1"/>
  <c r="N234" i="19"/>
  <c r="T250" i="19"/>
  <c r="O254" i="19"/>
  <c r="O251" i="19"/>
  <c r="O252" i="19" s="1"/>
  <c r="S260" i="19"/>
  <c r="S255" i="19" s="1"/>
  <c r="S253" i="19" s="1"/>
  <c r="R265" i="19"/>
  <c r="R263" i="19" s="1"/>
  <c r="R264" i="19" s="1"/>
  <c r="H226" i="16"/>
  <c r="C227" i="16" s="1"/>
  <c r="C224" i="6"/>
  <c r="J231" i="6" s="1"/>
  <c r="N225" i="17"/>
  <c r="N222" i="17"/>
  <c r="N223" i="17" s="1"/>
  <c r="M239" i="17"/>
  <c r="M240" i="17" s="1"/>
  <c r="M238" i="17" s="1"/>
  <c r="M237" i="17" s="1"/>
  <c r="N219" i="17"/>
  <c r="N220" i="17" s="1"/>
  <c r="N218" i="17" s="1"/>
  <c r="N217" i="17" s="1"/>
  <c r="N214" i="17"/>
  <c r="P221" i="17"/>
  <c r="P206" i="17"/>
  <c r="Q211" i="17"/>
  <c r="M215" i="17"/>
  <c r="M212" i="17"/>
  <c r="M213" i="17" s="1"/>
  <c r="L235" i="17"/>
  <c r="L232" i="17"/>
  <c r="L233" i="17" s="1"/>
  <c r="N229" i="17"/>
  <c r="N230" i="17" s="1"/>
  <c r="N228" i="17" s="1"/>
  <c r="N227" i="17" s="1"/>
  <c r="N236" i="17"/>
  <c r="N234" i="17" s="1"/>
  <c r="N235" i="17" s="1"/>
  <c r="O231" i="17"/>
  <c r="O204" i="17"/>
  <c r="O209" i="17"/>
  <c r="O210" i="17" s="1"/>
  <c r="O208" i="17" s="1"/>
  <c r="O207" i="17" s="1"/>
  <c r="N202" i="17"/>
  <c r="N203" i="17" s="1"/>
  <c r="N205" i="17"/>
  <c r="O216" i="17"/>
  <c r="M234" i="17"/>
  <c r="E125" i="6"/>
  <c r="E135" i="6"/>
  <c r="K218" i="15"/>
  <c r="K215" i="15"/>
  <c r="K216" i="15" s="1"/>
  <c r="K208" i="15"/>
  <c r="K205" i="15"/>
  <c r="K206" i="15" s="1"/>
  <c r="T185" i="15"/>
  <c r="T186" i="15" s="1"/>
  <c r="T188" i="15"/>
  <c r="R188" i="15"/>
  <c r="R185" i="15"/>
  <c r="R186" i="15" s="1"/>
  <c r="P185" i="15"/>
  <c r="P186" i="15" s="1"/>
  <c r="P188" i="15"/>
  <c r="O188" i="15"/>
  <c r="O185" i="15"/>
  <c r="O186" i="15" s="1"/>
  <c r="K188" i="15"/>
  <c r="K185" i="15"/>
  <c r="K186" i="15" s="1"/>
  <c r="J208" i="15"/>
  <c r="J205" i="15"/>
  <c r="J206" i="15" s="1"/>
  <c r="L224" i="6"/>
  <c r="J233" i="6" s="1"/>
  <c r="E156" i="16" l="1"/>
  <c r="E236" i="16" s="1"/>
  <c r="C243" i="16" s="1"/>
  <c r="L217" i="15"/>
  <c r="M217" i="15"/>
  <c r="E65" i="27"/>
  <c r="E131" i="26"/>
  <c r="E133" i="26" s="1"/>
  <c r="C231" i="26"/>
  <c r="J238" i="26" s="1"/>
  <c r="E142" i="26"/>
  <c r="E208" i="26" s="1"/>
  <c r="P236" i="27"/>
  <c r="P237" i="27" s="1"/>
  <c r="F19" i="15"/>
  <c r="E133" i="6"/>
  <c r="E67" i="6"/>
  <c r="E70" i="6" s="1"/>
  <c r="L232" i="15"/>
  <c r="L233" i="15" s="1"/>
  <c r="L231" i="15" s="1"/>
  <c r="L230" i="15" s="1"/>
  <c r="S200" i="23"/>
  <c r="S201" i="23" s="1"/>
  <c r="L227" i="15"/>
  <c r="R261" i="19"/>
  <c r="R262" i="19" s="1"/>
  <c r="M227" i="15"/>
  <c r="O214" i="15"/>
  <c r="N219" i="15"/>
  <c r="M215" i="15"/>
  <c r="M216" i="15" s="1"/>
  <c r="M218" i="15"/>
  <c r="L215" i="15"/>
  <c r="L216" i="15" s="1"/>
  <c r="L218" i="15"/>
  <c r="P234" i="15"/>
  <c r="O229" i="15"/>
  <c r="N232" i="15"/>
  <c r="N233" i="15" s="1"/>
  <c r="N231" i="15" s="1"/>
  <c r="N230" i="15" s="1"/>
  <c r="N227" i="15"/>
  <c r="K195" i="15"/>
  <c r="K196" i="15" s="1"/>
  <c r="K198" i="15"/>
  <c r="C136" i="18"/>
  <c r="C143" i="18"/>
  <c r="O239" i="27"/>
  <c r="O236" i="27"/>
  <c r="O237" i="27" s="1"/>
  <c r="Q253" i="27"/>
  <c r="Q254" i="27" s="1"/>
  <c r="Q252" i="27" s="1"/>
  <c r="Q251" i="27" s="1"/>
  <c r="P216" i="27"/>
  <c r="P217" i="27" s="1"/>
  <c r="P219" i="27"/>
  <c r="S225" i="27"/>
  <c r="R220" i="27"/>
  <c r="Q240" i="27"/>
  <c r="R235" i="27"/>
  <c r="Q218" i="27"/>
  <c r="Q223" i="27"/>
  <c r="Q224" i="27" s="1"/>
  <c r="Q222" i="27" s="1"/>
  <c r="Q221" i="27" s="1"/>
  <c r="P233" i="27"/>
  <c r="P234" i="27" s="1"/>
  <c r="P232" i="27" s="1"/>
  <c r="P231" i="27" s="1"/>
  <c r="P228" i="27"/>
  <c r="O229" i="27"/>
  <c r="O226" i="27"/>
  <c r="O227" i="27" s="1"/>
  <c r="S245" i="27"/>
  <c r="R250" i="27"/>
  <c r="P243" i="27"/>
  <c r="P244" i="27" s="1"/>
  <c r="P242" i="27" s="1"/>
  <c r="P241" i="27" s="1"/>
  <c r="Q248" i="27"/>
  <c r="Q230" i="27"/>
  <c r="R177" i="23"/>
  <c r="R178" i="23" s="1"/>
  <c r="R176" i="23" s="1"/>
  <c r="R175" i="23" s="1"/>
  <c r="R172" i="23"/>
  <c r="R187" i="23"/>
  <c r="R188" i="23" s="1"/>
  <c r="R186" i="23" s="1"/>
  <c r="R185" i="23" s="1"/>
  <c r="T204" i="23"/>
  <c r="T202" i="23" s="1"/>
  <c r="U199" i="23"/>
  <c r="V189" i="23"/>
  <c r="P183" i="23"/>
  <c r="P180" i="23"/>
  <c r="P181" i="23" s="1"/>
  <c r="S207" i="23"/>
  <c r="S208" i="23" s="1"/>
  <c r="S206" i="23" s="1"/>
  <c r="S205" i="23" s="1"/>
  <c r="T194" i="23"/>
  <c r="R182" i="23"/>
  <c r="S174" i="23"/>
  <c r="S184" i="23"/>
  <c r="S182" i="23" s="1"/>
  <c r="T179" i="23"/>
  <c r="S193" i="23"/>
  <c r="S190" i="23"/>
  <c r="S191" i="23" s="1"/>
  <c r="P170" i="23"/>
  <c r="P171" i="23" s="1"/>
  <c r="P173" i="23"/>
  <c r="S254" i="19"/>
  <c r="S251" i="19"/>
  <c r="S252" i="19" s="1"/>
  <c r="O234" i="19"/>
  <c r="O231" i="19"/>
  <c r="O232" i="19" s="1"/>
  <c r="P254" i="19"/>
  <c r="P251" i="19"/>
  <c r="P252" i="19" s="1"/>
  <c r="P264" i="19"/>
  <c r="P261" i="19"/>
  <c r="P262" i="19" s="1"/>
  <c r="R245" i="19"/>
  <c r="R243" i="19" s="1"/>
  <c r="S240" i="19"/>
  <c r="R235" i="19"/>
  <c r="R268" i="19"/>
  <c r="R269" i="19" s="1"/>
  <c r="R267" i="19" s="1"/>
  <c r="R266" i="19" s="1"/>
  <c r="P241" i="19"/>
  <c r="P242" i="19" s="1"/>
  <c r="U250" i="19"/>
  <c r="R254" i="19"/>
  <c r="R251" i="19"/>
  <c r="R252" i="19" s="1"/>
  <c r="S258" i="19"/>
  <c r="S259" i="19" s="1"/>
  <c r="S257" i="19" s="1"/>
  <c r="S256" i="19" s="1"/>
  <c r="P233" i="19"/>
  <c r="P238" i="19"/>
  <c r="P239" i="19" s="1"/>
  <c r="P237" i="19" s="1"/>
  <c r="P236" i="19" s="1"/>
  <c r="T260" i="19"/>
  <c r="S265" i="19"/>
  <c r="P248" i="19"/>
  <c r="P249" i="19" s="1"/>
  <c r="P247" i="19" s="1"/>
  <c r="P246" i="19" s="1"/>
  <c r="O236" i="17"/>
  <c r="P231" i="17"/>
  <c r="P226" i="17" s="1"/>
  <c r="Q221" i="17"/>
  <c r="Q216" i="17" s="1"/>
  <c r="Q214" i="17" s="1"/>
  <c r="Q215" i="17" s="1"/>
  <c r="N215" i="17"/>
  <c r="N212" i="17"/>
  <c r="N213" i="17" s="1"/>
  <c r="N239" i="17"/>
  <c r="N240" i="17" s="1"/>
  <c r="N238" i="17" s="1"/>
  <c r="N237" i="17" s="1"/>
  <c r="Q206" i="17"/>
  <c r="R211" i="17"/>
  <c r="O205" i="17"/>
  <c r="O202" i="17"/>
  <c r="O203" i="17" s="1"/>
  <c r="P216" i="17"/>
  <c r="O226" i="17"/>
  <c r="N232" i="17"/>
  <c r="N233" i="17" s="1"/>
  <c r="M235" i="17"/>
  <c r="M232" i="17"/>
  <c r="M233" i="17" s="1"/>
  <c r="O219" i="17"/>
  <c r="O220" i="17" s="1"/>
  <c r="O218" i="17" s="1"/>
  <c r="O217" i="17" s="1"/>
  <c r="O214" i="17"/>
  <c r="P209" i="17"/>
  <c r="P210" i="17" s="1"/>
  <c r="P208" i="17" s="1"/>
  <c r="P207" i="17" s="1"/>
  <c r="P204" i="17"/>
  <c r="E201" i="6"/>
  <c r="C144" i="6"/>
  <c r="C145" i="6" s="1"/>
  <c r="E110" i="6"/>
  <c r="E111" i="6" s="1"/>
  <c r="E113" i="6" s="1"/>
  <c r="L218" i="6" s="1"/>
  <c r="F42" i="17" l="1"/>
  <c r="E238" i="16" s="1"/>
  <c r="I238" i="16" s="1"/>
  <c r="E173" i="16"/>
  <c r="E176" i="16" s="1"/>
  <c r="K228" i="16" s="1"/>
  <c r="E132" i="6"/>
  <c r="E171" i="6"/>
  <c r="F33" i="15" s="1"/>
  <c r="E217" i="26"/>
  <c r="G40" i="27" s="1"/>
  <c r="E218" i="26" s="1"/>
  <c r="E210" i="26"/>
  <c r="H194" i="26"/>
  <c r="C195" i="26" s="1"/>
  <c r="E144" i="26"/>
  <c r="C65" i="27"/>
  <c r="C25" i="26" s="1"/>
  <c r="F41" i="17"/>
  <c r="E196" i="16"/>
  <c r="G199" i="16" s="1"/>
  <c r="C201" i="16" s="1"/>
  <c r="C181" i="16" s="1"/>
  <c r="R244" i="19"/>
  <c r="R241" i="19"/>
  <c r="R242" i="19" s="1"/>
  <c r="M225" i="15"/>
  <c r="M226" i="15" s="1"/>
  <c r="M228" i="15"/>
  <c r="L225" i="15"/>
  <c r="L226" i="15" s="1"/>
  <c r="L228" i="15"/>
  <c r="E210" i="6"/>
  <c r="E203" i="6"/>
  <c r="O232" i="15"/>
  <c r="O233" i="15" s="1"/>
  <c r="O231" i="15" s="1"/>
  <c r="O230" i="15" s="1"/>
  <c r="O227" i="15"/>
  <c r="P214" i="15"/>
  <c r="O219" i="15"/>
  <c r="O222" i="15" s="1"/>
  <c r="O223" i="15" s="1"/>
  <c r="O221" i="15" s="1"/>
  <c r="O220" i="15" s="1"/>
  <c r="N222" i="15"/>
  <c r="N223" i="15" s="1"/>
  <c r="N221" i="15" s="1"/>
  <c r="N220" i="15" s="1"/>
  <c r="N225" i="15"/>
  <c r="N226" i="15" s="1"/>
  <c r="N228" i="15"/>
  <c r="Q234" i="15"/>
  <c r="P229" i="15"/>
  <c r="N217" i="15"/>
  <c r="J257" i="16"/>
  <c r="R253" i="27"/>
  <c r="R254" i="27" s="1"/>
  <c r="R252" i="27" s="1"/>
  <c r="R251" i="27" s="1"/>
  <c r="Q243" i="27"/>
  <c r="Q244" i="27" s="1"/>
  <c r="Q242" i="27" s="1"/>
  <c r="Q241" i="27" s="1"/>
  <c r="Q249" i="27"/>
  <c r="Q246" i="27"/>
  <c r="Q247" i="27" s="1"/>
  <c r="Q216" i="27"/>
  <c r="Q217" i="27" s="1"/>
  <c r="Q219" i="27"/>
  <c r="Q233" i="27"/>
  <c r="Q234" i="27" s="1"/>
  <c r="Q232" i="27" s="1"/>
  <c r="Q231" i="27" s="1"/>
  <c r="Q228" i="27"/>
  <c r="S220" i="27"/>
  <c r="T225" i="27"/>
  <c r="T245" i="27"/>
  <c r="S250" i="27"/>
  <c r="P229" i="27"/>
  <c r="P226" i="27"/>
  <c r="P227" i="27" s="1"/>
  <c r="R240" i="27"/>
  <c r="S235" i="27"/>
  <c r="R223" i="27"/>
  <c r="R224" i="27" s="1"/>
  <c r="R222" i="27" s="1"/>
  <c r="R221" i="27" s="1"/>
  <c r="R218" i="27"/>
  <c r="R248" i="27"/>
  <c r="Q238" i="27"/>
  <c r="R230" i="27"/>
  <c r="S183" i="23"/>
  <c r="S180" i="23"/>
  <c r="S181" i="23" s="1"/>
  <c r="T203" i="23"/>
  <c r="T200" i="23"/>
  <c r="T201" i="23" s="1"/>
  <c r="T197" i="23"/>
  <c r="T198" i="23" s="1"/>
  <c r="T196" i="23" s="1"/>
  <c r="T195" i="23" s="1"/>
  <c r="T192" i="23"/>
  <c r="R183" i="23"/>
  <c r="R180" i="23"/>
  <c r="R181" i="23" s="1"/>
  <c r="U179" i="23"/>
  <c r="T174" i="23"/>
  <c r="T184" i="23"/>
  <c r="T182" i="23" s="1"/>
  <c r="S172" i="23"/>
  <c r="S177" i="23"/>
  <c r="S178" i="23" s="1"/>
  <c r="S176" i="23" s="1"/>
  <c r="S175" i="23" s="1"/>
  <c r="U204" i="23"/>
  <c r="U202" i="23" s="1"/>
  <c r="U203" i="23" s="1"/>
  <c r="V199" i="23"/>
  <c r="S187" i="23"/>
  <c r="S188" i="23" s="1"/>
  <c r="S186" i="23" s="1"/>
  <c r="S185" i="23" s="1"/>
  <c r="T207" i="23"/>
  <c r="T208" i="23" s="1"/>
  <c r="T206" i="23" s="1"/>
  <c r="T205" i="23" s="1"/>
  <c r="R173" i="23"/>
  <c r="R170" i="23"/>
  <c r="R171" i="23" s="1"/>
  <c r="U194" i="23"/>
  <c r="S268" i="19"/>
  <c r="S269" i="19" s="1"/>
  <c r="S267" i="19" s="1"/>
  <c r="S266" i="19" s="1"/>
  <c r="P231" i="19"/>
  <c r="P232" i="19" s="1"/>
  <c r="P234" i="19"/>
  <c r="T265" i="19"/>
  <c r="U260" i="19"/>
  <c r="U255" i="19" s="1"/>
  <c r="U253" i="19" s="1"/>
  <c r="R238" i="19"/>
  <c r="R239" i="19" s="1"/>
  <c r="R237" i="19" s="1"/>
  <c r="R236" i="19" s="1"/>
  <c r="R233" i="19"/>
  <c r="R248" i="19"/>
  <c r="R249" i="19" s="1"/>
  <c r="R247" i="19" s="1"/>
  <c r="R246" i="19" s="1"/>
  <c r="S263" i="19"/>
  <c r="T255" i="19"/>
  <c r="V250" i="19"/>
  <c r="S235" i="19"/>
  <c r="S245" i="19"/>
  <c r="S243" i="19" s="1"/>
  <c r="T240" i="19"/>
  <c r="G22" i="16"/>
  <c r="H22" i="16"/>
  <c r="I22" i="16"/>
  <c r="C44" i="15"/>
  <c r="P229" i="17"/>
  <c r="P230" i="17" s="1"/>
  <c r="P228" i="17" s="1"/>
  <c r="P227" i="17" s="1"/>
  <c r="P224" i="17"/>
  <c r="P205" i="17"/>
  <c r="P202" i="17"/>
  <c r="P203" i="17" s="1"/>
  <c r="O215" i="17"/>
  <c r="O212" i="17"/>
  <c r="O213" i="17" s="1"/>
  <c r="P219" i="17"/>
  <c r="P220" i="17" s="1"/>
  <c r="P218" i="17" s="1"/>
  <c r="P217" i="17" s="1"/>
  <c r="P214" i="17"/>
  <c r="S211" i="17"/>
  <c r="R206" i="17"/>
  <c r="O239" i="17"/>
  <c r="O240" i="17" s="1"/>
  <c r="O238" i="17" s="1"/>
  <c r="O237" i="17" s="1"/>
  <c r="O229" i="17"/>
  <c r="O230" i="17" s="1"/>
  <c r="O228" i="17" s="1"/>
  <c r="O227" i="17" s="1"/>
  <c r="O224" i="17"/>
  <c r="Q219" i="17"/>
  <c r="Q220" i="17" s="1"/>
  <c r="Q218" i="17" s="1"/>
  <c r="Q217" i="17" s="1"/>
  <c r="Q209" i="17"/>
  <c r="Q210" i="17" s="1"/>
  <c r="Q208" i="17" s="1"/>
  <c r="Q207" i="17" s="1"/>
  <c r="Q204" i="17"/>
  <c r="R221" i="17"/>
  <c r="Q212" i="17"/>
  <c r="Q213" i="17" s="1"/>
  <c r="O234" i="17"/>
  <c r="Q231" i="17"/>
  <c r="Q226" i="17" s="1"/>
  <c r="P236" i="17"/>
  <c r="P234" i="17" s="1"/>
  <c r="P235" i="17" s="1"/>
  <c r="E124" i="6"/>
  <c r="E127" i="6" s="1"/>
  <c r="E134" i="6"/>
  <c r="E164" i="26" l="1"/>
  <c r="G167" i="26" s="1"/>
  <c r="K196" i="26"/>
  <c r="C24" i="26"/>
  <c r="H24" i="26"/>
  <c r="G24" i="26"/>
  <c r="I24" i="26"/>
  <c r="F55" i="27"/>
  <c r="E220" i="26" s="1"/>
  <c r="I220" i="26" s="1"/>
  <c r="C225" i="26"/>
  <c r="J239" i="26" s="1"/>
  <c r="C202" i="16"/>
  <c r="C182" i="16" s="1"/>
  <c r="E173" i="6"/>
  <c r="S244" i="19"/>
  <c r="S241" i="19"/>
  <c r="S242" i="19" s="1"/>
  <c r="O217" i="15"/>
  <c r="F21" i="15"/>
  <c r="E211" i="6" s="1"/>
  <c r="R234" i="15"/>
  <c r="Q229" i="15"/>
  <c r="Q214" i="15"/>
  <c r="P219" i="15"/>
  <c r="P222" i="15" s="1"/>
  <c r="P223" i="15" s="1"/>
  <c r="P221" i="15" s="1"/>
  <c r="P220" i="15" s="1"/>
  <c r="N218" i="15"/>
  <c r="N215" i="15"/>
  <c r="N216" i="15" s="1"/>
  <c r="O225" i="15"/>
  <c r="O226" i="15" s="1"/>
  <c r="O228" i="15"/>
  <c r="P232" i="15"/>
  <c r="P233" i="15" s="1"/>
  <c r="P231" i="15" s="1"/>
  <c r="P230" i="15" s="1"/>
  <c r="P227" i="15"/>
  <c r="T235" i="27"/>
  <c r="S240" i="27"/>
  <c r="S238" i="27" s="1"/>
  <c r="S239" i="27" s="1"/>
  <c r="T250" i="27"/>
  <c r="R249" i="27"/>
  <c r="R246" i="27"/>
  <c r="R247" i="27" s="1"/>
  <c r="R243" i="27"/>
  <c r="R244" i="27" s="1"/>
  <c r="R242" i="27" s="1"/>
  <c r="R241" i="27" s="1"/>
  <c r="S253" i="27"/>
  <c r="S254" i="27" s="1"/>
  <c r="S252" i="27" s="1"/>
  <c r="S251" i="27" s="1"/>
  <c r="Q229" i="27"/>
  <c r="Q226" i="27"/>
  <c r="Q227" i="27" s="1"/>
  <c r="Q239" i="27"/>
  <c r="Q236" i="27"/>
  <c r="Q237" i="27" s="1"/>
  <c r="T220" i="27"/>
  <c r="T230" i="27"/>
  <c r="S223" i="27"/>
  <c r="S224" i="27" s="1"/>
  <c r="S222" i="27" s="1"/>
  <c r="S221" i="27" s="1"/>
  <c r="S218" i="27"/>
  <c r="R233" i="27"/>
  <c r="R234" i="27" s="1"/>
  <c r="R232" i="27" s="1"/>
  <c r="R231" i="27" s="1"/>
  <c r="R228" i="27"/>
  <c r="R219" i="27"/>
  <c r="R216" i="27"/>
  <c r="R217" i="27" s="1"/>
  <c r="R238" i="27"/>
  <c r="S248" i="27"/>
  <c r="S230" i="27"/>
  <c r="T183" i="23"/>
  <c r="T180" i="23"/>
  <c r="T181" i="23" s="1"/>
  <c r="V204" i="23"/>
  <c r="U197" i="23"/>
  <c r="U198" i="23" s="1"/>
  <c r="U196" i="23" s="1"/>
  <c r="U195" i="23" s="1"/>
  <c r="U192" i="23"/>
  <c r="U207" i="23"/>
  <c r="U208" i="23" s="1"/>
  <c r="U206" i="23" s="1"/>
  <c r="U205" i="23" s="1"/>
  <c r="V179" i="23"/>
  <c r="U174" i="23"/>
  <c r="U184" i="23"/>
  <c r="U182" i="23" s="1"/>
  <c r="U183" i="23" s="1"/>
  <c r="V194" i="23"/>
  <c r="T187" i="23"/>
  <c r="T188" i="23" s="1"/>
  <c r="T186" i="23" s="1"/>
  <c r="T185" i="23" s="1"/>
  <c r="S170" i="23"/>
  <c r="S171" i="23" s="1"/>
  <c r="S173" i="23"/>
  <c r="T177" i="23"/>
  <c r="T178" i="23" s="1"/>
  <c r="T176" i="23" s="1"/>
  <c r="T175" i="23" s="1"/>
  <c r="T172" i="23"/>
  <c r="T193" i="23"/>
  <c r="T190" i="23"/>
  <c r="T191" i="23" s="1"/>
  <c r="U200" i="23"/>
  <c r="U201" i="23" s="1"/>
  <c r="C22" i="6"/>
  <c r="U254" i="19"/>
  <c r="U251" i="19"/>
  <c r="U252" i="19" s="1"/>
  <c r="T258" i="19"/>
  <c r="T259" i="19" s="1"/>
  <c r="T257" i="19" s="1"/>
  <c r="T256" i="19" s="1"/>
  <c r="T253" i="19"/>
  <c r="S233" i="19"/>
  <c r="S238" i="19"/>
  <c r="S239" i="19" s="1"/>
  <c r="S237" i="19" s="1"/>
  <c r="S236" i="19" s="1"/>
  <c r="S248" i="19"/>
  <c r="S249" i="19" s="1"/>
  <c r="S247" i="19" s="1"/>
  <c r="S246" i="19" s="1"/>
  <c r="S264" i="19"/>
  <c r="S261" i="19"/>
  <c r="S262" i="19" s="1"/>
  <c r="V260" i="19"/>
  <c r="V255" i="19" s="1"/>
  <c r="V253" i="19" s="1"/>
  <c r="U265" i="19"/>
  <c r="T268" i="19"/>
  <c r="T269" i="19" s="1"/>
  <c r="T267" i="19" s="1"/>
  <c r="T266" i="19" s="1"/>
  <c r="U240" i="19"/>
  <c r="T235" i="19"/>
  <c r="T245" i="19"/>
  <c r="T243" i="19" s="1"/>
  <c r="U258" i="19"/>
  <c r="U259" i="19" s="1"/>
  <c r="U257" i="19" s="1"/>
  <c r="U256" i="19" s="1"/>
  <c r="R234" i="19"/>
  <c r="R231" i="19"/>
  <c r="R232" i="19" s="1"/>
  <c r="T263" i="19"/>
  <c r="H187" i="6"/>
  <c r="C188" i="6" s="1"/>
  <c r="C23" i="6"/>
  <c r="G22" i="6"/>
  <c r="H22" i="6"/>
  <c r="I22" i="6"/>
  <c r="O235" i="17"/>
  <c r="O232" i="17"/>
  <c r="O233" i="17" s="1"/>
  <c r="S221" i="17"/>
  <c r="S216" i="17" s="1"/>
  <c r="P232" i="17"/>
  <c r="P233" i="17" s="1"/>
  <c r="Q229" i="17"/>
  <c r="Q230" i="17" s="1"/>
  <c r="Q228" i="17" s="1"/>
  <c r="Q227" i="17" s="1"/>
  <c r="T211" i="17"/>
  <c r="S206" i="17"/>
  <c r="R231" i="17"/>
  <c r="R226" i="17" s="1"/>
  <c r="Q236" i="17"/>
  <c r="Q202" i="17"/>
  <c r="Q203" i="17" s="1"/>
  <c r="Q205" i="17"/>
  <c r="R204" i="17"/>
  <c r="R209" i="17"/>
  <c r="R210" i="17" s="1"/>
  <c r="R208" i="17" s="1"/>
  <c r="R207" i="17" s="1"/>
  <c r="P239" i="17"/>
  <c r="P240" i="17" s="1"/>
  <c r="P238" i="17" s="1"/>
  <c r="P237" i="17" s="1"/>
  <c r="O225" i="17"/>
  <c r="O222" i="17"/>
  <c r="O223" i="17" s="1"/>
  <c r="P215" i="17"/>
  <c r="P212" i="17"/>
  <c r="P213" i="17" s="1"/>
  <c r="P225" i="17"/>
  <c r="P222" i="17"/>
  <c r="P223" i="17" s="1"/>
  <c r="Q224" i="17"/>
  <c r="R216" i="17"/>
  <c r="E137" i="6"/>
  <c r="K189" i="6" s="1"/>
  <c r="C170" i="26" l="1"/>
  <c r="C150" i="26" s="1"/>
  <c r="C169" i="26"/>
  <c r="C149" i="26" s="1"/>
  <c r="E150" i="15"/>
  <c r="E171" i="27"/>
  <c r="J234" i="6"/>
  <c r="V254" i="19"/>
  <c r="V251" i="19"/>
  <c r="V252" i="19" s="1"/>
  <c r="O218" i="15"/>
  <c r="O215" i="15"/>
  <c r="O216" i="15" s="1"/>
  <c r="U180" i="23"/>
  <c r="U181" i="23" s="1"/>
  <c r="Q227" i="15"/>
  <c r="Q232" i="15"/>
  <c r="Q233" i="15" s="1"/>
  <c r="Q231" i="15" s="1"/>
  <c r="Q230" i="15" s="1"/>
  <c r="P228" i="15"/>
  <c r="P225" i="15"/>
  <c r="P226" i="15" s="1"/>
  <c r="R214" i="15"/>
  <c r="Q219" i="15"/>
  <c r="Q222" i="15" s="1"/>
  <c r="Q223" i="15" s="1"/>
  <c r="Q221" i="15" s="1"/>
  <c r="Q220" i="15" s="1"/>
  <c r="S234" i="15"/>
  <c r="R229" i="15"/>
  <c r="P217" i="15"/>
  <c r="T223" i="27"/>
  <c r="T224" i="27" s="1"/>
  <c r="T222" i="27" s="1"/>
  <c r="T221" i="27" s="1"/>
  <c r="T218" i="27"/>
  <c r="T253" i="27"/>
  <c r="T254" i="27" s="1"/>
  <c r="T252" i="27" s="1"/>
  <c r="T251" i="27" s="1"/>
  <c r="R239" i="27"/>
  <c r="R236" i="27"/>
  <c r="R237" i="27" s="1"/>
  <c r="S216" i="27"/>
  <c r="S217" i="27" s="1"/>
  <c r="S219" i="27"/>
  <c r="T233" i="27"/>
  <c r="T234" i="27" s="1"/>
  <c r="T232" i="27" s="1"/>
  <c r="T231" i="27" s="1"/>
  <c r="T240" i="27"/>
  <c r="T238" i="27" s="1"/>
  <c r="S249" i="27"/>
  <c r="S246" i="27"/>
  <c r="S247" i="27" s="1"/>
  <c r="R229" i="27"/>
  <c r="R226" i="27"/>
  <c r="R227" i="27" s="1"/>
  <c r="S243" i="27"/>
  <c r="S244" i="27" s="1"/>
  <c r="S242" i="27" s="1"/>
  <c r="S241" i="27" s="1"/>
  <c r="S233" i="27"/>
  <c r="S234" i="27" s="1"/>
  <c r="S232" i="27" s="1"/>
  <c r="S231" i="27" s="1"/>
  <c r="S228" i="27"/>
  <c r="T248" i="27"/>
  <c r="T228" i="27"/>
  <c r="S236" i="27"/>
  <c r="S237" i="27" s="1"/>
  <c r="U193" i="23"/>
  <c r="U190" i="23"/>
  <c r="U191" i="23" s="1"/>
  <c r="V207" i="23"/>
  <c r="V208" i="23" s="1"/>
  <c r="V206" i="23" s="1"/>
  <c r="V205" i="23" s="1"/>
  <c r="T173" i="23"/>
  <c r="T170" i="23"/>
  <c r="T171" i="23" s="1"/>
  <c r="V197" i="23"/>
  <c r="V198" i="23" s="1"/>
  <c r="V196" i="23" s="1"/>
  <c r="V195" i="23" s="1"/>
  <c r="V192" i="23"/>
  <c r="V184" i="23"/>
  <c r="V182" i="23" s="1"/>
  <c r="V174" i="23"/>
  <c r="U172" i="23"/>
  <c r="U177" i="23"/>
  <c r="U178" i="23" s="1"/>
  <c r="U176" i="23" s="1"/>
  <c r="U175" i="23" s="1"/>
  <c r="U187" i="23"/>
  <c r="U188" i="23" s="1"/>
  <c r="U186" i="23" s="1"/>
  <c r="U185" i="23" s="1"/>
  <c r="V202" i="23"/>
  <c r="T244" i="19"/>
  <c r="T241" i="19"/>
  <c r="T242" i="19" s="1"/>
  <c r="U268" i="19"/>
  <c r="U269" i="19" s="1"/>
  <c r="U267" i="19" s="1"/>
  <c r="U266" i="19" s="1"/>
  <c r="S231" i="19"/>
  <c r="S232" i="19" s="1"/>
  <c r="S234" i="19"/>
  <c r="T238" i="19"/>
  <c r="T239" i="19" s="1"/>
  <c r="T237" i="19" s="1"/>
  <c r="T236" i="19" s="1"/>
  <c r="T233" i="19"/>
  <c r="T248" i="19"/>
  <c r="T249" i="19" s="1"/>
  <c r="T247" i="19" s="1"/>
  <c r="T246" i="19" s="1"/>
  <c r="T254" i="19"/>
  <c r="T251" i="19"/>
  <c r="T252" i="19" s="1"/>
  <c r="V240" i="19"/>
  <c r="U235" i="19"/>
  <c r="U245" i="19"/>
  <c r="U243" i="19" s="1"/>
  <c r="T264" i="19"/>
  <c r="T261" i="19"/>
  <c r="T262" i="19" s="1"/>
  <c r="V258" i="19"/>
  <c r="V259" i="19" s="1"/>
  <c r="V257" i="19" s="1"/>
  <c r="V256" i="19" s="1"/>
  <c r="V265" i="19"/>
  <c r="V263" i="19" s="1"/>
  <c r="V264" i="19" s="1"/>
  <c r="U263" i="19"/>
  <c r="R229" i="17"/>
  <c r="R230" i="17" s="1"/>
  <c r="R228" i="17" s="1"/>
  <c r="R227" i="17" s="1"/>
  <c r="R224" i="17"/>
  <c r="R219" i="17"/>
  <c r="R220" i="17" s="1"/>
  <c r="R218" i="17" s="1"/>
  <c r="R217" i="17" s="1"/>
  <c r="R214" i="17"/>
  <c r="Q239" i="17"/>
  <c r="Q240" i="17" s="1"/>
  <c r="Q238" i="17" s="1"/>
  <c r="Q237" i="17" s="1"/>
  <c r="S219" i="17"/>
  <c r="S220" i="17" s="1"/>
  <c r="S218" i="17" s="1"/>
  <c r="S217" i="17" s="1"/>
  <c r="Q225" i="17"/>
  <c r="Q222" i="17"/>
  <c r="Q223" i="17" s="1"/>
  <c r="S204" i="17"/>
  <c r="S209" i="17"/>
  <c r="S210" i="17" s="1"/>
  <c r="S208" i="17" s="1"/>
  <c r="S207" i="17" s="1"/>
  <c r="Q234" i="17"/>
  <c r="S214" i="17"/>
  <c r="R202" i="17"/>
  <c r="R203" i="17" s="1"/>
  <c r="R205" i="17"/>
  <c r="R236" i="17"/>
  <c r="S231" i="17"/>
  <c r="T206" i="17"/>
  <c r="T221" i="17"/>
  <c r="T216" i="17" s="1"/>
  <c r="T214" i="17" s="1"/>
  <c r="E157" i="6"/>
  <c r="G160" i="6" s="1"/>
  <c r="C162" i="6" s="1"/>
  <c r="J242" i="6" l="1"/>
  <c r="C242" i="6"/>
  <c r="C275" i="26"/>
  <c r="J275" i="26"/>
  <c r="T239" i="27"/>
  <c r="T236" i="27"/>
  <c r="T237" i="27" s="1"/>
  <c r="T215" i="17"/>
  <c r="T212" i="17"/>
  <c r="T213" i="17" s="1"/>
  <c r="C218" i="6"/>
  <c r="J232" i="6" s="1"/>
  <c r="P215" i="15"/>
  <c r="P216" i="15" s="1"/>
  <c r="P218" i="15"/>
  <c r="Q217" i="15"/>
  <c r="T234" i="15"/>
  <c r="T229" i="15" s="1"/>
  <c r="S229" i="15"/>
  <c r="Q228" i="15"/>
  <c r="Q225" i="15"/>
  <c r="Q226" i="15" s="1"/>
  <c r="R232" i="15"/>
  <c r="R233" i="15" s="1"/>
  <c r="R231" i="15" s="1"/>
  <c r="R230" i="15" s="1"/>
  <c r="R227" i="15"/>
  <c r="S214" i="15"/>
  <c r="R219" i="15"/>
  <c r="R222" i="15" s="1"/>
  <c r="R223" i="15" s="1"/>
  <c r="R221" i="15" s="1"/>
  <c r="R220" i="15" s="1"/>
  <c r="T249" i="27"/>
  <c r="T246" i="27"/>
  <c r="T247" i="27" s="1"/>
  <c r="T229" i="27"/>
  <c r="T226" i="27"/>
  <c r="T227" i="27" s="1"/>
  <c r="S229" i="27"/>
  <c r="S226" i="27"/>
  <c r="S227" i="27" s="1"/>
  <c r="T243" i="27"/>
  <c r="T244" i="27" s="1"/>
  <c r="T242" i="27" s="1"/>
  <c r="T241" i="27" s="1"/>
  <c r="T216" i="27"/>
  <c r="T217" i="27" s="1"/>
  <c r="T219" i="27"/>
  <c r="V183" i="23"/>
  <c r="V180" i="23"/>
  <c r="V181" i="23" s="1"/>
  <c r="U170" i="23"/>
  <c r="U171" i="23" s="1"/>
  <c r="U173" i="23"/>
  <c r="V203" i="23"/>
  <c r="V200" i="23"/>
  <c r="V201" i="23" s="1"/>
  <c r="V177" i="23"/>
  <c r="V178" i="23" s="1"/>
  <c r="V176" i="23" s="1"/>
  <c r="V175" i="23" s="1"/>
  <c r="V172" i="23"/>
  <c r="V193" i="23"/>
  <c r="V190" i="23"/>
  <c r="V191" i="23" s="1"/>
  <c r="V187" i="23"/>
  <c r="V188" i="23" s="1"/>
  <c r="V186" i="23" s="1"/>
  <c r="V185" i="23" s="1"/>
  <c r="U244" i="19"/>
  <c r="U241" i="19"/>
  <c r="U242" i="19" s="1"/>
  <c r="V245" i="19"/>
  <c r="V235" i="19"/>
  <c r="U233" i="19"/>
  <c r="U238" i="19"/>
  <c r="U239" i="19" s="1"/>
  <c r="U237" i="19" s="1"/>
  <c r="U236" i="19" s="1"/>
  <c r="V261" i="19"/>
  <c r="V262" i="19" s="1"/>
  <c r="U264" i="19"/>
  <c r="U261" i="19"/>
  <c r="U262" i="19" s="1"/>
  <c r="T234" i="19"/>
  <c r="T231" i="19"/>
  <c r="T232" i="19" s="1"/>
  <c r="V268" i="19"/>
  <c r="V269" i="19" s="1"/>
  <c r="V267" i="19" s="1"/>
  <c r="V266" i="19" s="1"/>
  <c r="U248" i="19"/>
  <c r="U249" i="19" s="1"/>
  <c r="U247" i="19" s="1"/>
  <c r="U246" i="19" s="1"/>
  <c r="T231" i="17"/>
  <c r="S236" i="17"/>
  <c r="S234" i="17" s="1"/>
  <c r="S235" i="17" s="1"/>
  <c r="T219" i="17"/>
  <c r="T220" i="17" s="1"/>
  <c r="T218" i="17" s="1"/>
  <c r="T217" i="17" s="1"/>
  <c r="R239" i="17"/>
  <c r="R240" i="17" s="1"/>
  <c r="R238" i="17" s="1"/>
  <c r="R237" i="17" s="1"/>
  <c r="Q235" i="17"/>
  <c r="Q232" i="17"/>
  <c r="Q233" i="17" s="1"/>
  <c r="S226" i="17"/>
  <c r="S215" i="17"/>
  <c r="S212" i="17"/>
  <c r="S213" i="17" s="1"/>
  <c r="S205" i="17"/>
  <c r="S202" i="17"/>
  <c r="S203" i="17" s="1"/>
  <c r="T209" i="17"/>
  <c r="T210" i="17" s="1"/>
  <c r="T208" i="17" s="1"/>
  <c r="T207" i="17" s="1"/>
  <c r="T204" i="17"/>
  <c r="R215" i="17"/>
  <c r="R212" i="17"/>
  <c r="R213" i="17" s="1"/>
  <c r="R225" i="17"/>
  <c r="R222" i="17"/>
  <c r="R223" i="17" s="1"/>
  <c r="R234" i="17"/>
  <c r="C163" i="6"/>
  <c r="C143" i="6" s="1"/>
  <c r="C142" i="6"/>
  <c r="R217" i="15" l="1"/>
  <c r="F32" i="15"/>
  <c r="T214" i="15"/>
  <c r="S219" i="15"/>
  <c r="S222" i="15" s="1"/>
  <c r="S223" i="15" s="1"/>
  <c r="S221" i="15" s="1"/>
  <c r="S220" i="15" s="1"/>
  <c r="R215" i="15"/>
  <c r="R216" i="15" s="1"/>
  <c r="R218" i="15"/>
  <c r="Q215" i="15"/>
  <c r="Q216" i="15" s="1"/>
  <c r="Q218" i="15"/>
  <c r="T232" i="15"/>
  <c r="T233" i="15" s="1"/>
  <c r="T231" i="15" s="1"/>
  <c r="T230" i="15" s="1"/>
  <c r="T227" i="15"/>
  <c r="R225" i="15"/>
  <c r="R226" i="15" s="1"/>
  <c r="R228" i="15"/>
  <c r="S232" i="15"/>
  <c r="S233" i="15" s="1"/>
  <c r="S231" i="15" s="1"/>
  <c r="S230" i="15" s="1"/>
  <c r="S227" i="15"/>
  <c r="V173" i="23"/>
  <c r="V170" i="23"/>
  <c r="V171" i="23" s="1"/>
  <c r="V248" i="19"/>
  <c r="V249" i="19" s="1"/>
  <c r="V247" i="19" s="1"/>
  <c r="V246" i="19" s="1"/>
  <c r="U231" i="19"/>
  <c r="U232" i="19" s="1"/>
  <c r="U234" i="19"/>
  <c r="V243" i="19"/>
  <c r="V238" i="19"/>
  <c r="V239" i="19" s="1"/>
  <c r="V237" i="19" s="1"/>
  <c r="V236" i="19" s="1"/>
  <c r="V233" i="19"/>
  <c r="T205" i="17"/>
  <c r="T202" i="17"/>
  <c r="T203" i="17" s="1"/>
  <c r="R235" i="17"/>
  <c r="R232" i="17"/>
  <c r="R233" i="17" s="1"/>
  <c r="S229" i="17"/>
  <c r="S230" i="17" s="1"/>
  <c r="S228" i="17" s="1"/>
  <c r="S227" i="17" s="1"/>
  <c r="S224" i="17"/>
  <c r="S232" i="17"/>
  <c r="S233" i="17" s="1"/>
  <c r="T236" i="17"/>
  <c r="T234" i="17" s="1"/>
  <c r="T235" i="17" s="1"/>
  <c r="S239" i="17"/>
  <c r="S240" i="17" s="1"/>
  <c r="S238" i="17" s="1"/>
  <c r="S237" i="17" s="1"/>
  <c r="T226" i="17"/>
  <c r="L204" i="15"/>
  <c r="E213" i="6" l="1"/>
  <c r="I213" i="6" s="1"/>
  <c r="T219" i="15"/>
  <c r="T222" i="15" s="1"/>
  <c r="T223" i="15" s="1"/>
  <c r="T221" i="15" s="1"/>
  <c r="T220" i="15" s="1"/>
  <c r="S225" i="15"/>
  <c r="S226" i="15" s="1"/>
  <c r="S228" i="15"/>
  <c r="T225" i="15"/>
  <c r="T226" i="15" s="1"/>
  <c r="T228" i="15"/>
  <c r="S217" i="15"/>
  <c r="M204" i="15"/>
  <c r="L199" i="15"/>
  <c r="L209" i="15"/>
  <c r="L207" i="15" s="1"/>
  <c r="L208" i="15" s="1"/>
  <c r="V234" i="19"/>
  <c r="V231" i="19"/>
  <c r="V232" i="19" s="1"/>
  <c r="V244" i="19"/>
  <c r="V241" i="19"/>
  <c r="V242" i="19" s="1"/>
  <c r="T239" i="17"/>
  <c r="T240" i="17" s="1"/>
  <c r="T238" i="17" s="1"/>
  <c r="T237" i="17" s="1"/>
  <c r="T229" i="17"/>
  <c r="T230" i="17" s="1"/>
  <c r="T228" i="17" s="1"/>
  <c r="T227" i="17" s="1"/>
  <c r="T224" i="17"/>
  <c r="S225" i="17"/>
  <c r="S222" i="17"/>
  <c r="S223" i="17" s="1"/>
  <c r="T232" i="17"/>
  <c r="T233" i="17" s="1"/>
  <c r="L205" i="15" l="1"/>
  <c r="L206" i="15" s="1"/>
  <c r="L212" i="15"/>
  <c r="L213" i="15" s="1"/>
  <c r="L211" i="15" s="1"/>
  <c r="L210" i="15" s="1"/>
  <c r="T217" i="15"/>
  <c r="N204" i="15"/>
  <c r="M209" i="15"/>
  <c r="M212" i="15" s="1"/>
  <c r="M213" i="15" s="1"/>
  <c r="M211" i="15" s="1"/>
  <c r="M210" i="15" s="1"/>
  <c r="M199" i="15"/>
  <c r="L202" i="15"/>
  <c r="L203" i="15" s="1"/>
  <c r="L201" i="15" s="1"/>
  <c r="L200" i="15" s="1"/>
  <c r="L197" i="15"/>
  <c r="S218" i="15"/>
  <c r="S215" i="15"/>
  <c r="S216" i="15" s="1"/>
  <c r="T225" i="17"/>
  <c r="T222" i="17"/>
  <c r="T223" i="17" s="1"/>
  <c r="L195" i="15" l="1"/>
  <c r="L196" i="15" s="1"/>
  <c r="L198" i="15"/>
  <c r="M197" i="15"/>
  <c r="M202" i="15"/>
  <c r="M203" i="15" s="1"/>
  <c r="M201" i="15" s="1"/>
  <c r="M200" i="15" s="1"/>
  <c r="T218" i="15"/>
  <c r="T215" i="15"/>
  <c r="T216" i="15" s="1"/>
  <c r="M207" i="15"/>
  <c r="O204" i="15"/>
  <c r="N199" i="15"/>
  <c r="N209" i="15"/>
  <c r="N212" i="15" s="1"/>
  <c r="N213" i="15" s="1"/>
  <c r="N211" i="15" s="1"/>
  <c r="N210" i="15" s="1"/>
  <c r="N207" i="15" l="1"/>
  <c r="N205" i="15" s="1"/>
  <c r="N206" i="15" s="1"/>
  <c r="M205" i="15"/>
  <c r="M206" i="15" s="1"/>
  <c r="M208" i="15"/>
  <c r="M195" i="15"/>
  <c r="M196" i="15" s="1"/>
  <c r="M198" i="15"/>
  <c r="N202" i="15"/>
  <c r="N203" i="15" s="1"/>
  <c r="N201" i="15" s="1"/>
  <c r="N200" i="15" s="1"/>
  <c r="N197" i="15"/>
  <c r="P204" i="15"/>
  <c r="O199" i="15"/>
  <c r="O209" i="15"/>
  <c r="O212" i="15" s="1"/>
  <c r="O213" i="15" s="1"/>
  <c r="O211" i="15" s="1"/>
  <c r="O210" i="15" s="1"/>
  <c r="N208" i="15" l="1"/>
  <c r="O197" i="15"/>
  <c r="O202" i="15"/>
  <c r="O203" i="15" s="1"/>
  <c r="O201" i="15" s="1"/>
  <c r="O200" i="15" s="1"/>
  <c r="Q204" i="15"/>
  <c r="P209" i="15"/>
  <c r="P212" i="15" s="1"/>
  <c r="P213" i="15" s="1"/>
  <c r="P211" i="15" s="1"/>
  <c r="P210" i="15" s="1"/>
  <c r="P199" i="15"/>
  <c r="N198" i="15"/>
  <c r="N195" i="15"/>
  <c r="N196" i="15" s="1"/>
  <c r="O207" i="15"/>
  <c r="P207" i="15" l="1"/>
  <c r="P208" i="15" s="1"/>
  <c r="O195" i="15"/>
  <c r="O196" i="15" s="1"/>
  <c r="O198" i="15"/>
  <c r="R204" i="15"/>
  <c r="Q199" i="15"/>
  <c r="Q209" i="15"/>
  <c r="Q212" i="15" s="1"/>
  <c r="Q213" i="15" s="1"/>
  <c r="Q211" i="15" s="1"/>
  <c r="Q210" i="15" s="1"/>
  <c r="P202" i="15"/>
  <c r="P203" i="15" s="1"/>
  <c r="P201" i="15" s="1"/>
  <c r="P200" i="15" s="1"/>
  <c r="P197" i="15"/>
  <c r="O208" i="15"/>
  <c r="O205" i="15"/>
  <c r="O206" i="15" s="1"/>
  <c r="P205" i="15" l="1"/>
  <c r="P206" i="15" s="1"/>
  <c r="S204" i="15"/>
  <c r="R209" i="15"/>
  <c r="R212" i="15" s="1"/>
  <c r="R213" i="15" s="1"/>
  <c r="R211" i="15" s="1"/>
  <c r="R210" i="15" s="1"/>
  <c r="R199" i="15"/>
  <c r="Q207" i="15"/>
  <c r="P195" i="15"/>
  <c r="P196" i="15" s="1"/>
  <c r="P198" i="15"/>
  <c r="Q197" i="15"/>
  <c r="Q202" i="15"/>
  <c r="Q203" i="15" s="1"/>
  <c r="Q201" i="15" s="1"/>
  <c r="Q200" i="15" s="1"/>
  <c r="Q195" i="15" l="1"/>
  <c r="Q196" i="15" s="1"/>
  <c r="Q198" i="15"/>
  <c r="T204" i="15"/>
  <c r="S209" i="15"/>
  <c r="S207" i="15" s="1"/>
  <c r="S208" i="15" s="1"/>
  <c r="S199" i="15"/>
  <c r="Q205" i="15"/>
  <c r="Q206" i="15" s="1"/>
  <c r="Q208" i="15"/>
  <c r="R197" i="15"/>
  <c r="R202" i="15"/>
  <c r="R203" i="15" s="1"/>
  <c r="R201" i="15" s="1"/>
  <c r="R200" i="15" s="1"/>
  <c r="R207" i="15"/>
  <c r="R195" i="15" l="1"/>
  <c r="R196" i="15" s="1"/>
  <c r="R198" i="15"/>
  <c r="S197" i="15"/>
  <c r="S202" i="15"/>
  <c r="S203" i="15" s="1"/>
  <c r="S201" i="15" s="1"/>
  <c r="S200" i="15" s="1"/>
  <c r="T199" i="15"/>
  <c r="T209" i="15"/>
  <c r="T212" i="15" s="1"/>
  <c r="T213" i="15" s="1"/>
  <c r="T211" i="15" s="1"/>
  <c r="T210" i="15" s="1"/>
  <c r="R208" i="15"/>
  <c r="R205" i="15"/>
  <c r="R206" i="15" s="1"/>
  <c r="S212" i="15"/>
  <c r="S213" i="15" s="1"/>
  <c r="S211" i="15" s="1"/>
  <c r="S210" i="15" s="1"/>
  <c r="S205" i="15"/>
  <c r="S206" i="15" s="1"/>
  <c r="T207" i="15" l="1"/>
  <c r="T205" i="15" s="1"/>
  <c r="T206" i="15" s="1"/>
  <c r="S195" i="15"/>
  <c r="S196" i="15" s="1"/>
  <c r="S198" i="15"/>
  <c r="T197" i="15"/>
  <c r="T202" i="15"/>
  <c r="T203" i="15" s="1"/>
  <c r="T201" i="15" s="1"/>
  <c r="T200" i="15" s="1"/>
  <c r="T208" i="15"/>
  <c r="T198" i="15" l="1"/>
  <c r="T195" i="15"/>
  <c r="T196"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gonyszczuk</author>
  </authors>
  <commentList>
    <comment ref="E140" authorId="0" shapeId="0" xr:uid="{00000000-0006-0000-0100-000001000000}">
      <text>
        <r>
          <rPr>
            <b/>
            <sz val="9"/>
            <color indexed="81"/>
            <rFont val="Calibri"/>
            <family val="2"/>
            <charset val="238"/>
            <scheme val="minor"/>
          </rPr>
          <t>Wybierz wielkość naczynia wzbiorczego na podstawie obliczonej powyżej wartości minimalnej Vexp,min</t>
        </r>
      </text>
    </comment>
    <comment ref="H187" authorId="0" shapeId="0" xr:uid="{00000000-0006-0000-0100-000002000000}">
      <text>
        <r>
          <rPr>
            <b/>
            <sz val="9"/>
            <color indexed="81"/>
            <rFont val="Calibri"/>
            <family val="2"/>
            <charset val="238"/>
            <scheme val="minor"/>
          </rPr>
          <t>Gdy stopień napełnienia naczynia jest mniejszy niż 25%,
to rozwiązanie takie jest mało efektywne!</t>
        </r>
        <r>
          <rPr>
            <sz val="9"/>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gonyszczuk</author>
  </authors>
  <commentList>
    <comment ref="E179" authorId="0" shapeId="0" xr:uid="{00000000-0006-0000-0200-000001000000}">
      <text>
        <r>
          <rPr>
            <b/>
            <sz val="9"/>
            <color indexed="81"/>
            <rFont val="Calibri"/>
            <family val="2"/>
            <charset val="238"/>
            <scheme val="minor"/>
          </rPr>
          <t>Wybierz wielkość naczynia wzbiorczego na podstawie obliczonej powyżej wartości minimalnej VnR</t>
        </r>
        <r>
          <rPr>
            <sz val="9"/>
            <color indexed="81"/>
            <rFont val="Tahoma"/>
            <family val="2"/>
            <charset val="238"/>
          </rPr>
          <t xml:space="preserve">
</t>
        </r>
      </text>
    </comment>
    <comment ref="H226" authorId="0" shapeId="0" xr:uid="{00000000-0006-0000-0200-000002000000}">
      <text>
        <r>
          <rPr>
            <b/>
            <sz val="9"/>
            <color indexed="81"/>
            <rFont val="Calibri"/>
            <family val="2"/>
            <charset val="238"/>
            <scheme val="minor"/>
          </rPr>
          <t>Gdy stopień napełnienia naczynia jest mniejszy niż 15%,
to rozwiązanie takie jest mało efektywne!</t>
        </r>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gonyszczuk</author>
  </authors>
  <commentList>
    <comment ref="E133" authorId="0" shapeId="0" xr:uid="{00000000-0006-0000-0300-000001000000}">
      <text>
        <r>
          <rPr>
            <b/>
            <sz val="9"/>
            <color indexed="81"/>
            <rFont val="Calibri"/>
            <family val="2"/>
            <charset val="238"/>
            <scheme val="minor"/>
          </rPr>
          <t>Wybierz wielkość naczynia wzbiorczego na podstawie obliczonej powyżej wartości minimalnej Vexp,min</t>
        </r>
        <r>
          <rPr>
            <sz val="9"/>
            <color indexed="81"/>
            <rFont val="Tahoma"/>
            <family val="2"/>
            <charset val="238"/>
          </rPr>
          <t xml:space="preserve">
</t>
        </r>
      </text>
    </comment>
    <comment ref="J142" authorId="0" shapeId="0" xr:uid="{00000000-0006-0000-0300-000002000000}">
      <text>
        <r>
          <rPr>
            <b/>
            <sz val="9"/>
            <color indexed="81"/>
            <rFont val="Calibri"/>
            <family val="2"/>
            <charset val="238"/>
            <scheme val="minor"/>
          </rPr>
          <t xml:space="preserve">W przypadku wyboru naczynia dodatkowego, jego pojemność </t>
        </r>
        <r>
          <rPr>
            <b/>
            <u/>
            <sz val="9"/>
            <color indexed="10"/>
            <rFont val="Calibri"/>
            <family val="2"/>
            <charset val="238"/>
            <scheme val="minor"/>
          </rPr>
          <t>musi być identyczna</t>
        </r>
        <r>
          <rPr>
            <b/>
            <sz val="9"/>
            <color indexed="10"/>
            <rFont val="Calibri"/>
            <family val="2"/>
            <charset val="238"/>
            <scheme val="minor"/>
          </rPr>
          <t xml:space="preserve"> </t>
        </r>
        <r>
          <rPr>
            <b/>
            <sz val="9"/>
            <color indexed="81"/>
            <rFont val="Calibri"/>
            <family val="2"/>
            <charset val="238"/>
            <scheme val="minor"/>
          </rPr>
          <t>jak naczynia podstawowego!!!</t>
        </r>
      </text>
    </comment>
    <comment ref="G244" authorId="0" shapeId="0" xr:uid="{00000000-0006-0000-0300-000003000000}">
      <text>
        <r>
          <rPr>
            <b/>
            <sz val="9"/>
            <color indexed="81"/>
            <rFont val="Calibri"/>
            <family val="2"/>
            <charset val="238"/>
            <scheme val="minor"/>
          </rPr>
          <t xml:space="preserve">Wybierz model urządzenia Compresso tak, aby spełniony był warunek PS≥PSmin lub PSmin w zakresie DPp  </t>
        </r>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gonyszczuk</author>
  </authors>
  <commentList>
    <comment ref="E129" authorId="0" shapeId="0" xr:uid="{00000000-0006-0000-0400-000001000000}">
      <text>
        <r>
          <rPr>
            <b/>
            <sz val="9"/>
            <color indexed="81"/>
            <rFont val="Calibri"/>
            <family val="2"/>
            <charset val="238"/>
            <scheme val="minor"/>
          </rPr>
          <t>Wybierz wielkość naczynia wzbiorczego na podstawie obliczonej powyżej wartości minimalnej Vexp,min</t>
        </r>
        <r>
          <rPr>
            <sz val="9"/>
            <color indexed="81"/>
            <rFont val="Tahoma"/>
            <family val="2"/>
            <charset val="238"/>
          </rPr>
          <t xml:space="preserve">
</t>
        </r>
      </text>
    </comment>
    <comment ref="J136" authorId="0" shapeId="0" xr:uid="{00000000-0006-0000-0400-000002000000}">
      <text>
        <r>
          <rPr>
            <b/>
            <sz val="9"/>
            <color indexed="81"/>
            <rFont val="Calibri"/>
            <family val="2"/>
            <charset val="238"/>
            <scheme val="minor"/>
          </rPr>
          <t xml:space="preserve">W przypadku wyboru naczynia dodatkowego, jego pojemność </t>
        </r>
        <r>
          <rPr>
            <b/>
            <u/>
            <sz val="9"/>
            <color indexed="10"/>
            <rFont val="Calibri"/>
            <family val="2"/>
            <charset val="238"/>
            <scheme val="minor"/>
          </rPr>
          <t>musi być identyczna</t>
        </r>
        <r>
          <rPr>
            <b/>
            <sz val="9"/>
            <color indexed="81"/>
            <rFont val="Calibri"/>
            <family val="2"/>
            <charset val="238"/>
            <scheme val="minor"/>
          </rPr>
          <t xml:space="preserve"> jak naczynia podstawowego!!!</t>
        </r>
        <r>
          <rPr>
            <sz val="9"/>
            <color indexed="81"/>
            <rFont val="Tahoma"/>
            <family val="2"/>
            <charset val="238"/>
          </rPr>
          <t xml:space="preserve">
</t>
        </r>
      </text>
    </comment>
    <comment ref="G253" authorId="0" shapeId="0" xr:uid="{00000000-0006-0000-0400-000003000000}">
      <text>
        <r>
          <rPr>
            <b/>
            <sz val="9"/>
            <color indexed="81"/>
            <rFont val="Calibri"/>
            <family val="2"/>
            <charset val="238"/>
            <scheme val="minor"/>
          </rPr>
          <t>Wybierz model urządzenia Transfero na podstawie powyższych wykresów tak, aby punkt pracy leżał w zakresie pola roboczego dla danego urządzenia</t>
        </r>
        <r>
          <rPr>
            <sz val="9"/>
            <color indexed="81"/>
            <rFont val="Tahoma"/>
            <family val="2"/>
            <charset val="23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gonyszczuk</author>
  </authors>
  <commentList>
    <comment ref="K16" authorId="0" shapeId="0" xr:uid="{00000000-0006-0000-0500-000001000000}">
      <text>
        <r>
          <rPr>
            <b/>
            <sz val="9"/>
            <color indexed="81"/>
            <rFont val="Calibri"/>
            <family val="2"/>
            <charset val="238"/>
            <scheme val="minor"/>
          </rPr>
          <t>Wymagane do doboru naczynia pośredniego w przypadku gdy Tn&gt;70˚C</t>
        </r>
        <r>
          <rPr>
            <sz val="9"/>
            <color indexed="81"/>
            <rFont val="Tahoma"/>
            <family val="2"/>
            <charset val="238"/>
          </rPr>
          <t xml:space="preserve">
</t>
        </r>
      </text>
    </comment>
    <comment ref="E147" authorId="0" shapeId="0" xr:uid="{00000000-0006-0000-0500-000002000000}">
      <text>
        <r>
          <rPr>
            <b/>
            <sz val="9"/>
            <color indexed="81"/>
            <rFont val="Calibri"/>
            <family val="2"/>
            <charset val="238"/>
            <scheme val="minor"/>
          </rPr>
          <t>Wybierz wielkość naczynia wzbiorczego na podstawie obliczonej powyżej wartości minimalnej Vexp,min</t>
        </r>
        <r>
          <rPr>
            <sz val="9"/>
            <color indexed="81"/>
            <rFont val="Tahoma"/>
            <family val="2"/>
            <charset val="238"/>
          </rPr>
          <t xml:space="preserve">
</t>
        </r>
      </text>
    </comment>
    <comment ref="H194" authorId="0" shapeId="0" xr:uid="{00000000-0006-0000-0500-000003000000}">
      <text>
        <r>
          <rPr>
            <b/>
            <sz val="9"/>
            <color indexed="81"/>
            <rFont val="Calibri"/>
            <family val="2"/>
            <charset val="238"/>
            <scheme val="minor"/>
          </rPr>
          <t>Gdy stopień napełnienia naczynia jest mniejszy niż 15%,
to rozwiązanie takie jest mało efektywne!</t>
        </r>
        <r>
          <rPr>
            <sz val="9"/>
            <color indexed="81"/>
            <rFont val="Tahoma"/>
            <family val="2"/>
            <charset val="238"/>
          </rPr>
          <t xml:space="preserve">
</t>
        </r>
      </text>
    </comment>
    <comment ref="E262" authorId="0" shapeId="0" xr:uid="{00000000-0006-0000-0500-000004000000}">
      <text>
        <r>
          <rPr>
            <b/>
            <sz val="9"/>
            <color indexed="81"/>
            <rFont val="Calibri"/>
            <family val="2"/>
            <charset val="238"/>
            <scheme val="minor"/>
          </rPr>
          <t xml:space="preserve">Wybierz wielkość naczynia pośredniego (jeśli wymagane) na podstawie obliczonej powyżej wartości minimalnej Vn-poś.
</t>
        </r>
        <r>
          <rPr>
            <sz val="9"/>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gonyszczuk</author>
  </authors>
  <commentList>
    <comment ref="E56" authorId="0" shapeId="0" xr:uid="{00000000-0006-0000-0600-000001000000}">
      <text>
        <r>
          <rPr>
            <b/>
            <sz val="9"/>
            <color indexed="81"/>
            <rFont val="Calibri"/>
            <family val="2"/>
            <charset val="238"/>
            <scheme val="minor"/>
          </rPr>
          <t>Wybierz wielkość naczynia wzbiorczego na podstawie obliczonej powyżej wartości minimalnej VN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gonyszczuk</author>
  </authors>
  <commentList>
    <comment ref="E42" authorId="0" shapeId="0" xr:uid="{00000000-0006-0000-0700-000001000000}">
      <text>
        <r>
          <rPr>
            <sz val="9"/>
            <color indexed="81"/>
            <rFont val="Calibri"/>
            <family val="2"/>
            <charset val="238"/>
            <scheme val="minor"/>
          </rPr>
          <t>Wybierz model urządzenia Vento ze wskazanego powyżej typoszeregu z uwzględnieniem funkcji dodatkowych</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gonyszczuk</author>
  </authors>
  <commentList>
    <comment ref="E50" authorId="0" shapeId="0" xr:uid="{00000000-0006-0000-0800-000001000000}">
      <text>
        <r>
          <rPr>
            <b/>
            <sz val="9"/>
            <color indexed="81"/>
            <rFont val="Calibri"/>
            <family val="2"/>
            <charset val="238"/>
            <scheme val="minor"/>
          </rPr>
          <t xml:space="preserve">Wybierz wielkość naczynia pośredniego na podstawie obliczonej powyżej wartości minimalnej Vn-poś.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Christian Thesing</author>
  </authors>
  <commentList>
    <comment ref="M52" authorId="0" shapeId="0" xr:uid="{00000000-0006-0000-1800-000001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53" authorId="0" shapeId="0" xr:uid="{00000000-0006-0000-1800-000002000000}">
      <text>
        <r>
          <rPr>
            <b/>
            <sz val="9"/>
            <color indexed="81"/>
            <rFont val="Tahoma"/>
            <family val="2"/>
          </rPr>
          <t>Christian Thesing:</t>
        </r>
        <r>
          <rPr>
            <sz val="9"/>
            <color indexed="81"/>
            <rFont val="Tahoma"/>
            <family val="2"/>
          </rPr>
          <t xml:space="preserve">
curve correction factor for better visuability in graphs</t>
        </r>
      </text>
    </comment>
    <comment ref="M62" authorId="0" shapeId="0" xr:uid="{00000000-0006-0000-1800-000003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63" authorId="0" shapeId="0" xr:uid="{00000000-0006-0000-1800-000004000000}">
      <text>
        <r>
          <rPr>
            <b/>
            <sz val="9"/>
            <color indexed="81"/>
            <rFont val="Tahoma"/>
            <family val="2"/>
          </rPr>
          <t>Christian Thesing:</t>
        </r>
        <r>
          <rPr>
            <sz val="9"/>
            <color indexed="81"/>
            <rFont val="Tahoma"/>
            <family val="2"/>
          </rPr>
          <t xml:space="preserve">
curve correction factor for better visuability in graphs</t>
        </r>
      </text>
    </comment>
    <comment ref="M72" authorId="0" shapeId="0" xr:uid="{00000000-0006-0000-1800-000005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73" authorId="0" shapeId="0" xr:uid="{00000000-0006-0000-1800-000006000000}">
      <text>
        <r>
          <rPr>
            <b/>
            <sz val="9"/>
            <color indexed="81"/>
            <rFont val="Tahoma"/>
            <family val="2"/>
          </rPr>
          <t>Christian Thesing:</t>
        </r>
        <r>
          <rPr>
            <sz val="9"/>
            <color indexed="81"/>
            <rFont val="Tahoma"/>
            <family val="2"/>
          </rPr>
          <t xml:space="preserve">
curve correction factor for better visuability in graphs</t>
        </r>
      </text>
    </comment>
    <comment ref="M82" authorId="0" shapeId="0" xr:uid="{00000000-0006-0000-1800-000007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83" authorId="0" shapeId="0" xr:uid="{00000000-0006-0000-1800-000008000000}">
      <text>
        <r>
          <rPr>
            <b/>
            <sz val="9"/>
            <color indexed="81"/>
            <rFont val="Tahoma"/>
            <family val="2"/>
          </rPr>
          <t>Christian Thesing:</t>
        </r>
        <r>
          <rPr>
            <sz val="9"/>
            <color indexed="81"/>
            <rFont val="Tahoma"/>
            <family val="2"/>
          </rPr>
          <t xml:space="preserve">
curve correction factor for better visuability in graphs</t>
        </r>
      </text>
    </comment>
    <comment ref="M92" authorId="0" shapeId="0" xr:uid="{00000000-0006-0000-1800-000009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93" authorId="0" shapeId="0" xr:uid="{00000000-0006-0000-1800-00000A000000}">
      <text>
        <r>
          <rPr>
            <b/>
            <sz val="9"/>
            <color indexed="81"/>
            <rFont val="Tahoma"/>
            <family val="2"/>
          </rPr>
          <t>Christian Thesing:</t>
        </r>
        <r>
          <rPr>
            <sz val="9"/>
            <color indexed="81"/>
            <rFont val="Tahoma"/>
            <family val="2"/>
          </rPr>
          <t xml:space="preserve">
curve correction factor for better visuability in graphs</t>
        </r>
      </text>
    </comment>
    <comment ref="M102" authorId="0" shapeId="0" xr:uid="{00000000-0006-0000-1800-00000B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103" authorId="0" shapeId="0" xr:uid="{00000000-0006-0000-1800-00000C000000}">
      <text>
        <r>
          <rPr>
            <b/>
            <sz val="9"/>
            <color indexed="81"/>
            <rFont val="Tahoma"/>
            <family val="2"/>
          </rPr>
          <t>Christian Thesing:</t>
        </r>
        <r>
          <rPr>
            <sz val="9"/>
            <color indexed="81"/>
            <rFont val="Tahoma"/>
            <family val="2"/>
          </rPr>
          <t xml:space="preserve">
curve correction factor for better visuability in graphs</t>
        </r>
      </text>
    </comment>
    <comment ref="M112" authorId="0" shapeId="0" xr:uid="{00000000-0006-0000-1800-00000D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113" authorId="0" shapeId="0" xr:uid="{00000000-0006-0000-1800-00000E000000}">
      <text>
        <r>
          <rPr>
            <b/>
            <sz val="9"/>
            <color indexed="81"/>
            <rFont val="Tahoma"/>
            <family val="2"/>
          </rPr>
          <t>Christian Thesing:</t>
        </r>
        <r>
          <rPr>
            <sz val="9"/>
            <color indexed="81"/>
            <rFont val="Tahoma"/>
            <family val="2"/>
          </rPr>
          <t xml:space="preserve">
curve correction factor for better visuability in graphs</t>
        </r>
      </text>
    </comment>
    <comment ref="M122" authorId="0" shapeId="0" xr:uid="{00000000-0006-0000-1800-00000F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123" authorId="0" shapeId="0" xr:uid="{00000000-0006-0000-1800-000010000000}">
      <text>
        <r>
          <rPr>
            <b/>
            <sz val="9"/>
            <color indexed="81"/>
            <rFont val="Tahoma"/>
            <family val="2"/>
          </rPr>
          <t>Christian Thesing:</t>
        </r>
        <r>
          <rPr>
            <sz val="9"/>
            <color indexed="81"/>
            <rFont val="Tahoma"/>
            <family val="2"/>
          </rPr>
          <t xml:space="preserve">
curve correction factor for better visuability in graphs</t>
        </r>
      </text>
    </comment>
    <comment ref="M132" authorId="0" shapeId="0" xr:uid="{00000000-0006-0000-1800-000011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133" authorId="0" shapeId="0" xr:uid="{00000000-0006-0000-1800-000012000000}">
      <text>
        <r>
          <rPr>
            <b/>
            <sz val="9"/>
            <color indexed="81"/>
            <rFont val="Tahoma"/>
            <family val="2"/>
          </rPr>
          <t>Christian Thesing:</t>
        </r>
        <r>
          <rPr>
            <sz val="9"/>
            <color indexed="81"/>
            <rFont val="Tahoma"/>
            <family val="2"/>
          </rPr>
          <t xml:space="preserve">
curve correction factor for better visuability in graphs</t>
        </r>
      </text>
    </comment>
    <comment ref="M142" authorId="0" shapeId="0" xr:uid="{00000000-0006-0000-1800-000013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143" authorId="0" shapeId="0" xr:uid="{00000000-0006-0000-1800-000014000000}">
      <text>
        <r>
          <rPr>
            <b/>
            <sz val="9"/>
            <color indexed="81"/>
            <rFont val="Tahoma"/>
            <family val="2"/>
          </rPr>
          <t>Christian Thesing:</t>
        </r>
        <r>
          <rPr>
            <sz val="9"/>
            <color indexed="81"/>
            <rFont val="Tahoma"/>
            <family val="2"/>
          </rPr>
          <t xml:space="preserve">
curve correction factor for better visuability in graphs</t>
        </r>
      </text>
    </comment>
    <comment ref="AG147" authorId="0" shapeId="0" xr:uid="{00000000-0006-0000-1800-000015000000}">
      <text>
        <r>
          <rPr>
            <b/>
            <sz val="9"/>
            <color indexed="81"/>
            <rFont val="Tahoma"/>
            <family val="2"/>
          </rPr>
          <t>Christian Thesing:</t>
        </r>
        <r>
          <rPr>
            <sz val="9"/>
            <color indexed="81"/>
            <rFont val="Tahoma"/>
            <family val="2"/>
          </rPr>
          <t xml:space="preserve">
overflow limitation by pressure reducer</t>
        </r>
      </text>
    </comment>
    <comment ref="M152" authorId="0" shapeId="0" xr:uid="{00000000-0006-0000-1800-000016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153" authorId="0" shapeId="0" xr:uid="{00000000-0006-0000-1800-000017000000}">
      <text>
        <r>
          <rPr>
            <b/>
            <sz val="9"/>
            <color indexed="81"/>
            <rFont val="Tahoma"/>
            <family val="2"/>
          </rPr>
          <t>Christian Thesing:</t>
        </r>
        <r>
          <rPr>
            <sz val="9"/>
            <color indexed="81"/>
            <rFont val="Tahoma"/>
            <family val="2"/>
          </rPr>
          <t xml:space="preserve">
curve correction factor for better visuability in graphs</t>
        </r>
      </text>
    </comment>
    <comment ref="M162" authorId="0" shapeId="0" xr:uid="{00000000-0006-0000-1800-000018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163" authorId="0" shapeId="0" xr:uid="{00000000-0006-0000-1800-000019000000}">
      <text>
        <r>
          <rPr>
            <b/>
            <sz val="9"/>
            <color indexed="81"/>
            <rFont val="Tahoma"/>
            <family val="2"/>
          </rPr>
          <t>Christian Thesing:</t>
        </r>
        <r>
          <rPr>
            <sz val="9"/>
            <color indexed="81"/>
            <rFont val="Tahoma"/>
            <family val="2"/>
          </rPr>
          <t xml:space="preserve">
curve correction factor for better visuability in graphs</t>
        </r>
      </text>
    </comment>
    <comment ref="M172" authorId="0" shapeId="0" xr:uid="{00000000-0006-0000-1800-00001A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173" authorId="0" shapeId="0" xr:uid="{00000000-0006-0000-1800-00001B000000}">
      <text>
        <r>
          <rPr>
            <b/>
            <sz val="9"/>
            <color indexed="81"/>
            <rFont val="Tahoma"/>
            <family val="2"/>
          </rPr>
          <t>Christian Thesing:</t>
        </r>
        <r>
          <rPr>
            <sz val="9"/>
            <color indexed="81"/>
            <rFont val="Tahoma"/>
            <family val="2"/>
          </rPr>
          <t xml:space="preserve">
curve correction factor for better visuability in graphs</t>
        </r>
      </text>
    </comment>
    <comment ref="AG177" authorId="0" shapeId="0" xr:uid="{00000000-0006-0000-1800-00001C000000}">
      <text>
        <r>
          <rPr>
            <b/>
            <sz val="9"/>
            <color indexed="81"/>
            <rFont val="Tahoma"/>
            <family val="2"/>
          </rPr>
          <t>Christian Thesing:</t>
        </r>
        <r>
          <rPr>
            <sz val="9"/>
            <color indexed="81"/>
            <rFont val="Tahoma"/>
            <family val="2"/>
          </rPr>
          <t xml:space="preserve">
overflow limitation by pressure reducer</t>
        </r>
      </text>
    </comment>
    <comment ref="M182" authorId="0" shapeId="0" xr:uid="{00000000-0006-0000-1800-00001D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183" authorId="0" shapeId="0" xr:uid="{00000000-0006-0000-1800-00001E000000}">
      <text>
        <r>
          <rPr>
            <b/>
            <sz val="9"/>
            <color indexed="81"/>
            <rFont val="Tahoma"/>
            <family val="2"/>
          </rPr>
          <t>Christian Thesing:</t>
        </r>
        <r>
          <rPr>
            <sz val="9"/>
            <color indexed="81"/>
            <rFont val="Tahoma"/>
            <family val="2"/>
          </rPr>
          <t xml:space="preserve">
curve correction factor for better visuability in graphs</t>
        </r>
      </text>
    </comment>
    <comment ref="M192" authorId="0" shapeId="0" xr:uid="{00000000-0006-0000-1800-00001F000000}">
      <text>
        <r>
          <rPr>
            <b/>
            <sz val="9"/>
            <color indexed="81"/>
            <rFont val="Tahoma"/>
            <family val="2"/>
          </rPr>
          <t>Christian Thesing:</t>
        </r>
        <r>
          <rPr>
            <sz val="9"/>
            <color indexed="81"/>
            <rFont val="Tahoma"/>
            <family val="2"/>
          </rPr>
          <t xml:space="preserve">
if intersection of pman_pumps and pman_valves is between pman_min and pman_max, then iterate value to get the intersection point of these curve.
if intersection of pman_pumps and pman_valves is lower than pman-min, then iterate value to get the intersection point of pman_pumps with pman_min.
if intersection of pman_pumps and pman_valves is higher than pman-max, then iterate value to get the intersection point of pman_valve with pman_max.
</t>
        </r>
      </text>
    </comment>
    <comment ref="AG193" authorId="0" shapeId="0" xr:uid="{00000000-0006-0000-1800-000020000000}">
      <text>
        <r>
          <rPr>
            <b/>
            <sz val="9"/>
            <color indexed="81"/>
            <rFont val="Tahoma"/>
            <family val="2"/>
          </rPr>
          <t>Christian Thesing:</t>
        </r>
        <r>
          <rPr>
            <sz val="9"/>
            <color indexed="81"/>
            <rFont val="Tahoma"/>
            <family val="2"/>
          </rPr>
          <t xml:space="preserve">
curve correction factor for better visuability in graphs</t>
        </r>
      </text>
    </comment>
  </commentList>
</comments>
</file>

<file path=xl/sharedStrings.xml><?xml version="1.0" encoding="utf-8"?>
<sst xmlns="http://schemas.openxmlformats.org/spreadsheetml/2006/main" count="3382" uniqueCount="1019">
  <si>
    <t>gdzie:</t>
  </si>
  <si>
    <t>szt.</t>
  </si>
  <si>
    <t>Dane do doboru:</t>
  </si>
  <si>
    <t>bar</t>
  </si>
  <si>
    <t>V=</t>
  </si>
  <si>
    <t>%</t>
  </si>
  <si>
    <t>woda</t>
  </si>
  <si>
    <t>m</t>
  </si>
  <si>
    <r>
      <t xml:space="preserve">Aby wydrukować kartę doboru naciśnij </t>
    </r>
    <r>
      <rPr>
        <b/>
        <sz val="11"/>
        <color theme="1"/>
        <rFont val="Calibri"/>
        <family val="2"/>
        <charset val="238"/>
        <scheme val="minor"/>
      </rPr>
      <t>CTRL + P</t>
    </r>
  </si>
  <si>
    <t>poz.</t>
  </si>
  <si>
    <t>Tmax</t>
  </si>
  <si>
    <t>Autor: Grzegorz Onyszczuk</t>
  </si>
  <si>
    <r>
      <rPr>
        <b/>
        <sz val="13"/>
        <color rgb="FFFFFF00"/>
        <rFont val="Times New Roman"/>
        <family val="1"/>
        <charset val="238"/>
      </rPr>
      <t>˚</t>
    </r>
    <r>
      <rPr>
        <b/>
        <sz val="13"/>
        <color rgb="FFFFFF00"/>
        <rFont val="Calibri"/>
        <family val="2"/>
        <charset val="238"/>
      </rPr>
      <t>C</t>
    </r>
  </si>
  <si>
    <t>4) Rodzaj czynnika w systemie:</t>
  </si>
  <si>
    <r>
      <t>6) H</t>
    </r>
    <r>
      <rPr>
        <vertAlign val="subscript"/>
        <sz val="11"/>
        <color theme="0"/>
        <rFont val="Calibri"/>
        <family val="2"/>
        <charset val="238"/>
        <scheme val="minor"/>
      </rPr>
      <t>ST</t>
    </r>
    <r>
      <rPr>
        <sz val="11"/>
        <color theme="0"/>
        <rFont val="Calibri"/>
        <family val="2"/>
        <charset val="238"/>
        <scheme val="minor"/>
      </rPr>
      <t xml:space="preserve"> - wysokość statyczna instalacji - (patrz rysunek obok) [m]:</t>
    </r>
  </si>
  <si>
    <t>7) PSV - ciśnienie otwarcia zaworu bezpieczeństwa [bar]:</t>
  </si>
  <si>
    <t>PSV*10=</t>
  </si>
  <si>
    <t>PSVmin=</t>
  </si>
  <si>
    <t>8) Obecność odgazowywacza próżniowego Vento w systemie:</t>
  </si>
  <si>
    <t>Vento</t>
  </si>
  <si>
    <t xml:space="preserve">Wymagana minimalna objętość naczynia wzbiorczego: </t>
  </si>
  <si>
    <r>
      <t>[dm</t>
    </r>
    <r>
      <rPr>
        <vertAlign val="superscript"/>
        <sz val="11"/>
        <color theme="1"/>
        <rFont val="Calibri"/>
        <family val="2"/>
        <charset val="238"/>
        <scheme val="minor"/>
      </rPr>
      <t>3</t>
    </r>
    <r>
      <rPr>
        <sz val="11"/>
        <color theme="1"/>
        <rFont val="Calibri"/>
        <family val="2"/>
        <charset val="238"/>
        <scheme val="minor"/>
      </rPr>
      <t>]</t>
    </r>
  </si>
  <si>
    <r>
      <t>V</t>
    </r>
    <r>
      <rPr>
        <vertAlign val="subscript"/>
        <sz val="11"/>
        <color theme="1"/>
        <rFont val="Calibri"/>
        <family val="2"/>
        <charset val="238"/>
        <scheme val="minor"/>
      </rPr>
      <t>WR</t>
    </r>
    <r>
      <rPr>
        <sz val="11"/>
        <color theme="1"/>
        <rFont val="Calibri"/>
        <family val="2"/>
        <charset val="238"/>
        <scheme val="minor"/>
      </rPr>
      <t xml:space="preserve"> - objętość czynnika traktowana jako rezerwa eksploatacyjna [dm</t>
    </r>
    <r>
      <rPr>
        <vertAlign val="superscript"/>
        <sz val="11"/>
        <color theme="1"/>
        <rFont val="Calibri"/>
        <family val="2"/>
        <charset val="238"/>
        <scheme val="minor"/>
      </rPr>
      <t>3</t>
    </r>
    <r>
      <rPr>
        <sz val="11"/>
        <color theme="1"/>
        <rFont val="Calibri"/>
        <family val="2"/>
        <charset val="238"/>
        <scheme val="minor"/>
      </rPr>
      <t>],</t>
    </r>
  </si>
  <si>
    <r>
      <t>V</t>
    </r>
    <r>
      <rPr>
        <vertAlign val="subscript"/>
        <sz val="11"/>
        <color theme="1"/>
        <rFont val="Calibri"/>
        <family val="2"/>
        <charset val="238"/>
        <scheme val="minor"/>
      </rPr>
      <t>e</t>
    </r>
    <r>
      <rPr>
        <sz val="11"/>
        <color theme="1"/>
        <rFont val="Calibri"/>
        <family val="2"/>
        <charset val="238"/>
        <scheme val="minor"/>
      </rPr>
      <t xml:space="preserve"> - objętość czynnika wynikająca z jego rozszerzalności termicznej [dm</t>
    </r>
    <r>
      <rPr>
        <vertAlign val="superscript"/>
        <sz val="11"/>
        <color theme="1"/>
        <rFont val="Calibri"/>
        <family val="2"/>
        <charset val="238"/>
        <scheme val="minor"/>
      </rPr>
      <t>3</t>
    </r>
    <r>
      <rPr>
        <sz val="11"/>
        <color theme="1"/>
        <rFont val="Calibri"/>
        <family val="2"/>
        <charset val="238"/>
        <scheme val="minor"/>
      </rPr>
      <t>],</t>
    </r>
  </si>
  <si>
    <t>1. Określenie objętości czynnika wynikającej z jego rozszerzalności termicznej.</t>
  </si>
  <si>
    <t>e - współczynnik rozszerzalności termicznej czynnika,</t>
  </si>
  <si>
    <r>
      <t>V</t>
    </r>
    <r>
      <rPr>
        <vertAlign val="subscript"/>
        <sz val="11"/>
        <color theme="1"/>
        <rFont val="Calibri"/>
        <family val="2"/>
        <charset val="238"/>
        <scheme val="minor"/>
      </rPr>
      <t>a</t>
    </r>
    <r>
      <rPr>
        <sz val="11"/>
        <color theme="1"/>
        <rFont val="Calibri"/>
        <family val="2"/>
        <charset val="238"/>
        <scheme val="minor"/>
      </rPr>
      <t xml:space="preserve"> - pojemność zładu instalacji [dm</t>
    </r>
    <r>
      <rPr>
        <vertAlign val="superscript"/>
        <sz val="11"/>
        <color theme="1"/>
        <rFont val="Calibri"/>
        <family val="2"/>
        <charset val="238"/>
        <scheme val="minor"/>
      </rPr>
      <t>3</t>
    </r>
    <r>
      <rPr>
        <sz val="11"/>
        <color theme="1"/>
        <rFont val="Calibri"/>
        <family val="2"/>
        <charset val="238"/>
        <scheme val="minor"/>
      </rPr>
      <t>],</t>
    </r>
  </si>
  <si>
    <r>
      <t>V</t>
    </r>
    <r>
      <rPr>
        <vertAlign val="subscript"/>
        <sz val="11"/>
        <color theme="1"/>
        <rFont val="Calibri"/>
        <family val="2"/>
        <charset val="238"/>
        <scheme val="minor"/>
      </rPr>
      <t>a</t>
    </r>
    <r>
      <rPr>
        <sz val="11"/>
        <color theme="1"/>
        <rFont val="Calibri"/>
        <family val="2"/>
        <charset val="238"/>
        <scheme val="minor"/>
      </rPr>
      <t xml:space="preserve"> - pojemność zładu instalacji [dm</t>
    </r>
    <r>
      <rPr>
        <vertAlign val="superscript"/>
        <sz val="11"/>
        <color theme="1"/>
        <rFont val="Calibri"/>
        <family val="2"/>
        <charset val="238"/>
        <scheme val="minor"/>
      </rPr>
      <t>3</t>
    </r>
    <r>
      <rPr>
        <sz val="11"/>
        <color theme="1"/>
        <rFont val="Calibri"/>
        <family val="2"/>
        <charset val="238"/>
        <scheme val="minor"/>
      </rPr>
      <t>]</t>
    </r>
  </si>
  <si>
    <t>Dane:</t>
  </si>
  <si>
    <t>e=</t>
  </si>
  <si>
    <t>tmax °C</t>
  </si>
  <si>
    <t>Stężenie glikolu %</t>
  </si>
  <si>
    <t>Wynik:</t>
  </si>
  <si>
    <r>
      <rPr>
        <sz val="11"/>
        <color theme="1"/>
        <rFont val="Times New Roman"/>
        <family val="1"/>
        <charset val="238"/>
      </rPr>
      <t>˚</t>
    </r>
    <r>
      <rPr>
        <sz val="11"/>
        <color theme="1"/>
        <rFont val="Calibri"/>
        <family val="2"/>
        <charset val="238"/>
      </rPr>
      <t>C</t>
    </r>
  </si>
  <si>
    <t xml:space="preserve">      rodzaj czynnika:</t>
  </si>
  <si>
    <t>rodzaj czynnika</t>
  </si>
  <si>
    <t>dla:</t>
  </si>
  <si>
    <t>2. Określenie objętości czynnika traktowanej jako rezerwa eksploatacyjna.</t>
  </si>
  <si>
    <t>nie mniej niż 3l</t>
  </si>
  <si>
    <r>
      <t>V</t>
    </r>
    <r>
      <rPr>
        <vertAlign val="subscript"/>
        <sz val="11"/>
        <color theme="1"/>
        <rFont val="Calibri"/>
        <family val="2"/>
        <charset val="238"/>
        <scheme val="minor"/>
      </rPr>
      <t>WR</t>
    </r>
    <r>
      <rPr>
        <sz val="11"/>
        <color theme="1"/>
        <rFont val="Calibri"/>
        <family val="2"/>
        <charset val="238"/>
        <scheme val="minor"/>
      </rPr>
      <t>=</t>
    </r>
  </si>
  <si>
    <t>3. Określenie ciśnienia wstępnego - po stronie poduszki gazowej.</t>
  </si>
  <si>
    <t>[bar]</t>
  </si>
  <si>
    <r>
      <t>p</t>
    </r>
    <r>
      <rPr>
        <vertAlign val="subscript"/>
        <sz val="11"/>
        <color theme="1"/>
        <rFont val="Calibri"/>
        <family val="2"/>
        <charset val="238"/>
        <scheme val="minor"/>
      </rPr>
      <t>0</t>
    </r>
    <r>
      <rPr>
        <sz val="11"/>
        <color theme="1"/>
        <rFont val="Calibri"/>
        <family val="2"/>
        <charset val="238"/>
        <scheme val="minor"/>
      </rPr>
      <t xml:space="preserve"> - wartość ciśnienia wstępnego - po stronie poduszki gazowej [bar],</t>
    </r>
  </si>
  <si>
    <r>
      <t>H</t>
    </r>
    <r>
      <rPr>
        <vertAlign val="subscript"/>
        <sz val="11"/>
        <color theme="1"/>
        <rFont val="Calibri"/>
        <family val="2"/>
        <charset val="238"/>
        <scheme val="minor"/>
      </rPr>
      <t>ST</t>
    </r>
    <r>
      <rPr>
        <sz val="11"/>
        <color theme="1"/>
        <rFont val="Calibri"/>
        <family val="2"/>
        <charset val="238"/>
        <scheme val="minor"/>
      </rPr>
      <t xml:space="preserve"> - wysokość statyczna instalacji [m],</t>
    </r>
  </si>
  <si>
    <r>
      <t>p</t>
    </r>
    <r>
      <rPr>
        <vertAlign val="subscript"/>
        <sz val="11"/>
        <color theme="1"/>
        <rFont val="Calibri"/>
        <family val="2"/>
        <charset val="238"/>
        <scheme val="minor"/>
      </rPr>
      <t>D</t>
    </r>
    <r>
      <rPr>
        <sz val="11"/>
        <color theme="1"/>
        <rFont val="Calibri"/>
        <family val="2"/>
        <charset val="238"/>
        <scheme val="minor"/>
      </rPr>
      <t xml:space="preserve"> - ciśnienie pary wodnej (dla T</t>
    </r>
    <r>
      <rPr>
        <vertAlign val="subscript"/>
        <sz val="11"/>
        <color theme="1"/>
        <rFont val="Calibri"/>
        <family val="2"/>
        <charset val="238"/>
        <scheme val="minor"/>
      </rPr>
      <t>max</t>
    </r>
    <r>
      <rPr>
        <sz val="11"/>
        <color theme="1"/>
        <rFont val="Calibri"/>
        <family val="2"/>
        <charset val="238"/>
        <scheme val="minor"/>
      </rPr>
      <t xml:space="preserve"> &gt; 100</t>
    </r>
    <r>
      <rPr>
        <sz val="11"/>
        <color theme="1"/>
        <rFont val="Times New Roman"/>
        <family val="1"/>
        <charset val="238"/>
      </rPr>
      <t>˚</t>
    </r>
    <r>
      <rPr>
        <sz val="11"/>
        <color theme="1"/>
        <rFont val="Calibri"/>
        <family val="2"/>
        <charset val="238"/>
      </rPr>
      <t>C) [bar],</t>
    </r>
  </si>
  <si>
    <r>
      <t>5* - dodatkowa objętość wynikająca z obecności odgazowywacza próżniowego Vento [dm</t>
    </r>
    <r>
      <rPr>
        <vertAlign val="superscript"/>
        <sz val="11"/>
        <color theme="1"/>
        <rFont val="Calibri"/>
        <family val="2"/>
        <charset val="238"/>
        <scheme val="minor"/>
      </rPr>
      <t>3</t>
    </r>
    <r>
      <rPr>
        <sz val="11"/>
        <color theme="1"/>
        <rFont val="Calibri"/>
        <family val="2"/>
        <charset val="238"/>
        <scheme val="minor"/>
      </rPr>
      <t>]</t>
    </r>
  </si>
  <si>
    <r>
      <t>p</t>
    </r>
    <r>
      <rPr>
        <vertAlign val="subscript"/>
        <sz val="11"/>
        <color theme="1"/>
        <rFont val="Calibri"/>
        <family val="2"/>
        <charset val="238"/>
        <scheme val="minor"/>
      </rPr>
      <t>0</t>
    </r>
    <r>
      <rPr>
        <sz val="11"/>
        <color theme="1"/>
        <rFont val="Calibri"/>
        <family val="2"/>
        <charset val="238"/>
        <scheme val="minor"/>
      </rPr>
      <t xml:space="preserve"> - ciśnienie wstępne w naczyniu (po stronie poduszki gazowej) [bar],</t>
    </r>
  </si>
  <si>
    <r>
      <t>p</t>
    </r>
    <r>
      <rPr>
        <vertAlign val="subscript"/>
        <sz val="11"/>
        <color theme="1"/>
        <rFont val="Calibri"/>
        <family val="2"/>
        <charset val="238"/>
        <scheme val="minor"/>
      </rPr>
      <t>D</t>
    </r>
    <r>
      <rPr>
        <sz val="11"/>
        <color theme="1"/>
        <rFont val="Calibri"/>
        <family val="2"/>
        <charset val="238"/>
        <scheme val="minor"/>
      </rPr>
      <t>=</t>
    </r>
  </si>
  <si>
    <t>t (TAZ, tmax, tR)</t>
  </si>
  <si>
    <t>°C</t>
  </si>
  <si>
    <t>e</t>
  </si>
  <si>
    <t>Pd</t>
  </si>
  <si>
    <t>Delta e</t>
  </si>
  <si>
    <t>tu nie trzeba bo &lt; 70 st. C</t>
  </si>
  <si>
    <t xml:space="preserve">40% Glykol = -24 °C </t>
  </si>
  <si>
    <t>pD</t>
  </si>
  <si>
    <t xml:space="preserve">bar </t>
  </si>
  <si>
    <r>
      <t>V</t>
    </r>
    <r>
      <rPr>
        <vertAlign val="subscript"/>
        <sz val="11"/>
        <color theme="1"/>
        <rFont val="Calibri"/>
        <family val="2"/>
        <charset val="238"/>
        <scheme val="minor"/>
      </rPr>
      <t xml:space="preserve">a </t>
    </r>
    <r>
      <rPr>
        <sz val="11"/>
        <color theme="1"/>
        <rFont val="Calibri"/>
        <family val="2"/>
        <charset val="238"/>
        <scheme val="minor"/>
      </rPr>
      <t>=</t>
    </r>
  </si>
  <si>
    <r>
      <t>V</t>
    </r>
    <r>
      <rPr>
        <vertAlign val="subscript"/>
        <sz val="11"/>
        <color theme="1"/>
        <rFont val="Calibri"/>
        <family val="2"/>
        <charset val="238"/>
        <scheme val="minor"/>
      </rPr>
      <t xml:space="preserve">e </t>
    </r>
    <r>
      <rPr>
        <sz val="11"/>
        <color theme="1"/>
        <rFont val="Calibri"/>
        <family val="2"/>
        <charset val="238"/>
        <scheme val="minor"/>
      </rPr>
      <t>=</t>
    </r>
  </si>
  <si>
    <t>e =</t>
  </si>
  <si>
    <r>
      <t>T</t>
    </r>
    <r>
      <rPr>
        <vertAlign val="subscript"/>
        <sz val="11"/>
        <color theme="1"/>
        <rFont val="Calibri"/>
        <family val="2"/>
        <charset val="238"/>
        <scheme val="minor"/>
      </rPr>
      <t xml:space="preserve">max </t>
    </r>
    <r>
      <rPr>
        <sz val="11"/>
        <color theme="1"/>
        <rFont val="Calibri"/>
        <family val="2"/>
        <charset val="238"/>
        <scheme val="minor"/>
      </rPr>
      <t>=</t>
    </r>
  </si>
  <si>
    <r>
      <t>V</t>
    </r>
    <r>
      <rPr>
        <vertAlign val="subscript"/>
        <sz val="11"/>
        <color theme="1"/>
        <rFont val="Calibri"/>
        <family val="2"/>
        <charset val="238"/>
        <scheme val="minor"/>
      </rPr>
      <t xml:space="preserve">WR </t>
    </r>
    <r>
      <rPr>
        <sz val="11"/>
        <color theme="1"/>
        <rFont val="Calibri"/>
        <family val="2"/>
        <charset val="238"/>
        <scheme val="minor"/>
      </rPr>
      <t>=</t>
    </r>
  </si>
  <si>
    <r>
      <t>H</t>
    </r>
    <r>
      <rPr>
        <vertAlign val="subscript"/>
        <sz val="11"/>
        <color theme="1"/>
        <rFont val="Calibri"/>
        <family val="2"/>
        <charset val="238"/>
        <scheme val="minor"/>
      </rPr>
      <t xml:space="preserve">ST </t>
    </r>
    <r>
      <rPr>
        <sz val="11"/>
        <color theme="1"/>
        <rFont val="Calibri"/>
        <family val="2"/>
        <charset val="238"/>
        <scheme val="minor"/>
      </rPr>
      <t>=</t>
    </r>
  </si>
  <si>
    <r>
      <t>p</t>
    </r>
    <r>
      <rPr>
        <vertAlign val="subscript"/>
        <sz val="11"/>
        <color theme="1"/>
        <rFont val="Calibri"/>
        <family val="2"/>
        <charset val="238"/>
        <scheme val="minor"/>
      </rPr>
      <t xml:space="preserve">D </t>
    </r>
    <r>
      <rPr>
        <sz val="11"/>
        <color theme="1"/>
        <rFont val="Calibri"/>
        <family val="2"/>
        <charset val="238"/>
        <scheme val="minor"/>
      </rPr>
      <t>=</t>
    </r>
  </si>
  <si>
    <r>
      <t>p</t>
    </r>
    <r>
      <rPr>
        <vertAlign val="subscript"/>
        <sz val="11"/>
        <color theme="1"/>
        <rFont val="Calibri"/>
        <family val="2"/>
        <charset val="238"/>
        <scheme val="minor"/>
      </rPr>
      <t xml:space="preserve">0 </t>
    </r>
    <r>
      <rPr>
        <sz val="11"/>
        <color theme="1"/>
        <rFont val="Calibri"/>
        <family val="2"/>
        <charset val="238"/>
        <scheme val="minor"/>
      </rPr>
      <t>=</t>
    </r>
  </si>
  <si>
    <r>
      <t>p</t>
    </r>
    <r>
      <rPr>
        <vertAlign val="subscript"/>
        <sz val="11"/>
        <color theme="1"/>
        <rFont val="Calibri"/>
        <family val="2"/>
        <charset val="238"/>
        <scheme val="minor"/>
      </rPr>
      <t>e</t>
    </r>
    <r>
      <rPr>
        <sz val="11"/>
        <color theme="1"/>
        <rFont val="Calibri"/>
        <family val="2"/>
        <charset val="238"/>
        <scheme val="minor"/>
      </rPr>
      <t xml:space="preserve"> - ciśnienie końcowe instalacji (robocze dla T</t>
    </r>
    <r>
      <rPr>
        <vertAlign val="subscript"/>
        <sz val="11"/>
        <color theme="1"/>
        <rFont val="Calibri"/>
        <family val="2"/>
        <charset val="238"/>
        <scheme val="minor"/>
      </rPr>
      <t>max</t>
    </r>
    <r>
      <rPr>
        <sz val="11"/>
        <color theme="1"/>
        <rFont val="Calibri"/>
        <family val="2"/>
        <charset val="238"/>
        <scheme val="minor"/>
      </rPr>
      <t xml:space="preserve">) [bar], </t>
    </r>
  </si>
  <si>
    <r>
      <t>4. Określenie ciśnienia końcowego instalacji -  (robocze dla T</t>
    </r>
    <r>
      <rPr>
        <b/>
        <vertAlign val="subscript"/>
        <sz val="11"/>
        <color theme="1"/>
        <rFont val="Calibri"/>
        <family val="2"/>
        <charset val="238"/>
        <scheme val="minor"/>
      </rPr>
      <t>max</t>
    </r>
    <r>
      <rPr>
        <b/>
        <sz val="11"/>
        <color theme="1"/>
        <rFont val="Calibri"/>
        <family val="2"/>
        <charset val="238"/>
        <scheme val="minor"/>
      </rPr>
      <t>).</t>
    </r>
  </si>
  <si>
    <t>PSV - ciśnienie otwarcia zaworu bezpieczeństwa [bar],</t>
  </si>
  <si>
    <t>ASV - rezerwa wynikająca z histerezy zaworu bezpieczeństwa [bar]</t>
  </si>
  <si>
    <r>
      <rPr>
        <vertAlign val="subscript"/>
        <sz val="11"/>
        <color theme="1"/>
        <rFont val="Calibri"/>
        <family val="2"/>
        <charset val="238"/>
        <scheme val="minor"/>
      </rPr>
      <t xml:space="preserve"> </t>
    </r>
    <r>
      <rPr>
        <sz val="11"/>
        <color theme="1"/>
        <rFont val="Calibri"/>
        <family val="2"/>
        <charset val="238"/>
        <scheme val="minor"/>
      </rPr>
      <t>PSV=</t>
    </r>
  </si>
  <si>
    <t>ASV=</t>
  </si>
  <si>
    <r>
      <t>p</t>
    </r>
    <r>
      <rPr>
        <vertAlign val="subscript"/>
        <sz val="11"/>
        <color theme="1"/>
        <rFont val="Calibri"/>
        <family val="2"/>
        <charset val="238"/>
        <scheme val="minor"/>
      </rPr>
      <t xml:space="preserve">e </t>
    </r>
    <r>
      <rPr>
        <sz val="11"/>
        <color theme="1"/>
        <rFont val="Calibri"/>
        <family val="2"/>
        <charset val="238"/>
        <scheme val="minor"/>
      </rPr>
      <t>=</t>
    </r>
  </si>
  <si>
    <r>
      <t>5. Określenie współczynnika ciśnieniowego dla naczynia wzbiorczego</t>
    </r>
    <r>
      <rPr>
        <b/>
        <sz val="11"/>
        <color theme="1"/>
        <rFont val="Calibri"/>
        <family val="2"/>
        <charset val="238"/>
        <scheme val="minor"/>
      </rPr>
      <t>.</t>
    </r>
  </si>
  <si>
    <r>
      <t>D</t>
    </r>
    <r>
      <rPr>
        <vertAlign val="subscript"/>
        <sz val="11"/>
        <color theme="1"/>
        <rFont val="Calibri"/>
        <family val="2"/>
        <charset val="238"/>
        <scheme val="minor"/>
      </rPr>
      <t>f</t>
    </r>
    <r>
      <rPr>
        <sz val="11"/>
        <color theme="1"/>
        <rFont val="Calibri"/>
        <family val="2"/>
        <charset val="238"/>
        <scheme val="minor"/>
      </rPr>
      <t xml:space="preserve"> - współczynnik ciśnieniowy określający stopień wykorzystania naczynia,</t>
    </r>
  </si>
  <si>
    <r>
      <t>p</t>
    </r>
    <r>
      <rPr>
        <vertAlign val="subscript"/>
        <sz val="11"/>
        <color theme="1"/>
        <rFont val="Calibri"/>
        <family val="2"/>
        <charset val="238"/>
        <scheme val="minor"/>
      </rPr>
      <t>0</t>
    </r>
    <r>
      <rPr>
        <sz val="11"/>
        <color theme="1"/>
        <rFont val="Calibri"/>
        <family val="2"/>
        <charset val="238"/>
        <scheme val="minor"/>
      </rPr>
      <t xml:space="preserve"> - wartość ciśnienia wstępnego - po stronie poduszki gazowej [bar]</t>
    </r>
  </si>
  <si>
    <r>
      <t>D</t>
    </r>
    <r>
      <rPr>
        <vertAlign val="subscript"/>
        <sz val="11"/>
        <color theme="1"/>
        <rFont val="Calibri"/>
        <family val="2"/>
        <charset val="238"/>
        <scheme val="minor"/>
      </rPr>
      <t>f</t>
    </r>
    <r>
      <rPr>
        <sz val="11"/>
        <color theme="1"/>
        <rFont val="Calibri"/>
        <family val="2"/>
        <charset val="238"/>
        <scheme val="minor"/>
      </rPr>
      <t xml:space="preserve"> =</t>
    </r>
  </si>
  <si>
    <t>6. Określenie wymaganej minimalnej objętości naczynia wzbiorczego.</t>
  </si>
  <si>
    <t>Statico SD 12.3</t>
  </si>
  <si>
    <t>Statico SD 18.3</t>
  </si>
  <si>
    <t>Statico SD 25.3</t>
  </si>
  <si>
    <t>Statico SD 35.3</t>
  </si>
  <si>
    <t>Statico SD 50.3</t>
  </si>
  <si>
    <t>Statico SD 80.3</t>
  </si>
  <si>
    <t xml:space="preserve">Statico SD 8.3  </t>
  </si>
  <si>
    <t xml:space="preserve">Statico SD 8.10  </t>
  </si>
  <si>
    <t>Statico SD 12.10</t>
  </si>
  <si>
    <t>Statico SD 18.10</t>
  </si>
  <si>
    <t>Statico SD 25.10</t>
  </si>
  <si>
    <t>Statico SD 35.10</t>
  </si>
  <si>
    <t>Statico SD 50.10</t>
  </si>
  <si>
    <t>Statico SD 80.10</t>
  </si>
  <si>
    <t>Statico SU 200.3</t>
  </si>
  <si>
    <t>Statico SU 200.6</t>
  </si>
  <si>
    <t>Statico SU 200.10</t>
  </si>
  <si>
    <t>Statico SU 140.3</t>
  </si>
  <si>
    <t>Statico SU 300.3</t>
  </si>
  <si>
    <t>Statico SU 400.3</t>
  </si>
  <si>
    <t>Statico SU 500.3</t>
  </si>
  <si>
    <t>Statico SU 600.3</t>
  </si>
  <si>
    <t>Statico SU 800.3</t>
  </si>
  <si>
    <t>Statico SU 140.6</t>
  </si>
  <si>
    <t>Statico SU 300.6</t>
  </si>
  <si>
    <t>Statico SU 400.6</t>
  </si>
  <si>
    <t>Statico SU 500.6</t>
  </si>
  <si>
    <t>Statico SU 600.6</t>
  </si>
  <si>
    <t>Statico SU 800.6</t>
  </si>
  <si>
    <t>Statico SU 140.10</t>
  </si>
  <si>
    <t>Statico SU 300.10</t>
  </si>
  <si>
    <t>Statico SU 400.10</t>
  </si>
  <si>
    <t>Statico SU 500.10</t>
  </si>
  <si>
    <t>Statico SU 600.10</t>
  </si>
  <si>
    <t>Statico SG 1000.10</t>
  </si>
  <si>
    <t>Statico SG 1000.6</t>
  </si>
  <si>
    <t>Statico SG 1500.6</t>
  </si>
  <si>
    <t>Statico SG 2000.6</t>
  </si>
  <si>
    <t>Statico SG 3000.6</t>
  </si>
  <si>
    <t>Statico SG 4000.6</t>
  </si>
  <si>
    <t>Statico SG 5000.6</t>
  </si>
  <si>
    <t>Statico SG 1500.10</t>
  </si>
  <si>
    <t>Statico SG 2000.10</t>
  </si>
  <si>
    <t>Statico SG 3000.10</t>
  </si>
  <si>
    <t>Statico SG 4000.10</t>
  </si>
  <si>
    <t>Statico SG 5000.10</t>
  </si>
  <si>
    <t>Na podstawie wykonanych obliczeń dobiera się naczynia wzbiorcze w następującej ilości:</t>
  </si>
  <si>
    <t xml:space="preserve">w ilości: </t>
  </si>
  <si>
    <t>V</t>
  </si>
  <si>
    <t>PN</t>
  </si>
  <si>
    <t>p0</t>
  </si>
  <si>
    <t>Nr art.</t>
  </si>
  <si>
    <t>Dobrano naczynia wzbiorcze marki PNEUMATEX typu:</t>
  </si>
  <si>
    <t>w ilości:</t>
  </si>
  <si>
    <t xml:space="preserve">o sumarycznej pojemności: </t>
  </si>
  <si>
    <r>
      <t>V</t>
    </r>
    <r>
      <rPr>
        <vertAlign val="subscript"/>
        <sz val="11"/>
        <color theme="1"/>
        <rFont val="Calibri"/>
        <family val="2"/>
        <charset val="238"/>
        <scheme val="minor"/>
      </rPr>
      <t>exp,min</t>
    </r>
    <r>
      <rPr>
        <sz val="11"/>
        <color theme="1"/>
        <rFont val="Calibri"/>
        <family val="2"/>
        <charset val="238"/>
        <scheme val="minor"/>
      </rPr>
      <t xml:space="preserve"> - minimalna wymagana sumaryczna objętość naczyń wzbiorczych [dm</t>
    </r>
    <r>
      <rPr>
        <vertAlign val="superscript"/>
        <sz val="11"/>
        <color theme="1"/>
        <rFont val="Calibri"/>
        <family val="2"/>
        <charset val="238"/>
        <scheme val="minor"/>
      </rPr>
      <t>3</t>
    </r>
    <r>
      <rPr>
        <sz val="11"/>
        <color theme="1"/>
        <rFont val="Calibri"/>
        <family val="2"/>
        <charset val="238"/>
        <scheme val="minor"/>
      </rPr>
      <t>],</t>
    </r>
  </si>
  <si>
    <r>
      <t>V</t>
    </r>
    <r>
      <rPr>
        <vertAlign val="subscript"/>
        <sz val="11"/>
        <color theme="1"/>
        <rFont val="Calibri"/>
        <family val="2"/>
        <charset val="238"/>
        <scheme val="minor"/>
      </rPr>
      <t>nom</t>
    </r>
    <r>
      <rPr>
        <sz val="11"/>
        <color theme="1"/>
        <rFont val="Calibri"/>
        <family val="2"/>
        <charset val="238"/>
        <scheme val="minor"/>
      </rPr>
      <t xml:space="preserve"> - sumaryczna objętość dobranych naczyń wzbiorczych [dm</t>
    </r>
    <r>
      <rPr>
        <vertAlign val="superscript"/>
        <sz val="11"/>
        <color theme="1"/>
        <rFont val="Calibri"/>
        <family val="2"/>
        <charset val="238"/>
        <scheme val="minor"/>
      </rPr>
      <t>3</t>
    </r>
    <r>
      <rPr>
        <sz val="11"/>
        <color theme="1"/>
        <rFont val="Calibri"/>
        <family val="2"/>
        <charset val="238"/>
        <scheme val="minor"/>
      </rPr>
      <t>]</t>
    </r>
  </si>
  <si>
    <r>
      <t>V</t>
    </r>
    <r>
      <rPr>
        <vertAlign val="subscript"/>
        <sz val="11"/>
        <color theme="1"/>
        <rFont val="Calibri"/>
        <family val="2"/>
        <charset val="238"/>
        <scheme val="minor"/>
      </rPr>
      <t>exp,min</t>
    </r>
  </si>
  <si>
    <r>
      <t>V</t>
    </r>
    <r>
      <rPr>
        <vertAlign val="subscript"/>
        <sz val="11"/>
        <color theme="1"/>
        <rFont val="Calibri"/>
        <family val="2"/>
        <charset val="238"/>
        <scheme val="minor"/>
      </rPr>
      <t>nom</t>
    </r>
  </si>
  <si>
    <r>
      <t>V</t>
    </r>
    <r>
      <rPr>
        <vertAlign val="subscript"/>
        <sz val="11"/>
        <color theme="1"/>
        <rFont val="Calibri"/>
        <family val="2"/>
        <charset val="238"/>
        <scheme val="minor"/>
      </rPr>
      <t xml:space="preserve">exp,min </t>
    </r>
    <r>
      <rPr>
        <sz val="11"/>
        <color theme="1"/>
        <rFont val="Calibri"/>
        <family val="2"/>
        <charset val="238"/>
        <scheme val="minor"/>
      </rPr>
      <t>=</t>
    </r>
  </si>
  <si>
    <r>
      <t>V</t>
    </r>
    <r>
      <rPr>
        <vertAlign val="subscript"/>
        <sz val="11"/>
        <color theme="1"/>
        <rFont val="Calibri"/>
        <family val="2"/>
        <charset val="238"/>
        <scheme val="minor"/>
      </rPr>
      <t>nom</t>
    </r>
    <r>
      <rPr>
        <sz val="11"/>
        <color theme="1"/>
        <rFont val="Calibri"/>
        <family val="2"/>
        <charset val="238"/>
        <scheme val="minor"/>
      </rPr>
      <t xml:space="preserve"> =</t>
    </r>
  </si>
  <si>
    <t>PN=</t>
  </si>
  <si>
    <t>Dobrano:</t>
  </si>
  <si>
    <t xml:space="preserve">o pojemności nominalnej jednego naczynia: </t>
  </si>
  <si>
    <t>litrów</t>
  </si>
  <si>
    <t>o nr artykułu:</t>
  </si>
  <si>
    <t>waga</t>
  </si>
  <si>
    <t>S=</t>
  </si>
  <si>
    <t xml:space="preserve">o wadze operacyjnej pojedynczego naczynia: </t>
  </si>
  <si>
    <t>kg</t>
  </si>
  <si>
    <t>(naczynie w 100% pełne)</t>
  </si>
  <si>
    <r>
      <t>Stopień napełnienia naczynia dla p</t>
    </r>
    <r>
      <rPr>
        <vertAlign val="subscript"/>
        <sz val="11"/>
        <color theme="1"/>
        <rFont val="Calibri"/>
        <family val="2"/>
        <charset val="238"/>
        <scheme val="minor"/>
      </rPr>
      <t>e</t>
    </r>
    <r>
      <rPr>
        <sz val="11"/>
        <color theme="1"/>
        <rFont val="Calibri"/>
        <family val="2"/>
        <charset val="238"/>
        <scheme val="minor"/>
      </rPr>
      <t>:</t>
    </r>
  </si>
  <si>
    <t>w %:</t>
  </si>
  <si>
    <t>Minimalne ciśnienie napełniania:</t>
  </si>
  <si>
    <r>
      <t>V</t>
    </r>
    <r>
      <rPr>
        <vertAlign val="subscript"/>
        <sz val="11"/>
        <color theme="1"/>
        <rFont val="Calibri"/>
        <family val="2"/>
        <charset val="238"/>
        <scheme val="minor"/>
      </rPr>
      <t>nom</t>
    </r>
    <r>
      <rPr>
        <sz val="11"/>
        <color theme="1"/>
        <rFont val="Calibri"/>
        <family val="2"/>
        <charset val="238"/>
        <scheme val="minor"/>
      </rPr>
      <t xml:space="preserve"> - objętość pojedynczego dobranego naczynia wzbiorczego [dm</t>
    </r>
    <r>
      <rPr>
        <vertAlign val="superscript"/>
        <sz val="11"/>
        <color theme="1"/>
        <rFont val="Calibri"/>
        <family val="2"/>
        <charset val="238"/>
        <scheme val="minor"/>
      </rPr>
      <t>3</t>
    </r>
    <r>
      <rPr>
        <sz val="11"/>
        <color theme="1"/>
        <rFont val="Calibri"/>
        <family val="2"/>
        <charset val="238"/>
        <scheme val="minor"/>
      </rPr>
      <t>],</t>
    </r>
  </si>
  <si>
    <r>
      <t>V</t>
    </r>
    <r>
      <rPr>
        <vertAlign val="subscript"/>
        <sz val="11"/>
        <color theme="1"/>
        <rFont val="Calibri"/>
        <family val="2"/>
        <charset val="238"/>
        <scheme val="minor"/>
      </rPr>
      <t>WR</t>
    </r>
    <r>
      <rPr>
        <sz val="11"/>
        <color theme="1"/>
        <rFont val="Calibri"/>
        <family val="2"/>
        <charset val="238"/>
        <scheme val="minor"/>
      </rPr>
      <t xml:space="preserve"> =</t>
    </r>
  </si>
  <si>
    <r>
      <t>V</t>
    </r>
    <r>
      <rPr>
        <vertAlign val="subscript"/>
        <sz val="11"/>
        <color theme="1"/>
        <rFont val="Calibri"/>
        <family val="2"/>
        <charset val="238"/>
        <scheme val="minor"/>
      </rPr>
      <t>WR</t>
    </r>
    <r>
      <rPr>
        <sz val="11"/>
        <color theme="1"/>
        <rFont val="Calibri"/>
        <family val="2"/>
        <charset val="238"/>
        <scheme val="minor"/>
      </rPr>
      <t xml:space="preserve"> - objętość czynnika w dobranym naczyniu traktowana jako rezerwa eksploatacyjna [dm</t>
    </r>
    <r>
      <rPr>
        <vertAlign val="superscript"/>
        <sz val="11"/>
        <color theme="1"/>
        <rFont val="Calibri"/>
        <family val="2"/>
        <charset val="238"/>
        <scheme val="minor"/>
      </rPr>
      <t>3</t>
    </r>
    <r>
      <rPr>
        <sz val="11"/>
        <color theme="1"/>
        <rFont val="Calibri"/>
        <family val="2"/>
        <charset val="238"/>
        <scheme val="minor"/>
      </rPr>
      <t>]</t>
    </r>
  </si>
  <si>
    <r>
      <t>p</t>
    </r>
    <r>
      <rPr>
        <vertAlign val="subscript"/>
        <sz val="11"/>
        <color theme="1"/>
        <rFont val="Calibri"/>
        <family val="2"/>
        <charset val="238"/>
        <scheme val="minor"/>
      </rPr>
      <t>a min</t>
    </r>
    <r>
      <rPr>
        <sz val="11"/>
        <color theme="1"/>
        <rFont val="Calibri"/>
        <family val="2"/>
        <charset val="238"/>
        <scheme val="minor"/>
      </rPr>
      <t xml:space="preserve"> </t>
    </r>
    <r>
      <rPr>
        <sz val="11"/>
        <color theme="1"/>
        <rFont val="Times New Roman"/>
        <family val="1"/>
        <charset val="238"/>
      </rPr>
      <t>≥</t>
    </r>
  </si>
  <si>
    <r>
      <t>p</t>
    </r>
    <r>
      <rPr>
        <vertAlign val="subscript"/>
        <sz val="11"/>
        <color theme="1"/>
        <rFont val="Calibri"/>
        <family val="2"/>
        <charset val="238"/>
        <scheme val="minor"/>
      </rPr>
      <t>a min</t>
    </r>
    <r>
      <rPr>
        <sz val="11"/>
        <color theme="1"/>
        <rFont val="Calibri"/>
        <family val="2"/>
        <charset val="238"/>
        <scheme val="minor"/>
      </rPr>
      <t xml:space="preserve"> - minimalne ciśnienie napełniania [bar],</t>
    </r>
  </si>
  <si>
    <r>
      <t>p</t>
    </r>
    <r>
      <rPr>
        <vertAlign val="subscript"/>
        <sz val="11"/>
        <color theme="1"/>
        <rFont val="Calibri"/>
        <family val="2"/>
        <charset val="238"/>
        <scheme val="minor"/>
      </rPr>
      <t xml:space="preserve">a </t>
    </r>
    <r>
      <rPr>
        <sz val="11"/>
        <color theme="1"/>
        <rFont val="Calibri"/>
        <family val="2"/>
        <charset val="238"/>
        <scheme val="minor"/>
      </rPr>
      <t xml:space="preserve">= </t>
    </r>
  </si>
  <si>
    <t>pa</t>
  </si>
  <si>
    <t>pa*10</t>
  </si>
  <si>
    <t xml:space="preserve">o ciśnieniu nominalnym PN: </t>
  </si>
  <si>
    <r>
      <t>Ustawić ciśnienie wstępne (po stronie poduszki gazowej):     p</t>
    </r>
    <r>
      <rPr>
        <vertAlign val="subscript"/>
        <sz val="11"/>
        <color theme="1"/>
        <rFont val="Calibri"/>
        <family val="2"/>
        <charset val="238"/>
        <scheme val="minor"/>
      </rPr>
      <t>0</t>
    </r>
    <r>
      <rPr>
        <sz val="11"/>
        <color theme="1"/>
        <rFont val="Calibri"/>
        <family val="2"/>
        <charset val="238"/>
        <scheme val="minor"/>
      </rPr>
      <t>=</t>
    </r>
  </si>
  <si>
    <t>Zamontować zawór bezpieczeństwa o ciśnieniu:                     PSV=</t>
  </si>
  <si>
    <t>Konieczność zastosowania naczynia pośredniego:</t>
  </si>
  <si>
    <r>
      <t>V</t>
    </r>
    <r>
      <rPr>
        <vertAlign val="subscript"/>
        <sz val="11"/>
        <color theme="1"/>
        <rFont val="Calibri"/>
        <family val="2"/>
        <charset val="238"/>
        <scheme val="minor"/>
      </rPr>
      <t>n-poś</t>
    </r>
    <r>
      <rPr>
        <sz val="11"/>
        <color theme="1"/>
        <rFont val="Calibri"/>
        <family val="2"/>
        <charset val="238"/>
        <scheme val="minor"/>
      </rPr>
      <t>. -  minimalna wymagana objętość naczynia pośredniego [dm</t>
    </r>
    <r>
      <rPr>
        <vertAlign val="superscript"/>
        <sz val="11"/>
        <color theme="1"/>
        <rFont val="Calibri"/>
        <family val="2"/>
        <charset val="238"/>
        <scheme val="minor"/>
      </rPr>
      <t>3</t>
    </r>
    <r>
      <rPr>
        <sz val="11"/>
        <color theme="1"/>
        <rFont val="Calibri"/>
        <family val="2"/>
        <charset val="238"/>
        <scheme val="minor"/>
      </rPr>
      <t>],</t>
    </r>
  </si>
  <si>
    <r>
      <rPr>
        <sz val="11"/>
        <color theme="1"/>
        <rFont val="Times New Roman"/>
        <family val="1"/>
        <charset val="238"/>
      </rPr>
      <t>∆</t>
    </r>
    <r>
      <rPr>
        <sz val="11"/>
        <color theme="1"/>
        <rFont val="Calibri"/>
        <family val="2"/>
        <charset val="238"/>
      </rPr>
      <t>e -współczynnik rozszerzalność termicznej czynnika od temperatury 70</t>
    </r>
    <r>
      <rPr>
        <sz val="11"/>
        <color theme="1"/>
        <rFont val="Times New Roman"/>
        <family val="1"/>
        <charset val="238"/>
      </rPr>
      <t>˚</t>
    </r>
    <r>
      <rPr>
        <sz val="11"/>
        <color theme="1"/>
        <rFont val="Calibri"/>
        <family val="2"/>
        <charset val="238"/>
      </rPr>
      <t>C do temperatury T</t>
    </r>
    <r>
      <rPr>
        <vertAlign val="subscript"/>
        <sz val="11"/>
        <color theme="1"/>
        <rFont val="Calibri"/>
        <family val="2"/>
        <charset val="238"/>
      </rPr>
      <t>R</t>
    </r>
  </si>
  <si>
    <r>
      <t>V</t>
    </r>
    <r>
      <rPr>
        <vertAlign val="subscript"/>
        <sz val="11"/>
        <color theme="1"/>
        <rFont val="Calibri"/>
        <family val="2"/>
        <charset val="238"/>
        <scheme val="minor"/>
      </rPr>
      <t>a</t>
    </r>
    <r>
      <rPr>
        <sz val="11"/>
        <color theme="1"/>
        <rFont val="Calibri"/>
        <family val="2"/>
        <charset val="238"/>
        <scheme val="minor"/>
      </rPr>
      <t xml:space="preserve"> =</t>
    </r>
  </si>
  <si>
    <r>
      <rPr>
        <sz val="11"/>
        <color theme="1"/>
        <rFont val="Times New Roman"/>
        <family val="1"/>
        <charset val="238"/>
      </rPr>
      <t>∆</t>
    </r>
    <r>
      <rPr>
        <sz val="11"/>
        <color theme="1"/>
        <rFont val="Calibri"/>
        <family val="2"/>
        <charset val="238"/>
      </rPr>
      <t>e =</t>
    </r>
  </si>
  <si>
    <t>DG 700.10</t>
  </si>
  <si>
    <t>DG 700.6</t>
  </si>
  <si>
    <t>DG 300.10</t>
  </si>
  <si>
    <t>DG 500.10</t>
  </si>
  <si>
    <t>DG 300.16</t>
  </si>
  <si>
    <t>DG 500.16</t>
  </si>
  <si>
    <t>DG 700.16</t>
  </si>
  <si>
    <t xml:space="preserve">DD 8.10  </t>
  </si>
  <si>
    <t>DD 12.10</t>
  </si>
  <si>
    <t>DD 18.10</t>
  </si>
  <si>
    <t>DD 25.10</t>
  </si>
  <si>
    <t>DD 35.10</t>
  </si>
  <si>
    <t>DD 50.10</t>
  </si>
  <si>
    <t>DD 80.10</t>
  </si>
  <si>
    <t>DU 140.6</t>
  </si>
  <si>
    <t>DU 200.6</t>
  </si>
  <si>
    <t>DU 300.6</t>
  </si>
  <si>
    <t>DU 400.6</t>
  </si>
  <si>
    <t>DU 500.6</t>
  </si>
  <si>
    <t>DU 600.6</t>
  </si>
  <si>
    <t>DU 200.10</t>
  </si>
  <si>
    <t>DU 300.10</t>
  </si>
  <si>
    <t>DU 500.10</t>
  </si>
  <si>
    <t>DG 1000.6</t>
  </si>
  <si>
    <t>DG 1500.6</t>
  </si>
  <si>
    <t>DG 2000.6</t>
  </si>
  <si>
    <t>DG 3000.6</t>
  </si>
  <si>
    <t>DG 4000.6</t>
  </si>
  <si>
    <t>DG 5000.6</t>
  </si>
  <si>
    <t>DG 1000.16</t>
  </si>
  <si>
    <t>DG 1500.16</t>
  </si>
  <si>
    <t>DG 2000.16</t>
  </si>
  <si>
    <t>DG 3000.16</t>
  </si>
  <si>
    <t>DG 4000.16</t>
  </si>
  <si>
    <t>DG 5000.16</t>
  </si>
  <si>
    <t>DG 1000.10</t>
  </si>
  <si>
    <t>DG 1500.10</t>
  </si>
  <si>
    <t>DG 2000.10</t>
  </si>
  <si>
    <t>DG 3000.10</t>
  </si>
  <si>
    <t>DG 4000.10</t>
  </si>
  <si>
    <t>DG 5000.10</t>
  </si>
  <si>
    <t>nie dotyczy</t>
  </si>
  <si>
    <t>Na podstawie wykonanych obliczeń dobiera się naczynia pośrednie w następującej ilości:</t>
  </si>
  <si>
    <t>Wybierz naczynie pośrednie z listy o objetości conajmnej wartości oblieczniowej</t>
  </si>
  <si>
    <t>[mm]</t>
  </si>
  <si>
    <t>kW</t>
  </si>
  <si>
    <r>
      <t>d</t>
    </r>
    <r>
      <rPr>
        <vertAlign val="subscript"/>
        <sz val="11"/>
        <color theme="1"/>
        <rFont val="Calibri"/>
        <family val="2"/>
        <charset val="238"/>
        <scheme val="minor"/>
      </rPr>
      <t>rw</t>
    </r>
    <r>
      <rPr>
        <sz val="11"/>
        <color theme="1"/>
        <rFont val="Calibri"/>
        <family val="2"/>
        <charset val="238"/>
        <scheme val="minor"/>
      </rPr>
      <t xml:space="preserve"> =</t>
    </r>
  </si>
  <si>
    <t>mm</t>
  </si>
  <si>
    <r>
      <t>d</t>
    </r>
    <r>
      <rPr>
        <vertAlign val="subscript"/>
        <sz val="11"/>
        <color theme="1"/>
        <rFont val="Calibri"/>
        <family val="2"/>
        <charset val="238"/>
        <scheme val="minor"/>
      </rPr>
      <t>rw</t>
    </r>
    <r>
      <rPr>
        <sz val="11"/>
        <color theme="1"/>
        <rFont val="Calibri"/>
        <family val="2"/>
        <charset val="238"/>
        <scheme val="minor"/>
      </rPr>
      <t xml:space="preserve"> - wymagana średnica wewnętrzna rury wzbiorczej [mm],</t>
    </r>
  </si>
  <si>
    <t>Wymagana średnica wewnętrzna rury wzbiorczej:</t>
  </si>
  <si>
    <t>drw=</t>
  </si>
  <si>
    <t>Zestawienie dobranych elementów:</t>
  </si>
  <si>
    <t>Typ:</t>
  </si>
  <si>
    <t>Ilość:</t>
  </si>
  <si>
    <t>Nr artykułu:</t>
  </si>
  <si>
    <t>DLV 20</t>
  </si>
  <si>
    <t>DLV 25</t>
  </si>
  <si>
    <t>typ=</t>
  </si>
  <si>
    <t>nr=</t>
  </si>
  <si>
    <t>Pobierz kartę katalogową:</t>
  </si>
  <si>
    <t>Statico</t>
  </si>
  <si>
    <t>Akcesoria</t>
  </si>
  <si>
    <t>Pobierz</t>
  </si>
  <si>
    <r>
      <t>dm</t>
    </r>
    <r>
      <rPr>
        <vertAlign val="superscript"/>
        <sz val="11"/>
        <color theme="1"/>
        <rFont val="Calibri"/>
        <family val="2"/>
        <charset val="238"/>
        <scheme val="minor"/>
      </rPr>
      <t>3</t>
    </r>
  </si>
  <si>
    <t>[m]</t>
  </si>
  <si>
    <t xml:space="preserve">Wymagana minimalna objętość naczynia wzbiorczego z uwzględnieniem rezerwy eksploatacyjnej: </t>
  </si>
  <si>
    <r>
      <t>V</t>
    </r>
    <r>
      <rPr>
        <vertAlign val="subscript"/>
        <sz val="11"/>
        <color theme="1"/>
        <rFont val="Calibri"/>
        <family val="2"/>
        <charset val="238"/>
        <scheme val="minor"/>
      </rPr>
      <t>nR</t>
    </r>
    <r>
      <rPr>
        <sz val="11"/>
        <color theme="1"/>
        <rFont val="Calibri"/>
        <family val="2"/>
        <charset val="238"/>
        <scheme val="minor"/>
      </rPr>
      <t xml:space="preserve"> - minimalna wymagana sumaryczna objętość naczyń wzbiorczych [dm</t>
    </r>
    <r>
      <rPr>
        <vertAlign val="superscript"/>
        <sz val="11"/>
        <color theme="1"/>
        <rFont val="Calibri"/>
        <family val="2"/>
        <charset val="238"/>
        <scheme val="minor"/>
      </rPr>
      <t>3</t>
    </r>
    <r>
      <rPr>
        <sz val="11"/>
        <color theme="1"/>
        <rFont val="Calibri"/>
        <family val="2"/>
        <charset val="238"/>
        <scheme val="minor"/>
      </rPr>
      <t>],</t>
    </r>
  </si>
  <si>
    <r>
      <t>V</t>
    </r>
    <r>
      <rPr>
        <vertAlign val="subscript"/>
        <sz val="11"/>
        <color theme="1"/>
        <rFont val="Calibri"/>
        <family val="2"/>
        <charset val="238"/>
        <scheme val="minor"/>
      </rPr>
      <t>uR</t>
    </r>
    <r>
      <rPr>
        <sz val="11"/>
        <color theme="1"/>
        <rFont val="Calibri"/>
        <family val="2"/>
        <charset val="238"/>
        <scheme val="minor"/>
      </rPr>
      <t xml:space="preserve"> - użytkowa pojemność naczynia z uwzględnieniem rezerwy [dm</t>
    </r>
    <r>
      <rPr>
        <vertAlign val="superscript"/>
        <sz val="11"/>
        <color theme="1"/>
        <rFont val="Calibri"/>
        <family val="2"/>
        <charset val="238"/>
        <scheme val="minor"/>
      </rPr>
      <t>3</t>
    </r>
    <r>
      <rPr>
        <sz val="11"/>
        <color theme="1"/>
        <rFont val="Calibri"/>
        <family val="2"/>
        <charset val="238"/>
        <scheme val="minor"/>
      </rPr>
      <t>],</t>
    </r>
  </si>
  <si>
    <r>
      <t>p</t>
    </r>
    <r>
      <rPr>
        <vertAlign val="subscript"/>
        <sz val="11"/>
        <color theme="1"/>
        <rFont val="Calibri"/>
        <family val="2"/>
        <charset val="238"/>
        <scheme val="minor"/>
      </rPr>
      <t xml:space="preserve">max </t>
    </r>
    <r>
      <rPr>
        <sz val="11"/>
        <color theme="1"/>
        <rFont val="Calibri"/>
        <family val="2"/>
        <charset val="238"/>
        <scheme val="minor"/>
      </rPr>
      <t>- maksymalne obliczeniowe ciśnienie w naczyniu [bar],</t>
    </r>
  </si>
  <si>
    <r>
      <t>p</t>
    </r>
    <r>
      <rPr>
        <vertAlign val="subscript"/>
        <sz val="11"/>
        <color theme="1"/>
        <rFont val="Calibri"/>
        <family val="2"/>
        <charset val="238"/>
        <scheme val="minor"/>
      </rPr>
      <t>R</t>
    </r>
    <r>
      <rPr>
        <sz val="11"/>
        <color theme="1"/>
        <rFont val="Calibri"/>
        <family val="2"/>
        <charset val="238"/>
        <scheme val="minor"/>
      </rPr>
      <t xml:space="preserve"> - ciśnienie wstępne pracy instalacji [bar], </t>
    </r>
  </si>
  <si>
    <r>
      <t>V</t>
    </r>
    <r>
      <rPr>
        <vertAlign val="subscript"/>
        <sz val="11"/>
        <color theme="1"/>
        <rFont val="Calibri"/>
        <family val="2"/>
        <charset val="238"/>
        <scheme val="minor"/>
      </rPr>
      <t>u</t>
    </r>
    <r>
      <rPr>
        <sz val="11"/>
        <color theme="1"/>
        <rFont val="Calibri"/>
        <family val="2"/>
        <charset val="238"/>
        <scheme val="minor"/>
      </rPr>
      <t xml:space="preserve"> - użytkowa pojemność naczynia bez uwzględnienia rezerwy eksploatacyjnej [dm</t>
    </r>
    <r>
      <rPr>
        <vertAlign val="superscript"/>
        <sz val="11"/>
        <color theme="1"/>
        <rFont val="Calibri"/>
        <family val="2"/>
        <charset val="238"/>
        <scheme val="minor"/>
      </rPr>
      <t>3</t>
    </r>
    <r>
      <rPr>
        <sz val="11"/>
        <color theme="1"/>
        <rFont val="Calibri"/>
        <family val="2"/>
        <charset val="238"/>
        <scheme val="minor"/>
      </rPr>
      <t>],</t>
    </r>
  </si>
  <si>
    <r>
      <rPr>
        <sz val="11"/>
        <color theme="1"/>
        <rFont val="Times New Roman"/>
        <family val="1"/>
        <charset val="238"/>
      </rPr>
      <t>ρ</t>
    </r>
    <r>
      <rPr>
        <vertAlign val="subscript"/>
        <sz val="11"/>
        <color theme="1"/>
        <rFont val="Calibri"/>
        <family val="2"/>
        <charset val="238"/>
      </rPr>
      <t>1</t>
    </r>
    <r>
      <rPr>
        <sz val="11"/>
        <color theme="1"/>
        <rFont val="Calibri"/>
        <family val="2"/>
        <charset val="238"/>
        <scheme val="minor"/>
      </rPr>
      <t xml:space="preserve"> - gęstość wody instalacyjnej w temperaturze początkowej t</t>
    </r>
    <r>
      <rPr>
        <vertAlign val="subscript"/>
        <sz val="11"/>
        <color theme="1"/>
        <rFont val="Calibri"/>
        <family val="2"/>
        <charset val="238"/>
        <scheme val="minor"/>
      </rPr>
      <t>1</t>
    </r>
    <r>
      <rPr>
        <sz val="11"/>
        <color theme="1"/>
        <rFont val="Calibri"/>
        <family val="2"/>
        <charset val="238"/>
        <scheme val="minor"/>
      </rPr>
      <t xml:space="preserve"> [kg/m</t>
    </r>
    <r>
      <rPr>
        <vertAlign val="superscript"/>
        <sz val="11"/>
        <color theme="1"/>
        <rFont val="Calibri"/>
        <family val="2"/>
        <charset val="238"/>
        <scheme val="minor"/>
      </rPr>
      <t>3</t>
    </r>
    <r>
      <rPr>
        <sz val="11"/>
        <color theme="1"/>
        <rFont val="Calibri"/>
        <family val="2"/>
        <charset val="238"/>
        <scheme val="minor"/>
      </rPr>
      <t>],</t>
    </r>
  </si>
  <si>
    <r>
      <t>V - pojemność całkowita instalacji [m</t>
    </r>
    <r>
      <rPr>
        <vertAlign val="superscript"/>
        <sz val="11"/>
        <color theme="1"/>
        <rFont val="Calibri"/>
        <family val="2"/>
        <charset val="238"/>
        <scheme val="minor"/>
      </rPr>
      <t>3</t>
    </r>
    <r>
      <rPr>
        <sz val="11"/>
        <color theme="1"/>
        <rFont val="Calibri"/>
        <family val="2"/>
        <charset val="238"/>
        <scheme val="minor"/>
      </rPr>
      <t>],</t>
    </r>
  </si>
  <si>
    <r>
      <t>V</t>
    </r>
    <r>
      <rPr>
        <vertAlign val="subscript"/>
        <sz val="11"/>
        <color theme="1"/>
        <rFont val="Calibri"/>
        <family val="2"/>
        <charset val="238"/>
        <scheme val="minor"/>
      </rPr>
      <t xml:space="preserve"> </t>
    </r>
    <r>
      <rPr>
        <sz val="11"/>
        <color theme="1"/>
        <rFont val="Calibri"/>
        <family val="2"/>
        <charset val="238"/>
        <scheme val="minor"/>
      </rPr>
      <t>=</t>
    </r>
  </si>
  <si>
    <r>
      <rPr>
        <sz val="11"/>
        <color theme="1"/>
        <rFont val="Times New Roman"/>
        <family val="1"/>
        <charset val="238"/>
      </rPr>
      <t>ρ</t>
    </r>
    <r>
      <rPr>
        <vertAlign val="subscript"/>
        <sz val="11"/>
        <color theme="1"/>
        <rFont val="Calibri"/>
        <family val="2"/>
        <charset val="238"/>
      </rPr>
      <t>1</t>
    </r>
    <r>
      <rPr>
        <sz val="11"/>
        <color theme="1"/>
        <rFont val="Calibri"/>
        <family val="2"/>
        <charset val="238"/>
        <scheme val="minor"/>
      </rPr>
      <t xml:space="preserve"> =</t>
    </r>
  </si>
  <si>
    <r>
      <rPr>
        <sz val="11"/>
        <color theme="1"/>
        <rFont val="Times New Roman"/>
        <family val="1"/>
        <charset val="238"/>
      </rPr>
      <t>∆</t>
    </r>
    <r>
      <rPr>
        <sz val="11"/>
        <color theme="1"/>
        <rFont val="Calibri"/>
        <family val="2"/>
        <charset val="238"/>
      </rPr>
      <t>V=</t>
    </r>
  </si>
  <si>
    <r>
      <t>V</t>
    </r>
    <r>
      <rPr>
        <vertAlign val="subscript"/>
        <sz val="11"/>
        <color theme="1"/>
        <rFont val="Calibri"/>
        <family val="2"/>
        <charset val="238"/>
        <scheme val="minor"/>
      </rPr>
      <t xml:space="preserve">u </t>
    </r>
    <r>
      <rPr>
        <sz val="11"/>
        <color theme="1"/>
        <rFont val="Calibri"/>
        <family val="2"/>
        <charset val="238"/>
        <scheme val="minor"/>
      </rPr>
      <t>=</t>
    </r>
  </si>
  <si>
    <r>
      <t>[kg/m</t>
    </r>
    <r>
      <rPr>
        <vertAlign val="superscript"/>
        <sz val="11"/>
        <color theme="1"/>
        <rFont val="Calibri"/>
        <family val="2"/>
        <charset val="238"/>
        <scheme val="minor"/>
      </rPr>
      <t>3</t>
    </r>
    <r>
      <rPr>
        <sz val="11"/>
        <color theme="1"/>
        <rFont val="Calibri"/>
        <family val="2"/>
        <charset val="238"/>
        <scheme val="minor"/>
      </rPr>
      <t>]</t>
    </r>
  </si>
  <si>
    <r>
      <t>[dm</t>
    </r>
    <r>
      <rPr>
        <vertAlign val="superscript"/>
        <sz val="11"/>
        <color theme="1"/>
        <rFont val="Calibri"/>
        <family val="2"/>
        <charset val="238"/>
        <scheme val="minor"/>
      </rPr>
      <t>3</t>
    </r>
    <r>
      <rPr>
        <sz val="11"/>
        <color theme="1"/>
        <rFont val="Calibri"/>
        <family val="2"/>
        <charset val="238"/>
        <scheme val="minor"/>
      </rPr>
      <t>/kg]</t>
    </r>
  </si>
  <si>
    <r>
      <t>[m</t>
    </r>
    <r>
      <rPr>
        <vertAlign val="superscript"/>
        <sz val="11"/>
        <color theme="1"/>
        <rFont val="Calibri"/>
        <family val="2"/>
        <charset val="238"/>
        <scheme val="minor"/>
      </rPr>
      <t>3</t>
    </r>
    <r>
      <rPr>
        <sz val="11"/>
        <color theme="1"/>
        <rFont val="Calibri"/>
        <family val="2"/>
        <charset val="238"/>
        <scheme val="minor"/>
      </rPr>
      <t>]</t>
    </r>
  </si>
  <si>
    <t>1. Określenie użytkowej pojemności naczynia wzbiorczego bez uwzględnienia rezerwy eksploatacyjnej</t>
  </si>
  <si>
    <r>
      <t>V</t>
    </r>
    <r>
      <rPr>
        <vertAlign val="subscript"/>
        <sz val="11"/>
        <color theme="1"/>
        <rFont val="Calibri"/>
        <family val="2"/>
        <charset val="238"/>
        <scheme val="minor"/>
      </rPr>
      <t>u</t>
    </r>
    <r>
      <rPr>
        <sz val="11"/>
        <color theme="1"/>
        <rFont val="Calibri"/>
        <family val="2"/>
        <charset val="238"/>
        <scheme val="minor"/>
      </rPr>
      <t xml:space="preserve"> - użytkowa pojemność naczynia bez uwzglęnienia rezerwy eksploatacyjnej [dm</t>
    </r>
    <r>
      <rPr>
        <vertAlign val="superscript"/>
        <sz val="11"/>
        <color theme="1"/>
        <rFont val="Calibri"/>
        <family val="2"/>
        <charset val="238"/>
        <scheme val="minor"/>
      </rPr>
      <t>3</t>
    </r>
    <r>
      <rPr>
        <sz val="11"/>
        <color theme="1"/>
        <rFont val="Calibri"/>
        <family val="2"/>
        <charset val="238"/>
        <scheme val="minor"/>
      </rPr>
      <t>],</t>
    </r>
  </si>
  <si>
    <r>
      <t>p</t>
    </r>
    <r>
      <rPr>
        <vertAlign val="subscript"/>
        <sz val="11"/>
        <color theme="1"/>
        <rFont val="Calibri"/>
        <family val="2"/>
        <charset val="238"/>
        <scheme val="minor"/>
      </rPr>
      <t>max</t>
    </r>
    <r>
      <rPr>
        <sz val="11"/>
        <color theme="1"/>
        <rFont val="Calibri"/>
        <family val="2"/>
        <charset val="238"/>
        <scheme val="minor"/>
      </rPr>
      <t xml:space="preserve"> - maksymalne obliczeniowe ciśnienie w naczyniu [bar],</t>
    </r>
  </si>
  <si>
    <r>
      <t>V</t>
    </r>
    <r>
      <rPr>
        <vertAlign val="subscript"/>
        <sz val="11"/>
        <color theme="1"/>
        <rFont val="Calibri"/>
        <family val="2"/>
        <charset val="238"/>
        <scheme val="minor"/>
      </rPr>
      <t>n</t>
    </r>
    <r>
      <rPr>
        <sz val="11"/>
        <color theme="1"/>
        <rFont val="Calibri"/>
        <family val="2"/>
        <charset val="238"/>
        <scheme val="minor"/>
      </rPr>
      <t xml:space="preserve"> - minimalna objętość naczynia wzbiorczego bez uwzględnienia rezerwy eksploatacyjnej [dm</t>
    </r>
    <r>
      <rPr>
        <vertAlign val="superscript"/>
        <sz val="11"/>
        <color theme="1"/>
        <rFont val="Calibri"/>
        <family val="2"/>
        <charset val="238"/>
        <scheme val="minor"/>
      </rPr>
      <t>3</t>
    </r>
    <r>
      <rPr>
        <sz val="11"/>
        <color theme="1"/>
        <rFont val="Calibri"/>
        <family val="2"/>
        <charset val="238"/>
        <scheme val="minor"/>
      </rPr>
      <t>],</t>
    </r>
  </si>
  <si>
    <t>p - ciśnienie wstępne w naczyniu [bar]</t>
  </si>
  <si>
    <t>2. Określenie ciśnienia wstępnego - po stronie poduszki gazowej.</t>
  </si>
  <si>
    <r>
      <t>p</t>
    </r>
    <r>
      <rPr>
        <sz val="11"/>
        <color theme="1"/>
        <rFont val="Calibri"/>
        <family val="2"/>
        <charset val="238"/>
        <scheme val="minor"/>
      </rPr>
      <t xml:space="preserve"> - wartość ciśnienia wstępnego - po stronie poduszki gazowej [bar],</t>
    </r>
  </si>
  <si>
    <t>p =</t>
  </si>
  <si>
    <r>
      <t>p</t>
    </r>
    <r>
      <rPr>
        <vertAlign val="subscript"/>
        <sz val="11"/>
        <color theme="1"/>
        <rFont val="Calibri"/>
        <family val="2"/>
        <charset val="238"/>
        <scheme val="minor"/>
      </rPr>
      <t>max</t>
    </r>
    <r>
      <rPr>
        <sz val="11"/>
        <color theme="1"/>
        <rFont val="Calibri"/>
        <family val="2"/>
        <charset val="238"/>
        <scheme val="minor"/>
      </rPr>
      <t xml:space="preserve"> - ciśnienie końcowe instalacji (robocze dla T</t>
    </r>
    <r>
      <rPr>
        <vertAlign val="subscript"/>
        <sz val="11"/>
        <color theme="1"/>
        <rFont val="Calibri"/>
        <family val="2"/>
        <charset val="238"/>
        <scheme val="minor"/>
      </rPr>
      <t>max</t>
    </r>
    <r>
      <rPr>
        <sz val="11"/>
        <color theme="1"/>
        <rFont val="Calibri"/>
        <family val="2"/>
        <charset val="238"/>
        <scheme val="minor"/>
      </rPr>
      <t xml:space="preserve">) [bar], </t>
    </r>
  </si>
  <si>
    <r>
      <t>p</t>
    </r>
    <r>
      <rPr>
        <vertAlign val="subscript"/>
        <sz val="11"/>
        <color theme="1"/>
        <rFont val="Calibri"/>
        <family val="2"/>
        <charset val="238"/>
        <scheme val="minor"/>
      </rPr>
      <t xml:space="preserve">max </t>
    </r>
    <r>
      <rPr>
        <sz val="11"/>
        <color theme="1"/>
        <rFont val="Calibri"/>
        <family val="2"/>
        <charset val="238"/>
        <scheme val="minor"/>
      </rPr>
      <t>=</t>
    </r>
  </si>
  <si>
    <r>
      <t>3. Określenie ciśnienia końcowego instalacji -  (robocze dla T</t>
    </r>
    <r>
      <rPr>
        <b/>
        <vertAlign val="subscript"/>
        <sz val="11"/>
        <color theme="1"/>
        <rFont val="Calibri"/>
        <family val="2"/>
        <charset val="238"/>
        <scheme val="minor"/>
      </rPr>
      <t>max</t>
    </r>
    <r>
      <rPr>
        <b/>
        <sz val="11"/>
        <color theme="1"/>
        <rFont val="Calibri"/>
        <family val="2"/>
        <charset val="238"/>
        <scheme val="minor"/>
      </rPr>
      <t>).</t>
    </r>
  </si>
  <si>
    <t>4. Określenie minimalnej objętości naczynia wzbiorczego bez uwzględnienia rezerwy eksploatacyjnej</t>
  </si>
  <si>
    <r>
      <t>V</t>
    </r>
    <r>
      <rPr>
        <vertAlign val="subscript"/>
        <sz val="11"/>
        <color theme="1"/>
        <rFont val="Calibri"/>
        <family val="2"/>
        <charset val="238"/>
        <scheme val="minor"/>
      </rPr>
      <t>n</t>
    </r>
    <r>
      <rPr>
        <sz val="11"/>
        <color theme="1"/>
        <rFont val="Calibri"/>
        <family val="2"/>
        <charset val="238"/>
        <scheme val="minor"/>
      </rPr>
      <t xml:space="preserve"> =</t>
    </r>
  </si>
  <si>
    <t>5. Określenie użytkowej pojemności naczynia wzbiorczego z rezerwą eksploatacyjną.</t>
  </si>
  <si>
    <r>
      <t>V</t>
    </r>
    <r>
      <rPr>
        <vertAlign val="subscript"/>
        <sz val="11"/>
        <color theme="1"/>
        <rFont val="Calibri"/>
        <family val="2"/>
        <charset val="238"/>
        <scheme val="minor"/>
      </rPr>
      <t>uR</t>
    </r>
    <r>
      <rPr>
        <sz val="11"/>
        <color theme="1"/>
        <rFont val="Calibri"/>
        <family val="2"/>
        <charset val="238"/>
        <scheme val="minor"/>
      </rPr>
      <t xml:space="preserve"> - użytkowa pojemność naczynia wzbiorczego z rezerwą eksploatacyjną [dm</t>
    </r>
    <r>
      <rPr>
        <vertAlign val="superscript"/>
        <sz val="11"/>
        <color theme="1"/>
        <rFont val="Calibri"/>
        <family val="2"/>
        <charset val="238"/>
        <scheme val="minor"/>
      </rPr>
      <t>3</t>
    </r>
    <r>
      <rPr>
        <sz val="11"/>
        <color theme="1"/>
        <rFont val="Calibri"/>
        <family val="2"/>
        <charset val="238"/>
        <scheme val="minor"/>
      </rPr>
      <t>],</t>
    </r>
  </si>
  <si>
    <t>E - ubytki eksploatacyjne wody instalacyjnej między uzupełnieniami [%]</t>
  </si>
  <si>
    <t>E =</t>
  </si>
  <si>
    <t>[%]</t>
  </si>
  <si>
    <r>
      <t>V</t>
    </r>
    <r>
      <rPr>
        <vertAlign val="subscript"/>
        <sz val="11"/>
        <color theme="1"/>
        <rFont val="Calibri"/>
        <family val="2"/>
        <charset val="238"/>
        <scheme val="minor"/>
      </rPr>
      <t>uR</t>
    </r>
    <r>
      <rPr>
        <sz val="11"/>
        <color theme="1"/>
        <rFont val="Calibri"/>
        <family val="2"/>
        <charset val="238"/>
        <scheme val="minor"/>
      </rPr>
      <t xml:space="preserve"> =</t>
    </r>
  </si>
  <si>
    <t>6. Określenie ciśnienia wstępnego pracy instalacji.</t>
  </si>
  <si>
    <r>
      <t>p</t>
    </r>
    <r>
      <rPr>
        <vertAlign val="subscript"/>
        <sz val="11"/>
        <color theme="1"/>
        <rFont val="Calibri"/>
        <family val="2"/>
        <charset val="238"/>
        <scheme val="minor"/>
      </rPr>
      <t>R</t>
    </r>
    <r>
      <rPr>
        <sz val="11"/>
        <color theme="1"/>
        <rFont val="Calibri"/>
        <family val="2"/>
        <charset val="238"/>
        <scheme val="minor"/>
      </rPr>
      <t xml:space="preserve"> - ciśnienie wstępne pracy instalacji [bar],</t>
    </r>
  </si>
  <si>
    <r>
      <t>p</t>
    </r>
    <r>
      <rPr>
        <vertAlign val="subscript"/>
        <sz val="11"/>
        <color theme="1"/>
        <rFont val="Calibri"/>
        <family val="2"/>
        <charset val="238"/>
        <scheme val="minor"/>
      </rPr>
      <t>R</t>
    </r>
    <r>
      <rPr>
        <sz val="11"/>
        <color theme="1"/>
        <rFont val="Calibri"/>
        <family val="2"/>
        <charset val="238"/>
        <scheme val="minor"/>
      </rPr>
      <t xml:space="preserve"> =</t>
    </r>
  </si>
  <si>
    <t xml:space="preserve">7. Określenie minimalnej objętości naczynia wzbiorczego z uwzględnieniem rezerwy eksploatacyjnej: </t>
  </si>
  <si>
    <r>
      <t>V</t>
    </r>
    <r>
      <rPr>
        <vertAlign val="subscript"/>
        <sz val="11"/>
        <color theme="1"/>
        <rFont val="Calibri"/>
        <family val="2"/>
        <charset val="238"/>
        <scheme val="minor"/>
      </rPr>
      <t>nR,min</t>
    </r>
    <r>
      <rPr>
        <sz val="11"/>
        <color theme="1"/>
        <rFont val="Calibri"/>
        <family val="2"/>
        <charset val="238"/>
        <scheme val="minor"/>
      </rPr>
      <t xml:space="preserve"> - minimalna wymagana sumaryczna objętość naczyń wzbiorczych [dm</t>
    </r>
    <r>
      <rPr>
        <vertAlign val="superscript"/>
        <sz val="11"/>
        <color theme="1"/>
        <rFont val="Calibri"/>
        <family val="2"/>
        <charset val="238"/>
        <scheme val="minor"/>
      </rPr>
      <t>3</t>
    </r>
    <r>
      <rPr>
        <sz val="11"/>
        <color theme="1"/>
        <rFont val="Calibri"/>
        <family val="2"/>
        <charset val="238"/>
        <scheme val="minor"/>
      </rPr>
      <t>],</t>
    </r>
  </si>
  <si>
    <r>
      <t>V</t>
    </r>
    <r>
      <rPr>
        <vertAlign val="subscript"/>
        <sz val="11"/>
        <color theme="1"/>
        <rFont val="Calibri"/>
        <family val="2"/>
        <charset val="238"/>
        <scheme val="minor"/>
      </rPr>
      <t xml:space="preserve">nR,min </t>
    </r>
    <r>
      <rPr>
        <sz val="11"/>
        <color theme="1"/>
        <rFont val="Calibri"/>
        <family val="2"/>
        <charset val="238"/>
        <scheme val="minor"/>
      </rPr>
      <t>=</t>
    </r>
  </si>
  <si>
    <r>
      <t>V</t>
    </r>
    <r>
      <rPr>
        <vertAlign val="subscript"/>
        <sz val="11"/>
        <color theme="1"/>
        <rFont val="Calibri"/>
        <family val="2"/>
        <charset val="238"/>
        <scheme val="minor"/>
      </rPr>
      <t>nR,min</t>
    </r>
  </si>
  <si>
    <r>
      <t>d</t>
    </r>
    <r>
      <rPr>
        <sz val="11"/>
        <color theme="1"/>
        <rFont val="Calibri"/>
        <family val="2"/>
        <charset val="238"/>
        <scheme val="minor"/>
      </rPr>
      <t xml:space="preserve"> - wymagana średnica wewnętrzna rury wzbiorczej [mm],</t>
    </r>
  </si>
  <si>
    <t>d =</t>
  </si>
  <si>
    <t>d=</t>
  </si>
  <si>
    <t>Df=</t>
  </si>
  <si>
    <r>
      <t>p</t>
    </r>
    <r>
      <rPr>
        <vertAlign val="subscript"/>
        <sz val="11"/>
        <color theme="1"/>
        <rFont val="Calibri"/>
        <family val="2"/>
        <charset val="238"/>
        <scheme val="minor"/>
      </rPr>
      <t xml:space="preserve"> </t>
    </r>
    <r>
      <rPr>
        <sz val="11"/>
        <color theme="1"/>
        <rFont val="Calibri"/>
        <family val="2"/>
        <charset val="238"/>
        <scheme val="minor"/>
      </rPr>
      <t>=</t>
    </r>
  </si>
  <si>
    <r>
      <t>p</t>
    </r>
    <r>
      <rPr>
        <vertAlign val="subscript"/>
        <sz val="11"/>
        <color theme="1"/>
        <rFont val="Calibri"/>
        <family val="2"/>
        <charset val="238"/>
        <scheme val="minor"/>
      </rPr>
      <t xml:space="preserve">R </t>
    </r>
    <r>
      <rPr>
        <sz val="11"/>
        <color theme="1"/>
        <rFont val="Calibri"/>
        <family val="2"/>
        <charset val="238"/>
        <scheme val="minor"/>
      </rPr>
      <t xml:space="preserve">= </t>
    </r>
  </si>
  <si>
    <r>
      <t>Ustawić ciśnienie wstępne (po stronie poduszki gazowej):     p</t>
    </r>
    <r>
      <rPr>
        <sz val="11"/>
        <color theme="1"/>
        <rFont val="Calibri"/>
        <family val="2"/>
        <charset val="238"/>
        <scheme val="minor"/>
      </rPr>
      <t>=</t>
    </r>
  </si>
  <si>
    <t>Compresso C</t>
  </si>
  <si>
    <t>Sélection I Proof de performance</t>
  </si>
  <si>
    <t>For internal use only!</t>
  </si>
  <si>
    <t>Observe the indications in Pinfo 16.2005 !</t>
  </si>
  <si>
    <t>• Input</t>
  </si>
  <si>
    <t>• Safety temperature limiter</t>
  </si>
  <si>
    <t>TAZ</t>
  </si>
  <si>
    <t>Compresso C standard only for TAZ&lt;= 110°C</t>
  </si>
  <si>
    <t>• Maximum system temperature</t>
  </si>
  <si>
    <t>tmax</t>
  </si>
  <si>
    <t>• Power of heat generator</t>
  </si>
  <si>
    <t>Q</t>
  </si>
  <si>
    <t>• Static head</t>
  </si>
  <si>
    <r>
      <t>H</t>
    </r>
    <r>
      <rPr>
        <vertAlign val="subscript"/>
        <sz val="14"/>
        <rFont val="Arial"/>
        <family val="2"/>
      </rPr>
      <t>ST</t>
    </r>
  </si>
  <si>
    <t>• addition of antifreeze</t>
  </si>
  <si>
    <t>Z</t>
  </si>
  <si>
    <t>• Output</t>
  </si>
  <si>
    <t>• Evaporation pressure</t>
  </si>
  <si>
    <r>
      <t>p</t>
    </r>
    <r>
      <rPr>
        <vertAlign val="subscript"/>
        <sz val="14"/>
        <rFont val="Arial"/>
        <family val="2"/>
      </rPr>
      <t>D</t>
    </r>
  </si>
  <si>
    <t>• Minimal pressure, BrainCube calculation</t>
  </si>
  <si>
    <t>P0</t>
  </si>
  <si>
    <t>BrainCube calculation, display Anzeiege im Info-Menü</t>
  </si>
  <si>
    <t>• Preset pressure, Inlet valve open for outside air supply</t>
  </si>
  <si>
    <t>BrainCube calculation</t>
  </si>
  <si>
    <t>• Compressor off, relief valve closed</t>
  </si>
  <si>
    <t>Pman</t>
  </si>
  <si>
    <t>• Final pressure, relief valve open</t>
  </si>
  <si>
    <t>pe</t>
  </si>
  <si>
    <t>• Specific flowrate of equalization volume</t>
  </si>
  <si>
    <r>
      <t>v</t>
    </r>
    <r>
      <rPr>
        <vertAlign val="subscript"/>
        <sz val="14"/>
        <rFont val="Arial"/>
        <family val="2"/>
      </rPr>
      <t>D</t>
    </r>
  </si>
  <si>
    <t>l/kWh</t>
  </si>
  <si>
    <t>• Necessary flowrate of equalization volume</t>
  </si>
  <si>
    <r>
      <t>V</t>
    </r>
    <r>
      <rPr>
        <vertAlign val="subscript"/>
        <sz val="14"/>
        <rFont val="Arial"/>
        <family val="2"/>
      </rPr>
      <t>D</t>
    </r>
  </si>
  <si>
    <t>l/h</t>
  </si>
  <si>
    <t>• Necessary power compressor I discharger</t>
  </si>
  <si>
    <t>Vp</t>
  </si>
  <si>
    <t>Nm3/h</t>
  </si>
  <si>
    <t>Auswahl I Leistungsdaten</t>
  </si>
  <si>
    <t>nur für den internen Gebrauch!</t>
  </si>
  <si>
    <t>Hinweise Pinfo 16_2005 beachten!</t>
  </si>
  <si>
    <t>•Formeln Kennlinien</t>
  </si>
  <si>
    <t>C10.1</t>
  </si>
  <si>
    <t>P0=1140*VD^(-0.87)-(VD/1000)^2/3.5^2-0.5 für 2215&gt;=VD&gt;458; P0=5.0 für VD&lt;=458; P0 = 0 für VD&gt;2215</t>
  </si>
  <si>
    <r>
      <t>P</t>
    </r>
    <r>
      <rPr>
        <sz val="10"/>
        <color indexed="10"/>
        <rFont val="Arial"/>
        <family val="2"/>
      </rPr>
      <t>man</t>
    </r>
    <r>
      <rPr>
        <sz val="10"/>
        <color indexed="55"/>
        <rFont val="Arial"/>
        <family val="2"/>
      </rPr>
      <t>=</t>
    </r>
    <r>
      <rPr>
        <sz val="10"/>
        <rFont val="Arial"/>
        <family val="2"/>
      </rPr>
      <t>1140*VD^(-0.87)-(VD/1000)^2/3.5^2-0.5</t>
    </r>
    <r>
      <rPr>
        <sz val="10"/>
        <color indexed="10"/>
        <rFont val="Arial"/>
        <family val="2"/>
      </rPr>
      <t xml:space="preserve">+0.4 </t>
    </r>
    <r>
      <rPr>
        <sz val="10"/>
        <color indexed="55"/>
        <rFont val="Arial"/>
        <family val="2"/>
      </rPr>
      <t xml:space="preserve">    </t>
    </r>
    <r>
      <rPr>
        <sz val="10"/>
        <rFont val="Arial"/>
        <family val="2"/>
      </rPr>
      <t xml:space="preserve"> für 2215&gt;=VD&gt;458; P</t>
    </r>
    <r>
      <rPr>
        <sz val="10"/>
        <color indexed="10"/>
        <rFont val="Arial"/>
        <family val="2"/>
      </rPr>
      <t>man</t>
    </r>
    <r>
      <rPr>
        <sz val="10"/>
        <color indexed="55"/>
        <rFont val="Arial"/>
        <family val="2"/>
      </rPr>
      <t>=</t>
    </r>
    <r>
      <rPr>
        <sz val="10"/>
        <rFont val="Arial"/>
        <family val="2"/>
      </rPr>
      <t>5.4 für VD&lt;=458; P0</t>
    </r>
    <r>
      <rPr>
        <sz val="10"/>
        <color indexed="10"/>
        <rFont val="Arial"/>
        <family val="2"/>
      </rPr>
      <t xml:space="preserve"> </t>
    </r>
    <r>
      <rPr>
        <sz val="10"/>
        <rFont val="Arial"/>
        <family val="2"/>
      </rPr>
      <t>= 0 für VD&gt;2216</t>
    </r>
  </si>
  <si>
    <t>VD</t>
  </si>
  <si>
    <t>C 10.2</t>
  </si>
  <si>
    <t>P0=2100*VD^(-0.87)-(VD/1000)^2/7^2-0.5  für 4455&gt;=VD&gt;=925; P0=5.0 für VD&lt;925; P0 = 0 für VD&gt;4455</t>
  </si>
  <si>
    <r>
      <t>P</t>
    </r>
    <r>
      <rPr>
        <sz val="10"/>
        <color indexed="10"/>
        <rFont val="Arial"/>
        <family val="2"/>
      </rPr>
      <t>man</t>
    </r>
    <r>
      <rPr>
        <sz val="10"/>
        <rFont val="Arial"/>
        <family val="2"/>
      </rPr>
      <t>=2100*VD^(-0.87)-(VD/1000)^2/7^2-0.5+</t>
    </r>
    <r>
      <rPr>
        <sz val="10"/>
        <color indexed="10"/>
        <rFont val="Arial"/>
        <family val="2"/>
      </rPr>
      <t>0.4</t>
    </r>
    <r>
      <rPr>
        <sz val="10"/>
        <rFont val="Arial"/>
        <family val="2"/>
      </rPr>
      <t xml:space="preserve">  für 4455&gt;=VD&gt;=925; P</t>
    </r>
    <r>
      <rPr>
        <sz val="10"/>
        <color indexed="10"/>
        <rFont val="Arial"/>
        <family val="2"/>
      </rPr>
      <t>man</t>
    </r>
    <r>
      <rPr>
        <sz val="10"/>
        <rFont val="Arial"/>
        <family val="2"/>
      </rPr>
      <t>=5.4 für VD&lt;925; P0 = 0 für VD&gt;4455</t>
    </r>
  </si>
  <si>
    <t>CI 20.1 LFx1.5</t>
  </si>
  <si>
    <t>P0=3050*VD^(-0.884)-0.00006*VD-(VD/1000)^1.5/3.5^2-0.4 für 4280&gt;=VD&gt;719.5; P0=8.6 für VD&lt;=719.5; P0 = 0 für VD&gt;4280</t>
  </si>
  <si>
    <r>
      <t>P</t>
    </r>
    <r>
      <rPr>
        <sz val="10"/>
        <color indexed="10"/>
        <rFont val="Arial"/>
        <family val="2"/>
      </rPr>
      <t>man</t>
    </r>
    <r>
      <rPr>
        <sz val="10"/>
        <rFont val="Arial"/>
        <family val="2"/>
      </rPr>
      <t>=3050*VD^(-0.884)-(VD/1000)^1.5/3.5^2-0.00006*VD für 4280&gt;=VD&gt;719.5; Pman=9.0 für VD&lt;=719.5; P0 = 0 für VD&gt;4280</t>
    </r>
  </si>
  <si>
    <t>CI 20.2 LFx 1.5</t>
  </si>
  <si>
    <t>P0=5500*VD^(-0.884)-0.00006*VD-(VD/1000)^1.5/7^2-0.4 für 8300&gt;=VD&gt;1397; P0=8.6 für VD&lt;=1397; P0 = 0 für VD&gt;8300</t>
  </si>
  <si>
    <t>Pman=5500*VD^(-0.884)-0.00006*VD-(VD/1000)^1.5/7^2-0.4 für 8300&gt;=VD&gt;1379; Pman=8.6 für VD&lt;=1379; P0 = 0 für VD&gt;8300</t>
  </si>
  <si>
    <t>CPV 10.1</t>
  </si>
  <si>
    <t>P0=1140*VD^(-0.87)-(VD/1000)^2/3.5^2-0.5 für 1640&gt;=VD&gt;458; P0=4.0 für VD&lt;=458; P0 = 0 für VD&gt;1640</t>
  </si>
  <si>
    <t>Pman=1140*VD^(-0.87)-(VD/1000)^2/3.5^2-0.5 + 0.4 für 1640&gt;=VD&gt;458; P0=4.4 für VD&lt;=458; P0 = 0 für VD&gt;1640</t>
  </si>
  <si>
    <t>Frostschutz Z (%)</t>
  </si>
  <si>
    <t>F</t>
  </si>
  <si>
    <t>G</t>
  </si>
  <si>
    <t>H</t>
  </si>
  <si>
    <t>I</t>
  </si>
  <si>
    <t>J</t>
  </si>
  <si>
    <t>K</t>
  </si>
  <si>
    <t>L</t>
  </si>
  <si>
    <t>M</t>
  </si>
  <si>
    <t>N</t>
  </si>
  <si>
    <t>t (°C)</t>
  </si>
  <si>
    <r>
      <t>p</t>
    </r>
    <r>
      <rPr>
        <b/>
        <vertAlign val="subscript"/>
        <sz val="10"/>
        <rFont val="Arial"/>
        <family val="2"/>
      </rPr>
      <t>D</t>
    </r>
    <r>
      <rPr>
        <b/>
        <sz val="10"/>
        <rFont val="Arial"/>
        <family val="2"/>
      </rPr>
      <t xml:space="preserve"> (bar)</t>
    </r>
  </si>
  <si>
    <t>Współczynnik ciśnieniowy Df dla urządzeń automatycznych przyjmuje stałą wartość równą:</t>
  </si>
  <si>
    <t>Przyjąć wg poniżej tabeli:</t>
  </si>
  <si>
    <r>
      <t>p</t>
    </r>
    <r>
      <rPr>
        <vertAlign val="subscript"/>
        <sz val="11"/>
        <color theme="1"/>
        <rFont val="Calibri"/>
        <family val="2"/>
        <charset val="238"/>
        <scheme val="minor"/>
      </rPr>
      <t>a</t>
    </r>
    <r>
      <rPr>
        <sz val="11"/>
        <color theme="1"/>
        <rFont val="Calibri"/>
        <family val="2"/>
        <charset val="238"/>
        <scheme val="minor"/>
      </rPr>
      <t xml:space="preserve"> =</t>
    </r>
  </si>
  <si>
    <r>
      <t>p</t>
    </r>
    <r>
      <rPr>
        <vertAlign val="subscript"/>
        <sz val="11"/>
        <color theme="1"/>
        <rFont val="Calibri"/>
        <family val="2"/>
        <charset val="238"/>
        <scheme val="minor"/>
      </rPr>
      <t>e</t>
    </r>
    <r>
      <rPr>
        <sz val="11"/>
        <color theme="1"/>
        <rFont val="Calibri"/>
        <family val="2"/>
        <charset val="238"/>
        <scheme val="minor"/>
      </rPr>
      <t xml:space="preserve"> =</t>
    </r>
  </si>
  <si>
    <r>
      <t>p</t>
    </r>
    <r>
      <rPr>
        <b/>
        <vertAlign val="subscript"/>
        <sz val="11"/>
        <rFont val="Calibri"/>
        <family val="2"/>
        <charset val="238"/>
        <scheme val="minor"/>
      </rPr>
      <t>man</t>
    </r>
    <r>
      <rPr>
        <b/>
        <sz val="11"/>
        <rFont val="Calibri"/>
        <family val="2"/>
        <charset val="238"/>
        <scheme val="minor"/>
      </rPr>
      <t xml:space="preserve"> =</t>
    </r>
  </si>
  <si>
    <t>Wybierz urządzenie, którego punkt pracy znajduje się możliwie najbliżej pod krzywą charakterystyki</t>
  </si>
  <si>
    <t>urządzenia Compresso</t>
  </si>
  <si>
    <t>Compresso</t>
  </si>
  <si>
    <r>
      <t>Na podstawie powyższego wykresu oraz wyznaczonego p</t>
    </r>
    <r>
      <rPr>
        <b/>
        <vertAlign val="subscript"/>
        <sz val="11"/>
        <color theme="1"/>
        <rFont val="Calibri"/>
        <family val="2"/>
        <charset val="238"/>
        <scheme val="minor"/>
      </rPr>
      <t xml:space="preserve">man  </t>
    </r>
    <r>
      <rPr>
        <b/>
        <sz val="11"/>
        <color theme="1"/>
        <rFont val="Calibri"/>
        <family val="2"/>
        <charset val="238"/>
        <scheme val="minor"/>
      </rPr>
      <t>dobiera się następujące urządzenie:</t>
    </r>
  </si>
  <si>
    <t>naczynie podstawowe:</t>
  </si>
  <si>
    <t>naczynie dodatkowe:</t>
  </si>
  <si>
    <t>tmax / tmin °C</t>
  </si>
  <si>
    <t>Dobór naczynia wzbiorczego wg wytycznych normy PN-EN-12828</t>
  </si>
  <si>
    <r>
      <rPr>
        <b/>
        <sz val="11"/>
        <color theme="1"/>
        <rFont val="Calibri"/>
        <family val="2"/>
        <charset val="238"/>
        <scheme val="minor"/>
      </rPr>
      <t>C</t>
    </r>
    <r>
      <rPr>
        <sz val="11"/>
        <color theme="1"/>
        <rFont val="Calibri"/>
        <family val="2"/>
        <charset val="238"/>
        <scheme val="minor"/>
      </rPr>
      <t xml:space="preserve"> - wersja do coolingu, </t>
    </r>
    <r>
      <rPr>
        <b/>
        <sz val="11"/>
        <color theme="1"/>
        <rFont val="Calibri"/>
        <family val="2"/>
        <charset val="238"/>
        <scheme val="minor"/>
      </rPr>
      <t>F</t>
    </r>
    <r>
      <rPr>
        <sz val="11"/>
        <color theme="1"/>
        <rFont val="Calibri"/>
        <family val="2"/>
        <charset val="238"/>
        <scheme val="minor"/>
      </rPr>
      <t xml:space="preserve"> - Tecbox bezpośrednio na naczyniu</t>
    </r>
  </si>
  <si>
    <t>Dobór układu Transfero wg wytycznych normy PN-EN-12828</t>
  </si>
  <si>
    <t>Dobór układu Compresso wg wytycznych normy PN-EN-12828</t>
  </si>
  <si>
    <t>Transfero</t>
  </si>
  <si>
    <t>Selection I Proof of performance</t>
  </si>
  <si>
    <t>Observe the indications in Pinfo 16.2005!</t>
  </si>
  <si>
    <t>calculation only for TAZ&lt;= 150°C !!!</t>
  </si>
  <si>
    <t>• Addition of antifreeze</t>
  </si>
  <si>
    <t>BrainCube calculation, display in Info-Menu</t>
  </si>
  <si>
    <t>• Preset pressure, pump on</t>
  </si>
  <si>
    <t>• Pump off, relief valve closed</t>
  </si>
  <si>
    <t>• End pressure, relief valve open</t>
  </si>
  <si>
    <t>Auswahl I Leistungsnachweis</t>
  </si>
  <si>
    <t>Hinweise Pinfo 16.2005 beachten!</t>
  </si>
  <si>
    <t>T…4.1</t>
  </si>
  <si>
    <t>P0=-8*10^(-8)*VD^2-0.0003*VD+4.092 -(VD/1000)^2/2.0^2   für 2636&gt;=VD&gt;=1251; P0=3.2 für VD&lt;1251; P0 = 0 für VD&gt;2636</t>
  </si>
  <si>
    <r>
      <t>P</t>
    </r>
    <r>
      <rPr>
        <sz val="10"/>
        <color indexed="10"/>
        <rFont val="Arial"/>
        <family val="2"/>
      </rPr>
      <t>man</t>
    </r>
    <r>
      <rPr>
        <sz val="10"/>
        <rFont val="Arial"/>
        <family val="2"/>
      </rPr>
      <t>=-8*10^(-8)*VD^2-0.0003*VD+4.092 -(VD/1000)^2/2.0^2</t>
    </r>
    <r>
      <rPr>
        <sz val="10"/>
        <color indexed="10"/>
        <rFont val="Arial"/>
        <family val="2"/>
      </rPr>
      <t>+0.5</t>
    </r>
    <r>
      <rPr>
        <sz val="10"/>
        <rFont val="Arial"/>
        <family val="2"/>
      </rPr>
      <t xml:space="preserve">   für 2636&gt;=VD&gt;=1251; P</t>
    </r>
    <r>
      <rPr>
        <sz val="10"/>
        <color indexed="10"/>
        <rFont val="Arial"/>
        <family val="2"/>
      </rPr>
      <t>man</t>
    </r>
    <r>
      <rPr>
        <sz val="10"/>
        <rFont val="Arial"/>
        <family val="2"/>
      </rPr>
      <t>=3.7 für VD&lt;1251; P</t>
    </r>
    <r>
      <rPr>
        <sz val="10"/>
        <color indexed="10"/>
        <rFont val="Arial"/>
        <family val="2"/>
      </rPr>
      <t>A</t>
    </r>
    <r>
      <rPr>
        <sz val="10"/>
        <rFont val="Arial"/>
        <family val="2"/>
      </rPr>
      <t xml:space="preserve"> = 0 für VD&gt;2637</t>
    </r>
  </si>
  <si>
    <t>T…6.1</t>
  </si>
  <si>
    <t>P0=-1*10^(-6.8756)*VD^2-0.0002*VD+5.1858 -(VD/1000)^2/2.0^2   für 2940&gt;=VD&gt;=1363; P0=4.2 für VD&lt;1363; P0 = 0 für VD&gt;2940</t>
  </si>
  <si>
    <r>
      <t>P</t>
    </r>
    <r>
      <rPr>
        <sz val="10"/>
        <color indexed="10"/>
        <rFont val="Arial"/>
        <family val="2"/>
      </rPr>
      <t>man</t>
    </r>
    <r>
      <rPr>
        <sz val="10"/>
        <rFont val="Arial"/>
        <family val="2"/>
      </rPr>
      <t>=-1*10^(-6.8756)*VD^2-0.0002*VD+5.1858 -(VD/1000)^2/2.0^2</t>
    </r>
    <r>
      <rPr>
        <sz val="10"/>
        <color indexed="10"/>
        <rFont val="Arial"/>
        <family val="2"/>
      </rPr>
      <t>+0.5</t>
    </r>
    <r>
      <rPr>
        <sz val="10"/>
        <rFont val="Arial"/>
        <family val="2"/>
      </rPr>
      <t xml:space="preserve">   für 2940&gt;=VD&gt;=1363; P</t>
    </r>
    <r>
      <rPr>
        <sz val="10"/>
        <color indexed="10"/>
        <rFont val="Arial"/>
        <family val="2"/>
      </rPr>
      <t>man</t>
    </r>
    <r>
      <rPr>
        <sz val="10"/>
        <rFont val="Arial"/>
        <family val="2"/>
      </rPr>
      <t>=4.7 für VD&lt;1363; P0 = 0 für VD&gt;2941</t>
    </r>
  </si>
  <si>
    <t>T…8.1</t>
  </si>
  <si>
    <t>P0=-1*10^(-6,8882)*VD^2-0.0006*VD+6.8821 -(VD/1000)^2/1.9^2   für 3000&gt;=VD&gt;=910; P0=6.0 für VD&lt;910; P0 = 0 für VD&gt;3000</t>
  </si>
  <si>
    <r>
      <t>P</t>
    </r>
    <r>
      <rPr>
        <sz val="10"/>
        <color indexed="10"/>
        <rFont val="Arial"/>
        <family val="2"/>
      </rPr>
      <t>man</t>
    </r>
    <r>
      <rPr>
        <sz val="10"/>
        <rFont val="Arial"/>
        <family val="2"/>
      </rPr>
      <t>=-1*10^(-6,8882)*VD^2-0.0006*VD+6.8821 -(VD/1000)^2/1.9^2</t>
    </r>
    <r>
      <rPr>
        <sz val="10"/>
        <color indexed="10"/>
        <rFont val="Arial"/>
        <family val="2"/>
      </rPr>
      <t>+0.5</t>
    </r>
    <r>
      <rPr>
        <sz val="10"/>
        <rFont val="Arial"/>
        <family val="2"/>
      </rPr>
      <t xml:space="preserve">   für 3000&gt;=VD&gt;=910; P</t>
    </r>
    <r>
      <rPr>
        <sz val="10"/>
        <color indexed="10"/>
        <rFont val="Arial"/>
        <family val="2"/>
      </rPr>
      <t>man</t>
    </r>
    <r>
      <rPr>
        <sz val="10"/>
        <rFont val="Arial"/>
        <family val="2"/>
      </rPr>
      <t>=6.5 für VD&lt;910; P0 = 0 für VD&gt;3001</t>
    </r>
    <r>
      <rPr>
        <sz val="10"/>
        <rFont val="Arial"/>
        <family val="2"/>
        <charset val="238"/>
      </rPr>
      <t/>
    </r>
  </si>
  <si>
    <t>T…10.1</t>
  </si>
  <si>
    <t>P0=-2*10^(-7.042)*VD^2-0.0007*VD+8.8762 -(VD/1000)^2/1.856^2   für 3060&gt;=VD&gt;=810; P0=8.0 für VD&lt;810; P0 = 0 für VD&gt;3060</t>
  </si>
  <si>
    <r>
      <t>P</t>
    </r>
    <r>
      <rPr>
        <sz val="10"/>
        <color indexed="10"/>
        <rFont val="Arial"/>
        <family val="2"/>
      </rPr>
      <t>man</t>
    </r>
    <r>
      <rPr>
        <sz val="10"/>
        <rFont val="Arial"/>
        <family val="2"/>
      </rPr>
      <t>=-</t>
    </r>
    <r>
      <rPr>
        <sz val="10"/>
        <color indexed="10"/>
        <rFont val="Arial"/>
        <family val="2"/>
      </rPr>
      <t>2</t>
    </r>
    <r>
      <rPr>
        <sz val="10"/>
        <rFont val="Arial"/>
        <family val="2"/>
      </rPr>
      <t>*10^(-7.</t>
    </r>
    <r>
      <rPr>
        <sz val="10"/>
        <color indexed="10"/>
        <rFont val="Arial"/>
        <family val="2"/>
      </rPr>
      <t>042</t>
    </r>
    <r>
      <rPr>
        <sz val="10"/>
        <rFont val="Arial"/>
        <family val="2"/>
      </rPr>
      <t>)*VD^2-0.000</t>
    </r>
    <r>
      <rPr>
        <sz val="10"/>
        <color indexed="10"/>
        <rFont val="Arial"/>
        <family val="2"/>
      </rPr>
      <t>7</t>
    </r>
    <r>
      <rPr>
        <sz val="10"/>
        <rFont val="Arial"/>
        <family val="2"/>
      </rPr>
      <t>*VD+</t>
    </r>
    <r>
      <rPr>
        <sz val="10"/>
        <color indexed="10"/>
        <rFont val="Arial"/>
        <family val="2"/>
      </rPr>
      <t>8.8762 -</t>
    </r>
    <r>
      <rPr>
        <sz val="10"/>
        <rFont val="Arial"/>
        <family val="2"/>
      </rPr>
      <t>(VD/1000)^2/1.856^2</t>
    </r>
    <r>
      <rPr>
        <sz val="10"/>
        <color indexed="10"/>
        <rFont val="Arial"/>
        <family val="2"/>
      </rPr>
      <t>+0.5</t>
    </r>
    <r>
      <rPr>
        <sz val="10"/>
        <rFont val="Arial"/>
        <family val="2"/>
      </rPr>
      <t xml:space="preserve">   für 3060&gt;=VD&gt;=810; P</t>
    </r>
    <r>
      <rPr>
        <sz val="10"/>
        <color indexed="10"/>
        <rFont val="Arial"/>
        <family val="2"/>
      </rPr>
      <t>man</t>
    </r>
    <r>
      <rPr>
        <sz val="10"/>
        <rFont val="Arial"/>
        <family val="2"/>
      </rPr>
      <t>=8.5 für VD&lt;810; P0 = 0 für VD&gt;3061</t>
    </r>
  </si>
  <si>
    <t>T…4.2</t>
  </si>
  <si>
    <t>P0=-2*10^(-8.)*VD^2-1.5*10^(-4)*VD+4.092 -(VD/1000)^2/4.0^2   für 5272&gt;=VD&gt;=2502; P0=3.2 für VD&lt;2502; P0 = 0 für VD&gt;5272</t>
  </si>
  <si>
    <r>
      <t>P</t>
    </r>
    <r>
      <rPr>
        <sz val="10"/>
        <color indexed="10"/>
        <rFont val="Arial"/>
        <family val="2"/>
      </rPr>
      <t>man</t>
    </r>
    <r>
      <rPr>
        <sz val="10"/>
        <rFont val="Arial"/>
        <family val="2"/>
        <charset val="238"/>
      </rPr>
      <t>=-2*10^(-8)*VD^2-1.5*10^(-4)*VD+4.092 -(VD/1000)^2/4.0^2</t>
    </r>
    <r>
      <rPr>
        <sz val="10"/>
        <color indexed="10"/>
        <rFont val="Arial"/>
        <family val="2"/>
      </rPr>
      <t>+0.5</t>
    </r>
    <r>
      <rPr>
        <sz val="10"/>
        <rFont val="Arial"/>
        <family val="2"/>
        <charset val="238"/>
      </rPr>
      <t xml:space="preserve">   für 5272&gt;=VD&gt;=2502; P</t>
    </r>
    <r>
      <rPr>
        <sz val="10"/>
        <color indexed="10"/>
        <rFont val="Arial"/>
        <family val="2"/>
      </rPr>
      <t>man</t>
    </r>
    <r>
      <rPr>
        <sz val="10"/>
        <rFont val="Arial"/>
        <family val="2"/>
        <charset val="238"/>
      </rPr>
      <t>=3.7 für VD&lt;2502; P0 = 0 für VD&gt;5272</t>
    </r>
  </si>
  <si>
    <t>T…6.2</t>
  </si>
  <si>
    <t>P0=-3*10^(-7.9554)*VD^2-10^(-4)*VD+5.1858 -(VD/1000)^2/4,0^2   für 5880&gt;=VD&gt;=2726; P0=4.2 für VD&lt;2726; P0 = 0 für VD&gt;5880</t>
  </si>
  <si>
    <r>
      <t>Pman</t>
    </r>
    <r>
      <rPr>
        <sz val="10"/>
        <rFont val="Arial"/>
        <family val="2"/>
      </rPr>
      <t>=-3*10^(-7.9554)*VD^2-10^(-4)*VD+5.1858 -(VD/1000)^2/4,0^2</t>
    </r>
    <r>
      <rPr>
        <sz val="10"/>
        <color indexed="10"/>
        <rFont val="Arial"/>
        <family val="2"/>
      </rPr>
      <t>+0.5</t>
    </r>
    <r>
      <rPr>
        <sz val="10"/>
        <rFont val="Arial"/>
        <family val="2"/>
      </rPr>
      <t xml:space="preserve">   für 5880&gt;=VD&gt;=2726; P</t>
    </r>
    <r>
      <rPr>
        <sz val="10"/>
        <color indexed="10"/>
        <rFont val="Arial"/>
        <family val="2"/>
      </rPr>
      <t>man</t>
    </r>
    <r>
      <rPr>
        <sz val="10"/>
        <rFont val="Arial"/>
        <family val="2"/>
      </rPr>
      <t>=4.7 für VD&lt;2726; P0 = 0 für VD&gt;5880</t>
    </r>
  </si>
  <si>
    <t>T…8.2</t>
  </si>
  <si>
    <t>P0=-3*10^(-7.956)*VD^2-3*10^(-4)*VD+6.8821 -(VD/1000)^2/3.8^2   für 6000&gt;=VD&gt;=1820; P0=6.0 für VD&lt;1820; P0 = 0 für VD&gt;6000</t>
  </si>
  <si>
    <r>
      <t>Pman</t>
    </r>
    <r>
      <rPr>
        <sz val="10"/>
        <rFont val="Arial"/>
        <family val="2"/>
      </rPr>
      <t>=-3*10^(-7.956)*VD^2-3*10^(-4)*VD+6.8821 -(VD/1000)^2/3.8^2</t>
    </r>
    <r>
      <rPr>
        <sz val="10"/>
        <color indexed="10"/>
        <rFont val="Arial"/>
        <family val="2"/>
      </rPr>
      <t>+0.5</t>
    </r>
    <r>
      <rPr>
        <sz val="10"/>
        <rFont val="Arial"/>
        <family val="2"/>
      </rPr>
      <t xml:space="preserve">   für 6000&gt;=VD&gt;=1820; P</t>
    </r>
    <r>
      <rPr>
        <sz val="10"/>
        <color indexed="10"/>
        <rFont val="Arial"/>
        <family val="2"/>
      </rPr>
      <t>man</t>
    </r>
    <r>
      <rPr>
        <sz val="10"/>
        <rFont val="Arial"/>
        <family val="2"/>
      </rPr>
      <t>=6.5 für VD&lt;1820; P0 = 0 für VD&gt;6000</t>
    </r>
  </si>
  <si>
    <t>T…10.2</t>
  </si>
  <si>
    <t>P0=-1.5*10^(-7.8)*VD^2.04-4*10^(-4)*VD+8.91 -(VD/1000)^2/3.712^2   für 6120&gt;=VD&gt;=1590; P0=8.0 für VD&lt;1590; P0 = 0 für VD&gt;6120</t>
  </si>
  <si>
    <r>
      <t>Pman</t>
    </r>
    <r>
      <rPr>
        <sz val="10"/>
        <rFont val="Arial"/>
        <family val="2"/>
      </rPr>
      <t>=-1.5*10^(-7.8)*VD^2.04-4*10^(-4)*VD+8.91 -(VD/1000)^2/3.712^2</t>
    </r>
    <r>
      <rPr>
        <sz val="10"/>
        <color indexed="10"/>
        <rFont val="Arial"/>
        <family val="2"/>
      </rPr>
      <t>+0.5</t>
    </r>
    <r>
      <rPr>
        <sz val="10"/>
        <rFont val="Arial"/>
        <family val="2"/>
      </rPr>
      <t xml:space="preserve">   für 6120&gt;=VD&gt;=1590; Pman=8.5 für VD&lt;1590; P0 = 0 für VD&gt;6120</t>
    </r>
  </si>
  <si>
    <t>TPV 19.2 P</t>
  </si>
  <si>
    <t>P0=-8.0*10^(-8.0)*VD^2.08+0.00033*VD+17.57 -(VD/1000)^2/2.8.0^2   für 7000&gt;=VD&gt;=4005; P0=16.95 für VD&lt;4005; P0 = 0 für VD&gt;7000</t>
  </si>
  <si>
    <r>
      <t>Pman</t>
    </r>
    <r>
      <rPr>
        <sz val="10"/>
        <color indexed="8"/>
        <rFont val="Arial"/>
        <family val="2"/>
      </rPr>
      <t>=-8.0*10^(-8.0)*VD^2.08+0.00033*VD+17.57 -(VD/1000)^2/2.8.0^2</t>
    </r>
    <r>
      <rPr>
        <sz val="10"/>
        <color indexed="10"/>
        <rFont val="Arial"/>
        <family val="2"/>
      </rPr>
      <t>+0.5</t>
    </r>
    <r>
      <rPr>
        <sz val="10"/>
        <color indexed="8"/>
        <rFont val="Arial"/>
        <family val="2"/>
      </rPr>
      <t xml:space="preserve">  für 7000&gt;=VD&gt;=4005; </t>
    </r>
    <r>
      <rPr>
        <sz val="10"/>
        <color indexed="10"/>
        <rFont val="Arial"/>
        <family val="2"/>
      </rPr>
      <t>Pman</t>
    </r>
    <r>
      <rPr>
        <sz val="10"/>
        <rFont val="Arial"/>
        <family val="2"/>
      </rPr>
      <t>=16.45</t>
    </r>
    <r>
      <rPr>
        <sz val="10"/>
        <color indexed="8"/>
        <rFont val="Arial"/>
        <family val="2"/>
      </rPr>
      <t xml:space="preserve"> für VD&lt;4005; P0 = 0 für VD&gt;7000</t>
    </r>
  </si>
  <si>
    <t>TPV 19.2-60 P</t>
  </si>
  <si>
    <t>P0=-2*10^(-7.00)*VD^2.02+4*10^(-4)*VD+18.239 -(VD/1000)^2/2.3^2   für 5000&gt;=VD&gt;=3773; P0=13.7 für VD&lt;3773; P0 = 0 für VD&gt;5000</t>
  </si>
  <si>
    <t>Pman=-2*10^(-7.00)*VD^2.02+4*10^(-4)*VD+18.239 -(VD/1000)^2/2.3^2 +0.5  für 5000&gt;=VD&gt;=3773; P0=14.2 für VD&lt;3773; P0 = 0 für VD&gt;5000</t>
  </si>
  <si>
    <t>TI 90.2</t>
  </si>
  <si>
    <t>P0=-8.0*10^(-8.0)*VD^1.995+0.00015*VD+8.09 -(VD/1000)^2/5.0^2   für 7000&gt;=VD&gt;=3000; P0=7.6 für VD&lt;3000; P0 = 0 für VD&gt;7000</t>
  </si>
  <si>
    <r>
      <rPr>
        <sz val="10"/>
        <color indexed="10"/>
        <rFont val="Arial"/>
        <family val="2"/>
      </rPr>
      <t>Pman</t>
    </r>
    <r>
      <rPr>
        <sz val="10"/>
        <color indexed="8"/>
        <rFont val="Arial"/>
        <family val="2"/>
      </rPr>
      <t>=-8.0*10^(-8.0)*VD^1.995+0.00015*VD+8.09 -(VD/1000)^2/5.0^2</t>
    </r>
    <r>
      <rPr>
        <sz val="10"/>
        <color indexed="10"/>
        <rFont val="Arial"/>
        <family val="2"/>
      </rPr>
      <t>+0.5</t>
    </r>
    <r>
      <rPr>
        <sz val="10"/>
        <color indexed="8"/>
        <rFont val="Arial"/>
        <family val="2"/>
      </rPr>
      <t xml:space="preserve">   für 7000&gt;=VD&gt;=3000; </t>
    </r>
    <r>
      <rPr>
        <sz val="10"/>
        <color indexed="10"/>
        <rFont val="Arial"/>
        <family val="2"/>
      </rPr>
      <t>Pman</t>
    </r>
    <r>
      <rPr>
        <sz val="10"/>
        <rFont val="Arial"/>
        <family val="2"/>
      </rPr>
      <t>=8.1</t>
    </r>
    <r>
      <rPr>
        <sz val="10"/>
        <color indexed="8"/>
        <rFont val="Arial"/>
        <family val="2"/>
      </rPr>
      <t xml:space="preserve"> für VD&lt;3000; P0 = 0 für VD&gt;7000</t>
    </r>
  </si>
  <si>
    <t>TI 120.2</t>
  </si>
  <si>
    <t>P0=-8.8*10^(-8.0)*VD^2.02+0.0002*VD+10.99 -(VD/1000)^2/5.0^2   für 7000&gt;=VD&gt;=3060; P0=10.4 für VD&lt;3060; P0 = 0 für VD&gt;7000</t>
  </si>
  <si>
    <r>
      <t>Pman</t>
    </r>
    <r>
      <rPr>
        <sz val="10"/>
        <color indexed="8"/>
        <rFont val="Arial"/>
        <family val="2"/>
      </rPr>
      <t>=-P0=-8.8*10^(-8.0)*VD^2.02+0.0002*VD+10.99 -(VD/1000)^2/5.0^2</t>
    </r>
    <r>
      <rPr>
        <sz val="10"/>
        <color indexed="10"/>
        <rFont val="Arial"/>
        <family val="2"/>
      </rPr>
      <t xml:space="preserve">+0.5 </t>
    </r>
    <r>
      <rPr>
        <sz val="10"/>
        <color indexed="8"/>
        <rFont val="Arial"/>
        <family val="2"/>
      </rPr>
      <t xml:space="preserve">  für 7000&gt;=VD&gt;=3060; </t>
    </r>
    <r>
      <rPr>
        <sz val="10"/>
        <color indexed="10"/>
        <rFont val="Arial"/>
        <family val="2"/>
      </rPr>
      <t>Pman</t>
    </r>
    <r>
      <rPr>
        <sz val="10"/>
        <rFont val="Arial"/>
        <family val="2"/>
      </rPr>
      <t>=10.9</t>
    </r>
    <r>
      <rPr>
        <sz val="10"/>
        <color indexed="8"/>
        <rFont val="Arial"/>
        <family val="2"/>
      </rPr>
      <t xml:space="preserve"> für VD&lt;3060; P0 = 0 für VD&gt;7000</t>
    </r>
  </si>
  <si>
    <t>TI 150.2</t>
  </si>
  <si>
    <t>P0=-8.8*10^(-8.0)*VD^2.05+0.0003*VD+14.77 -(VD/1000)^2/2.8.0^2   für 7000&gt;=VD&gt;=2870; P0=13.8 für VD&lt;2870; P0 = 0 für VD&gt;7000</t>
  </si>
  <si>
    <r>
      <t>Pman</t>
    </r>
    <r>
      <rPr>
        <sz val="10"/>
        <color indexed="8"/>
        <rFont val="Arial"/>
        <family val="2"/>
      </rPr>
      <t>=-P0=-8.8*10^(-8.0)*VD^2.05+0.0003*VD+14.77 -(VD/1000)^2/2.8.0^2</t>
    </r>
    <r>
      <rPr>
        <sz val="10"/>
        <color indexed="10"/>
        <rFont val="Arial"/>
        <family val="2"/>
      </rPr>
      <t>+0.5</t>
    </r>
    <r>
      <rPr>
        <sz val="10"/>
        <color indexed="10"/>
        <rFont val="Arial"/>
        <family val="2"/>
      </rPr>
      <t xml:space="preserve"> </t>
    </r>
    <r>
      <rPr>
        <sz val="10"/>
        <color indexed="8"/>
        <rFont val="Arial"/>
        <family val="2"/>
      </rPr>
      <t xml:space="preserve">  für 7000&gt;=VD&gt;=2870; </t>
    </r>
    <r>
      <rPr>
        <sz val="10"/>
        <color indexed="10"/>
        <rFont val="Arial"/>
        <family val="2"/>
      </rPr>
      <t>Pman</t>
    </r>
    <r>
      <rPr>
        <sz val="10"/>
        <rFont val="Arial"/>
        <family val="2"/>
      </rPr>
      <t>=14.3</t>
    </r>
    <r>
      <rPr>
        <sz val="10"/>
        <color indexed="8"/>
        <rFont val="Arial"/>
        <family val="2"/>
      </rPr>
      <t xml:space="preserve"> für VD&lt;2870; P0 = 0 für VD&gt;7000</t>
    </r>
  </si>
  <si>
    <t>TI 190.2</t>
  </si>
  <si>
    <t>TI 230.2</t>
  </si>
  <si>
    <t>P0=-8.0*10^(-8.0)*VD^2.1+0.00038*VD+21.91 -(VD/1000)^2/2.8.0^2   für 7000&gt;=VD&gt;=4000; P0=20.0 für VD&lt;4000; P0 = 0 für VD&gt;7000</t>
  </si>
  <si>
    <r>
      <t>Pman</t>
    </r>
    <r>
      <rPr>
        <sz val="10"/>
        <color indexed="8"/>
        <rFont val="Arial"/>
        <family val="2"/>
      </rPr>
      <t>=P0=-8.0*10^(-8.0)*VD^2.1+0.00038*VD+21.91 -(VD/1000)^2/2.8.0^2</t>
    </r>
    <r>
      <rPr>
        <sz val="10"/>
        <color indexed="10"/>
        <rFont val="Arial"/>
        <family val="2"/>
      </rPr>
      <t>+0.5</t>
    </r>
    <r>
      <rPr>
        <sz val="10"/>
        <color indexed="8"/>
        <rFont val="Arial"/>
        <family val="2"/>
      </rPr>
      <t xml:space="preserve">   für 7000&gt;=VD&gt;=4000; </t>
    </r>
    <r>
      <rPr>
        <sz val="10"/>
        <color indexed="10"/>
        <rFont val="Arial"/>
        <family val="2"/>
      </rPr>
      <t>Pman</t>
    </r>
    <r>
      <rPr>
        <sz val="10"/>
        <rFont val="Arial"/>
        <family val="2"/>
      </rPr>
      <t>=20.5</t>
    </r>
    <r>
      <rPr>
        <sz val="10"/>
        <color indexed="8"/>
        <rFont val="Arial"/>
        <family val="2"/>
      </rPr>
      <t xml:space="preserve"> für VD&lt;4000; P0 = 0 für VD&gt;7000</t>
    </r>
  </si>
  <si>
    <t>TI 61.2</t>
  </si>
  <si>
    <t>P0=-8.0*10^(-9.0)*VD^2.005-1.0*10^(-4)*VD+4.1619 -(VD/1000)^2/15.0^2   für 11000&gt;=VD&gt;=3250; P0=3.7 für VD&lt;3250; P0 = 0 für VD&gt;11000</t>
  </si>
  <si>
    <r>
      <t>Pman</t>
    </r>
    <r>
      <rPr>
        <sz val="10"/>
        <color indexed="8"/>
        <rFont val="Arial"/>
        <family val="2"/>
      </rPr>
      <t>=-8.0*10^(-9.0)*VD^2.005-1.0*10^(-4)*VD+4.1619 -(VD/1000)^2/15.0^2</t>
    </r>
    <r>
      <rPr>
        <sz val="10"/>
        <color indexed="10"/>
        <rFont val="Arial"/>
        <family val="2"/>
      </rPr>
      <t>+0.5</t>
    </r>
    <r>
      <rPr>
        <sz val="10"/>
        <color indexed="8"/>
        <rFont val="Arial"/>
        <family val="2"/>
      </rPr>
      <t xml:space="preserve">   für 11000&gt;=VD&gt;=3250; </t>
    </r>
    <r>
      <rPr>
        <sz val="10"/>
        <color indexed="10"/>
        <rFont val="Arial"/>
        <family val="2"/>
      </rPr>
      <t>Pman=4.2</t>
    </r>
    <r>
      <rPr>
        <sz val="10"/>
        <color indexed="8"/>
        <rFont val="Arial"/>
        <family val="2"/>
      </rPr>
      <t xml:space="preserve"> für VD&lt;3250; P0 = 0 für VD&gt;11000</t>
    </r>
  </si>
  <si>
    <t>TI 91.2</t>
  </si>
  <si>
    <t>P0=-1.0*10^(-8.0)*VD^2-2.0*10^(-4)*VD+7.9942-(VD/1000)^2/15.0^2   für 12500&gt;=VD&gt;=2140; P0=7.5 für VD&lt;2140; P0 = 0 für VD&gt;12500</t>
  </si>
  <si>
    <r>
      <t>Pman</t>
    </r>
    <r>
      <rPr>
        <sz val="10"/>
        <color indexed="8"/>
        <rFont val="Arial"/>
        <family val="2"/>
      </rPr>
      <t>=-1.0*10^(-8.0)*VD^2-2.0*10^(-4)*VD+7.9942-(VD/1000)^2/15.0^2</t>
    </r>
    <r>
      <rPr>
        <sz val="10"/>
        <color indexed="10"/>
        <rFont val="Arial"/>
        <family val="2"/>
      </rPr>
      <t>+0.5</t>
    </r>
    <r>
      <rPr>
        <sz val="10"/>
        <color indexed="8"/>
        <rFont val="Arial"/>
        <family val="2"/>
      </rPr>
      <t xml:space="preserve">   für 12500&gt;=VD&gt;=2140; </t>
    </r>
    <r>
      <rPr>
        <sz val="10"/>
        <color indexed="10"/>
        <rFont val="Arial"/>
        <family val="2"/>
      </rPr>
      <t>Pman=8.0</t>
    </r>
    <r>
      <rPr>
        <sz val="10"/>
        <color indexed="8"/>
        <rFont val="Arial"/>
        <family val="2"/>
      </rPr>
      <t xml:space="preserve"> für VD&lt;2140; P0 = 0 für VD&gt;12500</t>
    </r>
  </si>
  <si>
    <t>TI 111.2</t>
  </si>
  <si>
    <t>P0=-0.05*10^(-6.7)*VD^2.08+0.00001*VD+10.34 -(VD/1000)^2/10^2   für 15000&gt;=VD&gt;=4550; P0=9.8 für VD&lt;4550; P0 = 0 für VD&gt;15000</t>
  </si>
  <si>
    <r>
      <t>Pman</t>
    </r>
    <r>
      <rPr>
        <sz val="10"/>
        <color indexed="8"/>
        <rFont val="Arial"/>
        <family val="2"/>
      </rPr>
      <t>=-0.05*10^(-6.7)*VD^2.08+0.00001*VD+10.34 -(VD/1000)^2/10^2</t>
    </r>
    <r>
      <rPr>
        <sz val="10"/>
        <color indexed="10"/>
        <rFont val="Arial"/>
        <family val="2"/>
      </rPr>
      <t>+0.5</t>
    </r>
    <r>
      <rPr>
        <sz val="10"/>
        <color indexed="8"/>
        <rFont val="Arial"/>
        <family val="2"/>
      </rPr>
      <t xml:space="preserve">   für 15000&gt;=VD&gt;=4550;</t>
    </r>
    <r>
      <rPr>
        <sz val="10"/>
        <color indexed="10"/>
        <rFont val="Arial"/>
        <family val="2"/>
      </rPr>
      <t xml:space="preserve"> Pman=10.30</t>
    </r>
    <r>
      <rPr>
        <sz val="10"/>
        <color indexed="8"/>
        <rFont val="Arial"/>
        <family val="2"/>
      </rPr>
      <t xml:space="preserve"> für VD&lt;4550; P0 = 0 für VD&gt;15000</t>
    </r>
  </si>
  <si>
    <t>TI 161.2</t>
  </si>
  <si>
    <t>P0=-0.5*10^(-7)*VD^1.96+0.00007*VD+14.63 -(VD/1000)^2/10^2   für 15000&gt;=VD&gt;=5340; P0=13.7 für VD&lt;5340; P0 = 0 für VD&gt;15000</t>
  </si>
  <si>
    <r>
      <t>Pman</t>
    </r>
    <r>
      <rPr>
        <sz val="10"/>
        <color indexed="8"/>
        <rFont val="Arial"/>
        <family val="2"/>
      </rPr>
      <t>=-0.5*10^(-7)*VD^1.96+0.00007*VD+14.63 -(VD/1000)^2/10^2</t>
    </r>
    <r>
      <rPr>
        <sz val="10"/>
        <color indexed="10"/>
        <rFont val="Arial"/>
        <family val="2"/>
      </rPr>
      <t>+0.5</t>
    </r>
    <r>
      <rPr>
        <sz val="10"/>
        <color indexed="8"/>
        <rFont val="Arial"/>
        <family val="2"/>
      </rPr>
      <t xml:space="preserve">   für 15000&gt;=VD&gt;=5340; </t>
    </r>
    <r>
      <rPr>
        <sz val="10"/>
        <color indexed="10"/>
        <rFont val="Arial"/>
        <family val="2"/>
      </rPr>
      <t>Pman=14.2</t>
    </r>
    <r>
      <rPr>
        <sz val="10"/>
        <color indexed="8"/>
        <rFont val="Arial"/>
        <family val="2"/>
      </rPr>
      <t xml:space="preserve"> für VD&lt;5340; P0 = 0 für VD&gt;15000</t>
    </r>
  </si>
  <si>
    <t>TI 191.2</t>
  </si>
  <si>
    <t>P0=-2*10^(-7.6)*VD^1.97+0.00005*VD+17.63 -(VD/1000)^2/6.6^2   für 15000&gt;=VD&gt;=6290; P0=16 für VD&lt;6290; P0 = 0 für VD&gt;15000</t>
  </si>
  <si>
    <r>
      <t>Pman</t>
    </r>
    <r>
      <rPr>
        <sz val="10"/>
        <color indexed="8"/>
        <rFont val="Arial"/>
        <family val="2"/>
      </rPr>
      <t>=-2*10^(-7.6)*VD^1.97+0.00005*VD+17.63 -(VD/1000)^2/6.6^2</t>
    </r>
    <r>
      <rPr>
        <sz val="10"/>
        <color indexed="10"/>
        <rFont val="Arial"/>
        <family val="2"/>
      </rPr>
      <t>+0.5</t>
    </r>
    <r>
      <rPr>
        <sz val="10"/>
        <color indexed="8"/>
        <rFont val="Arial"/>
        <family val="2"/>
      </rPr>
      <t xml:space="preserve">   für 15000&gt;=VD&gt;=6290; </t>
    </r>
    <r>
      <rPr>
        <sz val="10"/>
        <color indexed="10"/>
        <rFont val="Arial"/>
        <family val="2"/>
      </rPr>
      <t>Pman=16.5</t>
    </r>
    <r>
      <rPr>
        <sz val="10"/>
        <color indexed="8"/>
        <rFont val="Arial"/>
        <family val="2"/>
      </rPr>
      <t xml:space="preserve"> für VD&lt;6290; P0 = 0 für VD&gt;15000</t>
    </r>
  </si>
  <si>
    <t>TI 231.2</t>
  </si>
  <si>
    <t>P0=-2*10^(-7.6)*VD^2+0.00015*VD+21.26 -(VD/1000)^2/6.6^2   für 15000&gt;=VD&gt;=6880; P0=19.5 für VD&lt;6880; P0 = 0 für VD&gt;15000</t>
  </si>
  <si>
    <r>
      <t>Pman</t>
    </r>
    <r>
      <rPr>
        <sz val="10"/>
        <color indexed="8"/>
        <rFont val="Arial"/>
        <family val="2"/>
      </rPr>
      <t>=-2*10^(-7.6)*VD^2+0.00015*VD+21.26 -(VD/1000)^2/6.6^2</t>
    </r>
    <r>
      <rPr>
        <sz val="10"/>
        <color indexed="10"/>
        <rFont val="Arial"/>
        <family val="2"/>
      </rPr>
      <t>+0.5</t>
    </r>
    <r>
      <rPr>
        <sz val="10"/>
        <color indexed="8"/>
        <rFont val="Arial"/>
        <family val="2"/>
      </rPr>
      <t xml:space="preserve">  für 15000&gt;=VD&gt;=6880; </t>
    </r>
    <r>
      <rPr>
        <sz val="10"/>
        <color indexed="10"/>
        <rFont val="Arial"/>
        <family val="2"/>
      </rPr>
      <t>Pman=20</t>
    </r>
    <r>
      <rPr>
        <sz val="10"/>
        <color indexed="8"/>
        <rFont val="Arial"/>
        <family val="2"/>
      </rPr>
      <t xml:space="preserve"> für VD&lt;6880; P0 = 0 für VD&gt;15000</t>
    </r>
  </si>
  <si>
    <t>TI 62.2</t>
  </si>
  <si>
    <t>P0=-4*10^(-9)*VD^2+0.000008*VD+5.25 -(VD/1000)^2/16.4^2   für 22000&gt;=VD&gt;=9500; P0=4.75 für VD&lt;9500; P0 = 0 für VD&gt;22000</t>
  </si>
  <si>
    <r>
      <t>Pman</t>
    </r>
    <r>
      <rPr>
        <sz val="10"/>
        <color indexed="8"/>
        <rFont val="Arial"/>
        <family val="2"/>
      </rPr>
      <t>=-4*10^(-9)*VD^2+0.000008*VD+5.25 -(VD/1000)^2/16.4^2</t>
    </r>
    <r>
      <rPr>
        <sz val="10"/>
        <color indexed="10"/>
        <rFont val="Arial"/>
        <family val="2"/>
      </rPr>
      <t>+0.5</t>
    </r>
    <r>
      <rPr>
        <sz val="10"/>
        <color indexed="8"/>
        <rFont val="Arial"/>
        <family val="2"/>
      </rPr>
      <t xml:space="preserve">   für 22000&gt;=VD&gt;=9500; </t>
    </r>
    <r>
      <rPr>
        <sz val="10"/>
        <color indexed="10"/>
        <rFont val="Arial"/>
        <family val="2"/>
      </rPr>
      <t>Pman=5.25</t>
    </r>
    <r>
      <rPr>
        <sz val="10"/>
        <color indexed="8"/>
        <rFont val="Arial"/>
        <family val="2"/>
      </rPr>
      <t xml:space="preserve"> für VD&lt;9500; P0 = 0 für VD&gt;22000</t>
    </r>
  </si>
  <si>
    <t>TI 102.2</t>
  </si>
  <si>
    <t>P0=-7*10^(-9)*VD^1.994+0.00001*VD+8.63 -(VD/1000)^2/17.6^2   für 24000&gt;=VD&gt;=7950; P0=8.1 für VD&lt;7950; P0 = 0 für VD&gt;24000</t>
  </si>
  <si>
    <r>
      <t>Pman</t>
    </r>
    <r>
      <rPr>
        <sz val="10"/>
        <color indexed="8"/>
        <rFont val="Arial"/>
        <family val="2"/>
      </rPr>
      <t>=-7*10^(-9)*VD^1.994+0.00001*VD+8.63 -(VD/1000)^2/17.6^2</t>
    </r>
    <r>
      <rPr>
        <sz val="10"/>
        <color indexed="10"/>
        <rFont val="Arial"/>
        <family val="2"/>
      </rPr>
      <t>+0.5</t>
    </r>
    <r>
      <rPr>
        <sz val="10"/>
        <color indexed="8"/>
        <rFont val="Arial"/>
        <family val="2"/>
      </rPr>
      <t xml:space="preserve">   für 24000&gt;=VD&gt;=7950; </t>
    </r>
    <r>
      <rPr>
        <sz val="10"/>
        <color indexed="10"/>
        <rFont val="Arial"/>
        <family val="2"/>
      </rPr>
      <t>Pman=8.6</t>
    </r>
    <r>
      <rPr>
        <sz val="10"/>
        <color indexed="8"/>
        <rFont val="Arial"/>
        <family val="2"/>
      </rPr>
      <t xml:space="preserve"> für VD&lt;7950; P0 = 0 für VD&gt;24000</t>
    </r>
  </si>
  <si>
    <t>TI 132.2</t>
  </si>
  <si>
    <t>P0=-7*10^(-8.9)*VD^2.0+0.000015*VD+11.92 -(VD/1000)^2/11.6^2   für 24000&gt;=VD&gt;=8550; P0=11.2 für VD&lt;8550; P0 = 0 für VD&gt;24000</t>
  </si>
  <si>
    <r>
      <t>Pman</t>
    </r>
    <r>
      <rPr>
        <sz val="10"/>
        <color indexed="8"/>
        <rFont val="Arial"/>
        <family val="2"/>
      </rPr>
      <t>=-7*10^(-8.9)*VD^2.0+0.000015*VD+11.92 -(VD/1000)^2/11.6^2</t>
    </r>
    <r>
      <rPr>
        <sz val="10"/>
        <color indexed="10"/>
        <rFont val="Arial"/>
        <family val="2"/>
      </rPr>
      <t>+0.5</t>
    </r>
    <r>
      <rPr>
        <sz val="10"/>
        <color indexed="8"/>
        <rFont val="Arial"/>
        <family val="2"/>
      </rPr>
      <t xml:space="preserve">   für 24000&gt;=VD&gt;=8550; </t>
    </r>
    <r>
      <rPr>
        <sz val="10"/>
        <color indexed="10"/>
        <rFont val="Arial"/>
        <family val="2"/>
      </rPr>
      <t>Pman=11.7</t>
    </r>
    <r>
      <rPr>
        <sz val="10"/>
        <color indexed="8"/>
        <rFont val="Arial"/>
        <family val="2"/>
      </rPr>
      <t xml:space="preserve"> für VD&lt;8550; P0 = 0 für VD&gt;24000</t>
    </r>
  </si>
  <si>
    <t>TI 182.2</t>
  </si>
  <si>
    <t>P0=-8*10^(-8.8)*VD^2.0+0.00002*VD+16.7 -(VD/1000)^2/11.6^2   für 24000&gt;=VD&gt;=10800; P0=15.1 für VD&lt;10800; P0 = 0 für VD&gt;24000</t>
  </si>
  <si>
    <r>
      <t>Pman</t>
    </r>
    <r>
      <rPr>
        <sz val="10"/>
        <color indexed="8"/>
        <rFont val="Arial"/>
        <family val="2"/>
      </rPr>
      <t>=-8*10^(-8.8)*VD^2.0+0.00002*VD+16.7 -(VD/1000)^2/11.6^2</t>
    </r>
    <r>
      <rPr>
        <sz val="10"/>
        <color indexed="10"/>
        <rFont val="Arial"/>
        <family val="2"/>
      </rPr>
      <t>+0.5</t>
    </r>
    <r>
      <rPr>
        <sz val="10"/>
        <color indexed="8"/>
        <rFont val="Arial"/>
        <family val="2"/>
      </rPr>
      <t xml:space="preserve">   für 24000&gt;=VD&gt;=10800; </t>
    </r>
    <r>
      <rPr>
        <sz val="10"/>
        <color indexed="10"/>
        <rFont val="Arial"/>
        <family val="2"/>
      </rPr>
      <t>Pman=15.6</t>
    </r>
    <r>
      <rPr>
        <sz val="10"/>
        <color indexed="8"/>
        <rFont val="Arial"/>
        <family val="2"/>
      </rPr>
      <t xml:space="preserve"> für VD&lt;10800; P0 = 0 für VD&gt;24000</t>
    </r>
  </si>
  <si>
    <t>TI 212.2</t>
  </si>
  <si>
    <t>P0=-9*10^(-8.6)*VD^1.965+0.000055*VD+20.29 -(VD/1000)^2/6.66^2   für 20000&gt;=VD&gt;=11300; P0=18.52 für VD&lt;11300; P0 = 0 für VD&gt;20000</t>
  </si>
  <si>
    <r>
      <rPr>
        <sz val="10"/>
        <color indexed="10"/>
        <rFont val="Arial"/>
        <family val="2"/>
      </rPr>
      <t>Pman</t>
    </r>
    <r>
      <rPr>
        <sz val="10"/>
        <color indexed="8"/>
        <rFont val="Arial"/>
        <family val="2"/>
      </rPr>
      <t>=-9*10^(-8.6)*VD^1.965+0.000055*VD+20.29 -(VD/1000)^2/6.66^2</t>
    </r>
    <r>
      <rPr>
        <sz val="10"/>
        <color indexed="10"/>
        <rFont val="Arial"/>
        <family val="2"/>
      </rPr>
      <t>+0.5</t>
    </r>
    <r>
      <rPr>
        <sz val="10"/>
        <color indexed="8"/>
        <rFont val="Arial"/>
        <family val="2"/>
      </rPr>
      <t xml:space="preserve">   für 20000&gt;=VD&gt;=11300; </t>
    </r>
    <r>
      <rPr>
        <sz val="10"/>
        <color indexed="10"/>
        <rFont val="Arial"/>
        <family val="2"/>
      </rPr>
      <t>Pman=19.0</t>
    </r>
    <r>
      <rPr>
        <sz val="10"/>
        <color indexed="8"/>
        <rFont val="Arial"/>
        <family val="2"/>
      </rPr>
      <t xml:space="preserve"> für VD&lt;11300; Pman = 0 für VD&gt;20000</t>
    </r>
  </si>
  <si>
    <t>TI 43.2</t>
  </si>
  <si>
    <t>P0=-8*10^(-10.85)*VD^2.195+0.0000001*VD+3.65 -(VD/1000)^2/19.4^2   für 30000&gt;=VD&gt;=18950; P0=3.15 für VD&lt;18950; P0 = 0 für VD&gt;30000</t>
  </si>
  <si>
    <r>
      <t>Pman</t>
    </r>
    <r>
      <rPr>
        <sz val="10"/>
        <color indexed="8"/>
        <rFont val="Arial"/>
        <family val="2"/>
      </rPr>
      <t>=-8*10^(-10.85)*VD^2.195+0.0000001*VD+3.65 -(VD/1000)^2/19.4^2</t>
    </r>
    <r>
      <rPr>
        <sz val="10"/>
        <color indexed="10"/>
        <rFont val="Arial"/>
        <family val="2"/>
      </rPr>
      <t>+0.5</t>
    </r>
    <r>
      <rPr>
        <sz val="10"/>
        <color indexed="8"/>
        <rFont val="Arial"/>
        <family val="2"/>
      </rPr>
      <t xml:space="preserve">   für 30000&gt;=VD&gt;=18950; </t>
    </r>
    <r>
      <rPr>
        <sz val="10"/>
        <color indexed="10"/>
        <rFont val="Arial"/>
        <family val="2"/>
      </rPr>
      <t>Pman=3.65</t>
    </r>
    <r>
      <rPr>
        <sz val="10"/>
        <color indexed="8"/>
        <rFont val="Arial"/>
        <family val="2"/>
      </rPr>
      <t xml:space="preserve"> für VD&lt;18950; Pman = 0 für VD&gt;30000</t>
    </r>
  </si>
  <si>
    <t>TI 73.2</t>
  </si>
  <si>
    <t>P0=-7*10^(-9.1)*VD^1.885+0.000005*VD+6.47 -(VD/1000)^2/19.4^2   für 35000&gt;=VD&gt;=15300; P0=36.0 für VD&lt;15300; P0 = 0 für VD&gt;35000</t>
  </si>
  <si>
    <r>
      <rPr>
        <sz val="10"/>
        <color indexed="10"/>
        <rFont val="Arial"/>
        <family val="2"/>
      </rPr>
      <t>Pman</t>
    </r>
    <r>
      <rPr>
        <sz val="10"/>
        <color indexed="8"/>
        <rFont val="Arial"/>
        <family val="2"/>
      </rPr>
      <t>=-7*10^(-9.1)*VD^1.885+0.000005*VD+6.47 -(VD/1000)^2/19.4^2</t>
    </r>
    <r>
      <rPr>
        <sz val="10"/>
        <color indexed="10"/>
        <rFont val="Arial"/>
        <family val="2"/>
      </rPr>
      <t>+0.5</t>
    </r>
    <r>
      <rPr>
        <sz val="10"/>
        <color indexed="8"/>
        <rFont val="Arial"/>
        <family val="2"/>
      </rPr>
      <t xml:space="preserve">  für 35000&gt;=VD&gt;=15300; </t>
    </r>
    <r>
      <rPr>
        <sz val="10"/>
        <color indexed="10"/>
        <rFont val="Arial"/>
        <family val="2"/>
      </rPr>
      <t>Pman=6.5</t>
    </r>
    <r>
      <rPr>
        <sz val="10"/>
        <color indexed="8"/>
        <rFont val="Arial"/>
        <family val="2"/>
      </rPr>
      <t xml:space="preserve"> für VD&lt;15300; Pman = 0 für VD&gt;35000</t>
    </r>
  </si>
  <si>
    <t>TI 103.2</t>
  </si>
  <si>
    <t>P0=-3*10^(-8.8)*VD^1.93+0.000005*VD+9.27 -(VD/1000)^2/19.4^2   für 40000&gt;=VD&gt;=13600; P0=8.8 für VD&lt;13600; P0 = 0 für VD&gt;40000</t>
  </si>
  <si>
    <r>
      <rPr>
        <sz val="10"/>
        <color indexed="10"/>
        <rFont val="Arial"/>
        <family val="2"/>
      </rPr>
      <t>Pman</t>
    </r>
    <r>
      <rPr>
        <sz val="10"/>
        <color indexed="8"/>
        <rFont val="Arial"/>
        <family val="2"/>
      </rPr>
      <t>=-3*10^(-8.8)*VD^1.93+0.000005*VD+9.27 -(VD/1000)^2/19.4^2</t>
    </r>
    <r>
      <rPr>
        <sz val="10"/>
        <color indexed="10"/>
        <rFont val="Arial"/>
        <family val="2"/>
      </rPr>
      <t>+0.5</t>
    </r>
    <r>
      <rPr>
        <sz val="10"/>
        <color indexed="8"/>
        <rFont val="Arial"/>
        <family val="2"/>
      </rPr>
      <t xml:space="preserve"> für 40000&gt;=VD&gt;=13600; </t>
    </r>
    <r>
      <rPr>
        <sz val="10"/>
        <color indexed="10"/>
        <rFont val="Arial"/>
        <family val="2"/>
      </rPr>
      <t>Pman=9.3</t>
    </r>
    <r>
      <rPr>
        <sz val="10"/>
        <color indexed="8"/>
        <rFont val="Arial"/>
        <family val="2"/>
      </rPr>
      <t xml:space="preserve"> für VD&lt;13600; Pman = 0 für VD&gt;40000</t>
    </r>
  </si>
  <si>
    <t>TI 133.2</t>
  </si>
  <si>
    <t>P0=-3*10^(-8.5)*VD^1.88+0.000001*VD+12.06 -(VD/1000)^2/22.4^2   für 40000&gt;=VD&gt;=13290; P0=11.3 für VD&lt;13290; P0 = 0 für VD&gt;40000</t>
  </si>
  <si>
    <r>
      <rPr>
        <sz val="10"/>
        <color indexed="10"/>
        <rFont val="Arial"/>
        <family val="2"/>
      </rPr>
      <t>Pman</t>
    </r>
    <r>
      <rPr>
        <sz val="10"/>
        <color indexed="8"/>
        <rFont val="Arial"/>
        <family val="2"/>
      </rPr>
      <t>=-3*10^(-8.5)*VD^1.88+0.000001*VD+12.06 -(VD/1000)^2/22.4^2</t>
    </r>
    <r>
      <rPr>
        <sz val="10"/>
        <color indexed="10"/>
        <rFont val="Arial"/>
        <family val="2"/>
      </rPr>
      <t>+0.5</t>
    </r>
    <r>
      <rPr>
        <sz val="10"/>
        <color indexed="8"/>
        <rFont val="Arial"/>
        <family val="2"/>
      </rPr>
      <t xml:space="preserve">  für 40000&gt;=VD&gt;=13290; </t>
    </r>
    <r>
      <rPr>
        <sz val="10"/>
        <color indexed="10"/>
        <rFont val="Arial"/>
        <family val="2"/>
      </rPr>
      <t>Pman=11.8</t>
    </r>
    <r>
      <rPr>
        <sz val="10"/>
        <color indexed="8"/>
        <rFont val="Arial"/>
        <family val="2"/>
      </rPr>
      <t xml:space="preserve"> für VD&lt;13290; Pman = 0 für VD&gt;40000</t>
    </r>
  </si>
  <si>
    <t>•Berechnung Tabellenwerte</t>
  </si>
  <si>
    <t>T…19.2</t>
  </si>
  <si>
    <t>T…19.2 /60</t>
  </si>
  <si>
    <t xml:space="preserve">   </t>
  </si>
  <si>
    <t>Zähler für VD Bestimmung</t>
  </si>
  <si>
    <t>pD (bar)</t>
  </si>
  <si>
    <r>
      <t>Na podstawie powyższych wykresów oraz wyznaczonego p</t>
    </r>
    <r>
      <rPr>
        <b/>
        <vertAlign val="subscript"/>
        <sz val="11"/>
        <color theme="1"/>
        <rFont val="Calibri"/>
        <family val="2"/>
        <charset val="238"/>
        <scheme val="minor"/>
      </rPr>
      <t xml:space="preserve">man  </t>
    </r>
    <r>
      <rPr>
        <b/>
        <sz val="11"/>
        <color theme="1"/>
        <rFont val="Calibri"/>
        <family val="2"/>
        <charset val="238"/>
        <scheme val="minor"/>
      </rPr>
      <t>dobiera się następujące urządzenie:</t>
    </r>
  </si>
  <si>
    <t>VK =</t>
  </si>
  <si>
    <r>
      <t>VK - całkowita pojemność kolektorów słonecznych [dm</t>
    </r>
    <r>
      <rPr>
        <vertAlign val="superscript"/>
        <sz val="11"/>
        <color theme="1"/>
        <rFont val="Calibri"/>
        <family val="2"/>
        <charset val="238"/>
        <scheme val="minor"/>
      </rPr>
      <t>3</t>
    </r>
    <r>
      <rPr>
        <sz val="11"/>
        <color theme="1"/>
        <rFont val="Calibri"/>
        <family val="2"/>
        <charset val="238"/>
        <scheme val="minor"/>
      </rPr>
      <t>],</t>
    </r>
  </si>
  <si>
    <t>(min. 0,5 %)</t>
  </si>
  <si>
    <t>9) Ubytki eksploatacyjne czynnika [% całkowitego zładu]:</t>
  </si>
  <si>
    <r>
      <t>e</t>
    </r>
    <r>
      <rPr>
        <vertAlign val="subscript"/>
        <sz val="11"/>
        <color theme="1"/>
        <rFont val="Calibri"/>
        <family val="2"/>
        <charset val="238"/>
        <scheme val="minor"/>
      </rPr>
      <t>u</t>
    </r>
    <r>
      <rPr>
        <sz val="11"/>
        <color theme="1"/>
        <rFont val="Calibri"/>
        <family val="2"/>
        <charset val="238"/>
        <scheme val="minor"/>
      </rPr>
      <t xml:space="preserve"> - ubytki eksploatacyjne czynnika [%],</t>
    </r>
  </si>
  <si>
    <r>
      <t>e</t>
    </r>
    <r>
      <rPr>
        <vertAlign val="subscript"/>
        <sz val="11"/>
        <color theme="1"/>
        <rFont val="Calibri"/>
        <family val="2"/>
        <charset val="238"/>
        <scheme val="minor"/>
      </rPr>
      <t>u</t>
    </r>
    <r>
      <rPr>
        <sz val="11"/>
        <color theme="1"/>
        <rFont val="Calibri"/>
        <family val="2"/>
        <charset val="238"/>
        <scheme val="minor"/>
      </rPr>
      <t xml:space="preserve"> =</t>
    </r>
  </si>
  <si>
    <t>11) Ubytki eksploatacyjne czynnika [% całkowitego zładu]:</t>
  </si>
  <si>
    <t>1) Pojemność zasobnika c.w.u. [litry]:</t>
  </si>
  <si>
    <t>Aquapresso</t>
  </si>
  <si>
    <t xml:space="preserve">2) Ciśnienie robocze instalacji zimnej wody [bar]: </t>
  </si>
  <si>
    <t xml:space="preserve">    (ograniczone na reduktorze ciśnienia)</t>
  </si>
  <si>
    <t>3) PSV - ciśnienie otwarcia zaworu bezpieczeństwa [bar]:</t>
  </si>
  <si>
    <r>
      <t>4) T</t>
    </r>
    <r>
      <rPr>
        <vertAlign val="subscript"/>
        <sz val="11"/>
        <color theme="0"/>
        <rFont val="Calibri"/>
        <family val="2"/>
        <charset val="238"/>
        <scheme val="minor"/>
      </rPr>
      <t>max</t>
    </r>
    <r>
      <rPr>
        <sz val="11"/>
        <color theme="0"/>
        <rFont val="Calibri"/>
        <family val="2"/>
        <charset val="238"/>
        <scheme val="minor"/>
      </rPr>
      <t xml:space="preserve"> - maksymalna temperatura c.w.u. [˚C]:</t>
    </r>
  </si>
  <si>
    <t>Pr</t>
  </si>
  <si>
    <t>PSV</t>
  </si>
  <si>
    <r>
      <t>VN - minimalna wymagana sumaryczna objętość naczynia wzbiorczego [dm</t>
    </r>
    <r>
      <rPr>
        <vertAlign val="superscript"/>
        <sz val="11"/>
        <color theme="1"/>
        <rFont val="Calibri"/>
        <family val="2"/>
        <charset val="238"/>
        <scheme val="minor"/>
      </rPr>
      <t>3</t>
    </r>
    <r>
      <rPr>
        <sz val="11"/>
        <color theme="1"/>
        <rFont val="Calibri"/>
        <family val="2"/>
        <charset val="238"/>
        <scheme val="minor"/>
      </rPr>
      <t>],</t>
    </r>
  </si>
  <si>
    <r>
      <t>V</t>
    </r>
    <r>
      <rPr>
        <vertAlign val="subscript"/>
        <sz val="11"/>
        <color theme="1"/>
        <rFont val="Calibri"/>
        <family val="2"/>
        <charset val="238"/>
        <scheme val="minor"/>
      </rPr>
      <t>Sp</t>
    </r>
    <r>
      <rPr>
        <sz val="11"/>
        <color theme="1"/>
        <rFont val="Calibri"/>
        <family val="2"/>
        <charset val="238"/>
        <scheme val="minor"/>
      </rPr>
      <t xml:space="preserve"> - pojemność zasobnika c.w.u. [dm</t>
    </r>
    <r>
      <rPr>
        <vertAlign val="superscript"/>
        <sz val="11"/>
        <color theme="1"/>
        <rFont val="Calibri"/>
        <family val="2"/>
        <charset val="238"/>
        <scheme val="minor"/>
      </rPr>
      <t>3</t>
    </r>
    <r>
      <rPr>
        <sz val="11"/>
        <color theme="1"/>
        <rFont val="Calibri"/>
        <family val="2"/>
        <charset val="238"/>
        <scheme val="minor"/>
      </rPr>
      <t>],</t>
    </r>
  </si>
  <si>
    <t>1. Określenie wymaganej minimalnej objętości naczynia wzbiorczego:</t>
  </si>
  <si>
    <r>
      <t>V</t>
    </r>
    <r>
      <rPr>
        <vertAlign val="subscript"/>
        <sz val="11"/>
        <color theme="1"/>
        <rFont val="Calibri"/>
        <family val="2"/>
        <charset val="238"/>
        <scheme val="minor"/>
      </rPr>
      <t>Sp</t>
    </r>
    <r>
      <rPr>
        <sz val="11"/>
        <color theme="1"/>
        <rFont val="Calibri"/>
        <family val="2"/>
        <charset val="238"/>
        <scheme val="minor"/>
      </rPr>
      <t xml:space="preserve"> =</t>
    </r>
  </si>
  <si>
    <t>PSV =</t>
  </si>
  <si>
    <r>
      <t>P</t>
    </r>
    <r>
      <rPr>
        <vertAlign val="subscript"/>
        <sz val="11"/>
        <color theme="1"/>
        <rFont val="Calibri"/>
        <family val="2"/>
        <charset val="238"/>
        <scheme val="minor"/>
      </rPr>
      <t>0</t>
    </r>
    <r>
      <rPr>
        <sz val="11"/>
        <color theme="1"/>
        <rFont val="Calibri"/>
        <family val="2"/>
        <charset val="238"/>
        <scheme val="minor"/>
      </rPr>
      <t xml:space="preserve"> =</t>
    </r>
  </si>
  <si>
    <t xml:space="preserve">Aquapresso ADF 8.10  </t>
  </si>
  <si>
    <t>Aquapresso ADF 12.10</t>
  </si>
  <si>
    <t>Aquapresso ADF 18.10</t>
  </si>
  <si>
    <t>Aquapresso ADF 25.10</t>
  </si>
  <si>
    <t>Aquapresso ADF 35.10</t>
  </si>
  <si>
    <t>Aquapresso ADF 50.10</t>
  </si>
  <si>
    <t>Aquapresso ADF 80.10</t>
  </si>
  <si>
    <t>Aquapresso AUF 140.10</t>
  </si>
  <si>
    <t>Aquapresso AUF 200.10</t>
  </si>
  <si>
    <t>Aquapresso AUF 300.10</t>
  </si>
  <si>
    <t>Aquapresso AUF 400.10</t>
  </si>
  <si>
    <t>Aquapresso AUF 500.10</t>
  </si>
  <si>
    <t>Aquapresso AUF 600.10</t>
  </si>
  <si>
    <t>Aquapresso AGF 700.10</t>
  </si>
  <si>
    <t>Aquapresso AGF 1000.10</t>
  </si>
  <si>
    <t>Aquapresso AGF 1500.10</t>
  </si>
  <si>
    <t>Aquapresso AGF 2000.10</t>
  </si>
  <si>
    <t>Aquapresso AGF 3000.10</t>
  </si>
  <si>
    <t>Aquapresso AGF 4000.10</t>
  </si>
  <si>
    <t>Aquapresso AGF 5000.10</t>
  </si>
  <si>
    <t>Aquapresso AGF 300.16</t>
  </si>
  <si>
    <t>Aquapresso AGF 500.16</t>
  </si>
  <si>
    <t>Aquapresso AGF 700.16</t>
  </si>
  <si>
    <t>Aquapresso AGF 1000.16</t>
  </si>
  <si>
    <t>Aquapresso AGF 1500.16</t>
  </si>
  <si>
    <t>Aquapresso AGF 2000.16</t>
  </si>
  <si>
    <t>Aquapresso AGF 3000.16</t>
  </si>
  <si>
    <t>Aquapresso AGF 4000.16</t>
  </si>
  <si>
    <t>Aquapresso AGF 5000.16</t>
  </si>
  <si>
    <r>
      <t>V</t>
    </r>
    <r>
      <rPr>
        <vertAlign val="subscript"/>
        <sz val="11"/>
        <color theme="1"/>
        <rFont val="Calibri"/>
        <family val="2"/>
        <charset val="238"/>
        <scheme val="minor"/>
      </rPr>
      <t>nom</t>
    </r>
    <r>
      <rPr>
        <sz val="11"/>
        <color theme="1"/>
        <rFont val="Calibri"/>
        <family val="2"/>
        <charset val="238"/>
        <scheme val="minor"/>
      </rPr>
      <t xml:space="preserve"> - objętość dobranego naczynia wzbiorczego [dm</t>
    </r>
    <r>
      <rPr>
        <vertAlign val="superscript"/>
        <sz val="11"/>
        <color theme="1"/>
        <rFont val="Calibri"/>
        <family val="2"/>
        <charset val="238"/>
        <scheme val="minor"/>
      </rPr>
      <t>3</t>
    </r>
    <r>
      <rPr>
        <sz val="11"/>
        <color theme="1"/>
        <rFont val="Calibri"/>
        <family val="2"/>
        <charset val="238"/>
        <scheme val="minor"/>
      </rPr>
      <t>]</t>
    </r>
  </si>
  <si>
    <r>
      <t>VN</t>
    </r>
    <r>
      <rPr>
        <vertAlign val="subscript"/>
        <sz val="11"/>
        <color theme="1"/>
        <rFont val="Calibri"/>
        <family val="2"/>
        <charset val="238"/>
        <scheme val="minor"/>
      </rPr>
      <t>min</t>
    </r>
    <r>
      <rPr>
        <sz val="11"/>
        <color theme="1"/>
        <rFont val="Calibri"/>
        <family val="2"/>
        <charset val="238"/>
        <scheme val="minor"/>
      </rPr>
      <t xml:space="preserve"> - minimalna wymagana objętość naczynia wzbiorczego [dm</t>
    </r>
    <r>
      <rPr>
        <vertAlign val="superscript"/>
        <sz val="11"/>
        <color theme="1"/>
        <rFont val="Calibri"/>
        <family val="2"/>
        <charset val="238"/>
        <scheme val="minor"/>
      </rPr>
      <t>3</t>
    </r>
    <r>
      <rPr>
        <sz val="11"/>
        <color theme="1"/>
        <rFont val="Calibri"/>
        <family val="2"/>
        <charset val="238"/>
        <scheme val="minor"/>
      </rPr>
      <t>],</t>
    </r>
  </si>
  <si>
    <r>
      <t>VN</t>
    </r>
    <r>
      <rPr>
        <vertAlign val="subscript"/>
        <sz val="11"/>
        <color theme="1"/>
        <rFont val="Calibri"/>
        <family val="2"/>
        <charset val="238"/>
        <scheme val="minor"/>
      </rPr>
      <t xml:space="preserve">min </t>
    </r>
    <r>
      <rPr>
        <sz val="11"/>
        <color theme="1"/>
        <rFont val="Calibri"/>
        <family val="2"/>
        <charset val="238"/>
        <scheme val="minor"/>
      </rPr>
      <t>=</t>
    </r>
  </si>
  <si>
    <t>Ustawić ciśnienie na reduktorze ciśnienia</t>
  </si>
  <si>
    <t>pFi =</t>
  </si>
  <si>
    <t>Sprawdź warunek konieczności zastosowania bypassu:</t>
  </si>
  <si>
    <t>zgodnie z poniższą tabelą:</t>
  </si>
  <si>
    <r>
      <t>Jeśli przepływ dla c.w.u. będzie wyższy niż przepustowość naczynia Aquapresso V</t>
    </r>
    <r>
      <rPr>
        <vertAlign val="subscript"/>
        <sz val="11"/>
        <color theme="1"/>
        <rFont val="Calibri"/>
        <family val="2"/>
        <charset val="238"/>
        <scheme val="minor"/>
      </rPr>
      <t>max</t>
    </r>
    <r>
      <rPr>
        <sz val="11"/>
        <color theme="1"/>
        <rFont val="Calibri"/>
        <family val="2"/>
        <charset val="238"/>
        <scheme val="minor"/>
      </rPr>
      <t>, zastosuj bypass</t>
    </r>
  </si>
  <si>
    <r>
      <t>m</t>
    </r>
    <r>
      <rPr>
        <b/>
        <vertAlign val="superscript"/>
        <sz val="13"/>
        <color rgb="FFFFFF00"/>
        <rFont val="Calibri"/>
        <family val="2"/>
        <charset val="238"/>
        <scheme val="minor"/>
      </rPr>
      <t>3</t>
    </r>
  </si>
  <si>
    <t xml:space="preserve">2) Ciśnienie robocze minimalne w instalacji [bar]: </t>
  </si>
  <si>
    <t xml:space="preserve">3) Ciśnienie robocze maksymalne w instalacji [bar]: </t>
  </si>
  <si>
    <r>
      <t>4) T</t>
    </r>
    <r>
      <rPr>
        <vertAlign val="subscript"/>
        <sz val="11"/>
        <color theme="0"/>
        <rFont val="Calibri"/>
        <family val="2"/>
        <charset val="238"/>
        <scheme val="minor"/>
      </rPr>
      <t>max</t>
    </r>
    <r>
      <rPr>
        <sz val="11"/>
        <color theme="0"/>
        <rFont val="Calibri"/>
        <family val="2"/>
        <charset val="238"/>
        <scheme val="minor"/>
      </rPr>
      <t xml:space="preserve"> - maksymalna temperatura czynnika w instalacji [˚C]:</t>
    </r>
  </si>
  <si>
    <t>Pmin</t>
  </si>
  <si>
    <t>Pmax</t>
  </si>
  <si>
    <t>Dobór odgazowywacza próżniowego Vento wg wytycznych Pneumatex</t>
  </si>
  <si>
    <t>Podstawowe dane do doboru Vento:</t>
  </si>
  <si>
    <r>
      <t>1) Pojemność całkowita zładu instalacji [m</t>
    </r>
    <r>
      <rPr>
        <vertAlign val="superscript"/>
        <sz val="11"/>
        <color theme="0"/>
        <rFont val="Calibri"/>
        <family val="2"/>
        <charset val="238"/>
        <scheme val="minor"/>
      </rPr>
      <t>3</t>
    </r>
    <r>
      <rPr>
        <sz val="11"/>
        <color theme="0"/>
        <rFont val="Calibri"/>
        <family val="2"/>
        <charset val="238"/>
        <scheme val="minor"/>
      </rPr>
      <t>]:</t>
    </r>
  </si>
  <si>
    <t>Pojemność całkowita zładu instalacji:</t>
  </si>
  <si>
    <t>Ciśnienie robocze minimalne w instalacji:</t>
  </si>
  <si>
    <t>Ciśnienie robocze maksymalne w instalacji:</t>
  </si>
  <si>
    <t>Temperatura maksymalna czynnika w instalacji:</t>
  </si>
  <si>
    <r>
      <t>m</t>
    </r>
    <r>
      <rPr>
        <vertAlign val="superscript"/>
        <sz val="11"/>
        <color theme="1"/>
        <rFont val="Calibri"/>
        <family val="2"/>
        <charset val="238"/>
        <scheme val="minor"/>
      </rPr>
      <t>3</t>
    </r>
  </si>
  <si>
    <t>V [m3]</t>
  </si>
  <si>
    <t>Vento …4.1…</t>
  </si>
  <si>
    <t>Vento …6.1…</t>
  </si>
  <si>
    <t>Vento …8.1…</t>
  </si>
  <si>
    <t>Vento …10.1…</t>
  </si>
  <si>
    <t>Wybierz odpowiednie urządzenie mając na uwadze jego dodatkowe funkcje:</t>
  </si>
  <si>
    <r>
      <rPr>
        <b/>
        <sz val="11"/>
        <color theme="1"/>
        <rFont val="Calibri"/>
        <family val="2"/>
        <charset val="238"/>
        <scheme val="minor"/>
      </rPr>
      <t xml:space="preserve">F </t>
    </r>
    <r>
      <rPr>
        <sz val="11"/>
        <color theme="1"/>
        <rFont val="Calibri"/>
        <family val="2"/>
        <charset val="238"/>
        <scheme val="minor"/>
      </rPr>
      <t>- wersja urządzenia do powieszenia na ścianie,</t>
    </r>
  </si>
  <si>
    <r>
      <rPr>
        <b/>
        <sz val="11"/>
        <color theme="1"/>
        <rFont val="Calibri"/>
        <family val="2"/>
        <charset val="238"/>
        <scheme val="minor"/>
      </rPr>
      <t xml:space="preserve">E </t>
    </r>
    <r>
      <rPr>
        <sz val="11"/>
        <color theme="1"/>
        <rFont val="Calibri"/>
        <family val="2"/>
        <charset val="238"/>
        <scheme val="minor"/>
      </rPr>
      <t>- wersja z funkcją odgazowania "eco automatic" =&gt; praca zależna od obecności gazów w instalacji,</t>
    </r>
  </si>
  <si>
    <r>
      <rPr>
        <b/>
        <sz val="11"/>
        <color theme="1"/>
        <rFont val="Calibri"/>
        <family val="2"/>
        <charset val="238"/>
        <scheme val="minor"/>
      </rPr>
      <t>C</t>
    </r>
    <r>
      <rPr>
        <sz val="11"/>
        <color theme="1"/>
        <rFont val="Calibri"/>
        <family val="2"/>
        <charset val="238"/>
        <scheme val="minor"/>
      </rPr>
      <t xml:space="preserve"> - wersja z izolacją przystosowana do instalacji chłodniczych,</t>
    </r>
  </si>
  <si>
    <r>
      <rPr>
        <b/>
        <sz val="11"/>
        <color theme="1"/>
        <rFont val="Calibri"/>
        <family val="2"/>
        <charset val="238"/>
        <scheme val="minor"/>
      </rPr>
      <t>P</t>
    </r>
    <r>
      <rPr>
        <sz val="11"/>
        <color theme="1"/>
        <rFont val="Calibri"/>
        <family val="2"/>
        <charset val="238"/>
        <scheme val="minor"/>
      </rPr>
      <t xml:space="preserve"> - wersja z funkcją automatycznego uzupełniania czynnika, wyposażona w zbiornik pośredni 8 l</t>
    </r>
  </si>
  <si>
    <t>Na podstawie powyższych danych dobierz urządzenie z typoszeregu:</t>
  </si>
  <si>
    <t>Brak urządzeń dla zadanych parametrów !!!</t>
  </si>
  <si>
    <t>Dobrano następujące urządzenie:</t>
  </si>
  <si>
    <t>(instalacje o mocy max. do ok. 600 kW)</t>
  </si>
  <si>
    <t>(instalacje o mocy max do ok. 600 kW)</t>
  </si>
  <si>
    <r>
      <t xml:space="preserve">5. Dobór naczynia wzbiorczego </t>
    </r>
    <r>
      <rPr>
        <b/>
        <sz val="13"/>
        <color theme="1"/>
        <rFont val="Calibri"/>
        <family val="2"/>
        <charset val="238"/>
        <scheme val="minor"/>
      </rPr>
      <t>Aquapresso</t>
    </r>
    <r>
      <rPr>
        <sz val="13"/>
        <color theme="1"/>
        <rFont val="Calibri"/>
        <family val="2"/>
        <charset val="238"/>
        <scheme val="minor"/>
      </rPr>
      <t xml:space="preserve"> do instalacji c.w.u.:</t>
    </r>
  </si>
  <si>
    <r>
      <t xml:space="preserve">6. Dobór naczynia wzbiorczego </t>
    </r>
    <r>
      <rPr>
        <b/>
        <sz val="13"/>
        <color theme="1"/>
        <rFont val="Calibri"/>
        <family val="2"/>
        <charset val="238"/>
        <scheme val="minor"/>
      </rPr>
      <t>Statico</t>
    </r>
    <r>
      <rPr>
        <sz val="13"/>
        <color theme="1"/>
        <rFont val="Calibri"/>
        <family val="2"/>
        <charset val="238"/>
        <scheme val="minor"/>
      </rPr>
      <t xml:space="preserve"> do instalacji solarnej:</t>
    </r>
  </si>
  <si>
    <r>
      <t xml:space="preserve">7. Dobór odgazowywacza próżniowego </t>
    </r>
    <r>
      <rPr>
        <b/>
        <sz val="13"/>
        <color theme="1"/>
        <rFont val="Calibri"/>
        <family val="2"/>
        <charset val="238"/>
        <scheme val="minor"/>
      </rPr>
      <t>Vento</t>
    </r>
    <r>
      <rPr>
        <sz val="13"/>
        <color theme="1"/>
        <rFont val="Calibri"/>
        <family val="2"/>
        <charset val="238"/>
        <scheme val="minor"/>
      </rPr>
      <t>:</t>
    </r>
  </si>
  <si>
    <r>
      <t>PS</t>
    </r>
    <r>
      <rPr>
        <b/>
        <vertAlign val="subscript"/>
        <sz val="11"/>
        <color theme="1"/>
        <rFont val="Calibri"/>
        <family val="2"/>
        <charset val="238"/>
        <scheme val="minor"/>
      </rPr>
      <t>min</t>
    </r>
    <r>
      <rPr>
        <b/>
        <sz val="11"/>
        <color theme="1"/>
        <rFont val="Calibri"/>
        <family val="2"/>
        <charset val="238"/>
        <scheme val="minor"/>
      </rPr>
      <t xml:space="preserve"> =</t>
    </r>
  </si>
  <si>
    <t>Compresso CU 200.6   (podstawowe)</t>
  </si>
  <si>
    <t>Compresso CU 300.6   (podstawowe)</t>
  </si>
  <si>
    <t>Compresso CU 400.6   (podstawowe)</t>
  </si>
  <si>
    <t>Compresso CU 500.6   (podstawowe)</t>
  </si>
  <si>
    <t>Compresso CU 600.6   (podstawowe)</t>
  </si>
  <si>
    <t>Compresso CU 800.6   (podstawowe)</t>
  </si>
  <si>
    <t>Compresso CG 300.6   (podstawowe)</t>
  </si>
  <si>
    <t>Compresso CG 500.6   (podstawowe)</t>
  </si>
  <si>
    <t>Compresso CG 700.6   (podstawowe)</t>
  </si>
  <si>
    <t>Compresso CG 1000.6   (podstawowe)</t>
  </si>
  <si>
    <t>Compresso CG 1500.6   (podstawowe)</t>
  </si>
  <si>
    <t>Compresso CG 2000.6   (podstawowe)</t>
  </si>
  <si>
    <t>Compresso CG 3000.6   (podstawowe)</t>
  </si>
  <si>
    <t>Compresso CG 4000.6   (podstawowe)</t>
  </si>
  <si>
    <t>Compresso CG 5000.6   (podstawowe)</t>
  </si>
  <si>
    <t>Compresso CG 300.10   (podstawowe)</t>
  </si>
  <si>
    <t>Compresso CG 500.10   (podstawowe)</t>
  </si>
  <si>
    <t>Compresso CG 700.10   (podstawowe)</t>
  </si>
  <si>
    <t>Compresso CG 1000.10   (podstawowe)</t>
  </si>
  <si>
    <t>Compresso CG 1500.10   (podstawowe)</t>
  </si>
  <si>
    <t>Compresso CG 2000.10   (podstawowe)</t>
  </si>
  <si>
    <t>Compresso CG 3000.10   (podstawowe)</t>
  </si>
  <si>
    <t>Compresso CG 4000.10   (podstawowe)</t>
  </si>
  <si>
    <t>Compresso CG 5000.10   (podstawowe)</t>
  </si>
  <si>
    <t>Compresso CU 200.6 E   (dodatkowe)</t>
  </si>
  <si>
    <t>Compresso CU 300.6 E   (dodatkowe)</t>
  </si>
  <si>
    <t>Compresso CU 400.6 E   (dodatkowe)</t>
  </si>
  <si>
    <t>Compresso CU 500.6 E   (dodatkowe)</t>
  </si>
  <si>
    <t>Compresso CU 600.6 E   (dodatkowe)</t>
  </si>
  <si>
    <t>Compresso CU 800.6 E   (dodatkowe)</t>
  </si>
  <si>
    <t>Compresso CG 300.6 E   (dodatkowe)</t>
  </si>
  <si>
    <t>Compresso CG 500.6 E   (dodatkowe)</t>
  </si>
  <si>
    <t>Compresso CG 700.6 E   (dodatkowe)</t>
  </si>
  <si>
    <t>Compresso CG 1000.6 E   (dodatkowe)</t>
  </si>
  <si>
    <t>Compresso CG 1500.6 E    (dodatkowe)</t>
  </si>
  <si>
    <t>Compresso CG 2000.6 E    (dodatkowe)</t>
  </si>
  <si>
    <t>Compresso CG 3000.6 E    (dodatkowe)</t>
  </si>
  <si>
    <t>Compresso CG 4000.6 E    (dodatkowe)</t>
  </si>
  <si>
    <t>Compresso CG 5000.6 E    (dodatkowe)</t>
  </si>
  <si>
    <t>Compresso CG 300.10 E   (dodatkowe)</t>
  </si>
  <si>
    <t>Compresso CG 500.10 E   (dodatkowe)</t>
  </si>
  <si>
    <t>Compresso CG 700.10 E   (dodatkowe)</t>
  </si>
  <si>
    <t>Compresso CG 1000.10 E   (dodatkowe)</t>
  </si>
  <si>
    <t>Compresso CG 1500.10 E   (dodatkowe)</t>
  </si>
  <si>
    <t>Compresso CG 2000.10 E   (dodatkowe)</t>
  </si>
  <si>
    <t>Compresso CG 3000.10 E   (dodatkowe)</t>
  </si>
  <si>
    <t>Compresso CG 4000.10 E   (dodatkowe)</t>
  </si>
  <si>
    <t>Compresso CG 5000.10 E   (dodatkowe)</t>
  </si>
  <si>
    <t>Dobrano naczynia wzbiorcze PNEUMATEX:</t>
  </si>
  <si>
    <t>Transfero TU 200   (podstawowe)</t>
  </si>
  <si>
    <t>Transfero TU 300   (podstawowe)</t>
  </si>
  <si>
    <t>Transfero TU 400   (podstawowe)</t>
  </si>
  <si>
    <t>Transfero TU 500   (podstawowe)</t>
  </si>
  <si>
    <t>Transfero TU 600   (podstawowe)</t>
  </si>
  <si>
    <t>Transfero TU 800   (podstawowe)</t>
  </si>
  <si>
    <t>Transfero TG 1000   (podstawowe)</t>
  </si>
  <si>
    <t>Transfero TG 1500   (podstawowe)</t>
  </si>
  <si>
    <t>Transfero TG 2000   (podstawowe)</t>
  </si>
  <si>
    <t>Transfero TG 3000   (podstawowe)</t>
  </si>
  <si>
    <t>Transfero TG 4000   (podstawowe)</t>
  </si>
  <si>
    <t>Transfero TG 5000   (podstawowe)</t>
  </si>
  <si>
    <t>Transfero TU 200 E   (dodatkowe)</t>
  </si>
  <si>
    <t>Transfero TU 300 E   (dodatkowe)</t>
  </si>
  <si>
    <t>Transfero TU 400 E   (dodatkowe)</t>
  </si>
  <si>
    <t>Transfero TU 500 E   (dodatkowe)</t>
  </si>
  <si>
    <t>Transfero TU 600 E   (dodatkowe)</t>
  </si>
  <si>
    <t>Transfero TU 800 E   (dodatkowe)</t>
  </si>
  <si>
    <t>Transfero TG 1000 E   (dodatkowe)</t>
  </si>
  <si>
    <t>Transfero TG 1500 E   (dodatkowe)</t>
  </si>
  <si>
    <t>Transfero TG 2000 E   (dodatkowe)</t>
  </si>
  <si>
    <t>Transfero TG 3000 E   (dodatkowe)</t>
  </si>
  <si>
    <t>Transfero TG 4000 E   (dodatkowe)</t>
  </si>
  <si>
    <t>Transfero TG 5000 E   (dodatkowe)</t>
  </si>
  <si>
    <t>Schemat podłączenia urządzenia:</t>
  </si>
  <si>
    <r>
      <t>3) T</t>
    </r>
    <r>
      <rPr>
        <vertAlign val="subscript"/>
        <sz val="11"/>
        <color theme="0"/>
        <rFont val="Calibri"/>
        <family val="2"/>
        <charset val="238"/>
        <scheme val="minor"/>
      </rPr>
      <t>u</t>
    </r>
    <r>
      <rPr>
        <sz val="11"/>
        <color theme="0"/>
        <rFont val="Calibri"/>
        <family val="2"/>
        <charset val="238"/>
        <scheme val="minor"/>
      </rPr>
      <t xml:space="preserve"> - temperatura czynnika w momencie ustawienia naczynia [˚C]:</t>
    </r>
  </si>
  <si>
    <t>5) Rodzaj czynnika w systemie:</t>
  </si>
  <si>
    <r>
      <t>7) H</t>
    </r>
    <r>
      <rPr>
        <vertAlign val="subscript"/>
        <sz val="11"/>
        <color theme="0"/>
        <rFont val="Calibri"/>
        <family val="2"/>
        <charset val="238"/>
        <scheme val="minor"/>
      </rPr>
      <t>ST</t>
    </r>
    <r>
      <rPr>
        <sz val="11"/>
        <color theme="0"/>
        <rFont val="Calibri"/>
        <family val="2"/>
        <charset val="238"/>
        <scheme val="minor"/>
      </rPr>
      <t xml:space="preserve"> - wysokość statyczna instalacji - (patrz rysunek obok) [m]:</t>
    </r>
  </si>
  <si>
    <t>9) Obecność odgazowywacza próżniowego Vento w systemie:</t>
  </si>
  <si>
    <t>t °C</t>
  </si>
  <si>
    <r>
      <t xml:space="preserve">ρ </t>
    </r>
    <r>
      <rPr>
        <sz val="11"/>
        <color theme="1"/>
        <rFont val="Calibri"/>
        <family val="2"/>
        <charset val="238"/>
        <scheme val="minor"/>
      </rPr>
      <t>dla T</t>
    </r>
    <r>
      <rPr>
        <vertAlign val="subscript"/>
        <sz val="11"/>
        <color theme="1"/>
        <rFont val="Calibri"/>
        <family val="2"/>
        <charset val="238"/>
        <scheme val="minor"/>
      </rPr>
      <t xml:space="preserve">max </t>
    </r>
    <r>
      <rPr>
        <sz val="11"/>
        <color theme="1"/>
        <rFont val="Calibri"/>
        <family val="2"/>
        <charset val="238"/>
        <scheme val="minor"/>
      </rPr>
      <t>=</t>
    </r>
  </si>
  <si>
    <r>
      <t xml:space="preserve">ρ </t>
    </r>
    <r>
      <rPr>
        <sz val="11"/>
        <color theme="1"/>
        <rFont val="Calibri"/>
        <family val="2"/>
        <charset val="238"/>
        <scheme val="minor"/>
      </rPr>
      <t>dla T</t>
    </r>
    <r>
      <rPr>
        <vertAlign val="subscript"/>
        <sz val="11"/>
        <color theme="1"/>
        <rFont val="Calibri"/>
        <family val="2"/>
        <charset val="238"/>
        <scheme val="minor"/>
      </rPr>
      <t xml:space="preserve">min </t>
    </r>
    <r>
      <rPr>
        <sz val="11"/>
        <color theme="1"/>
        <rFont val="Calibri"/>
        <family val="2"/>
        <charset val="238"/>
        <scheme val="minor"/>
      </rPr>
      <t>=</t>
    </r>
  </si>
  <si>
    <t>Tmin</t>
  </si>
  <si>
    <r>
      <t>V dla T</t>
    </r>
    <r>
      <rPr>
        <vertAlign val="subscript"/>
        <sz val="11"/>
        <color theme="1"/>
        <rFont val="Calibri"/>
        <family val="2"/>
        <charset val="238"/>
        <scheme val="minor"/>
      </rPr>
      <t>max</t>
    </r>
    <r>
      <rPr>
        <sz val="11"/>
        <color theme="1"/>
        <rFont val="Calibri"/>
        <family val="2"/>
        <charset val="238"/>
        <scheme val="minor"/>
      </rPr>
      <t xml:space="preserve"> =</t>
    </r>
  </si>
  <si>
    <r>
      <t>V dla T</t>
    </r>
    <r>
      <rPr>
        <vertAlign val="subscript"/>
        <sz val="11"/>
        <color theme="1"/>
        <rFont val="Calibri"/>
        <family val="2"/>
        <charset val="238"/>
        <scheme val="minor"/>
      </rPr>
      <t>min</t>
    </r>
    <r>
      <rPr>
        <sz val="11"/>
        <color theme="1"/>
        <rFont val="Calibri"/>
        <family val="2"/>
        <charset val="238"/>
        <scheme val="minor"/>
      </rPr>
      <t xml:space="preserve"> =</t>
    </r>
  </si>
  <si>
    <r>
      <rPr>
        <sz val="11"/>
        <color theme="1"/>
        <rFont val="Times New Roman"/>
        <family val="1"/>
        <charset val="238"/>
      </rPr>
      <t>∆</t>
    </r>
    <r>
      <rPr>
        <sz val="11"/>
        <color theme="1"/>
        <rFont val="Calibri"/>
        <family val="2"/>
        <charset val="238"/>
      </rPr>
      <t>V =</t>
    </r>
  </si>
  <si>
    <r>
      <t>T</t>
    </r>
    <r>
      <rPr>
        <vertAlign val="subscript"/>
        <sz val="11"/>
        <color theme="1"/>
        <rFont val="Calibri"/>
        <family val="2"/>
        <charset val="238"/>
        <scheme val="minor"/>
      </rPr>
      <t xml:space="preserve">min </t>
    </r>
    <r>
      <rPr>
        <sz val="11"/>
        <color theme="1"/>
        <rFont val="Calibri"/>
        <family val="2"/>
        <charset val="238"/>
        <scheme val="minor"/>
      </rPr>
      <t>=</t>
    </r>
  </si>
  <si>
    <t>Tu</t>
  </si>
  <si>
    <r>
      <t xml:space="preserve">ρ </t>
    </r>
    <r>
      <rPr>
        <sz val="11"/>
        <color theme="1"/>
        <rFont val="Calibri"/>
        <family val="2"/>
        <charset val="238"/>
        <scheme val="minor"/>
      </rPr>
      <t>dla T</t>
    </r>
    <r>
      <rPr>
        <vertAlign val="subscript"/>
        <sz val="11"/>
        <color theme="1"/>
        <rFont val="Calibri"/>
        <family val="2"/>
        <charset val="238"/>
        <scheme val="minor"/>
      </rPr>
      <t xml:space="preserve">u </t>
    </r>
    <r>
      <rPr>
        <sz val="11"/>
        <color theme="1"/>
        <rFont val="Calibri"/>
        <family val="2"/>
        <charset val="238"/>
        <scheme val="minor"/>
      </rPr>
      <t>=</t>
    </r>
  </si>
  <si>
    <r>
      <t>V dla T</t>
    </r>
    <r>
      <rPr>
        <vertAlign val="subscript"/>
        <sz val="11"/>
        <color theme="1"/>
        <rFont val="Calibri"/>
        <family val="2"/>
        <charset val="238"/>
        <scheme val="minor"/>
      </rPr>
      <t>u</t>
    </r>
    <r>
      <rPr>
        <sz val="11"/>
        <color theme="1"/>
        <rFont val="Calibri"/>
        <family val="2"/>
        <charset val="238"/>
        <scheme val="minor"/>
      </rPr>
      <t xml:space="preserve"> =</t>
    </r>
  </si>
  <si>
    <t>V =</t>
  </si>
  <si>
    <t>pa =</t>
  </si>
  <si>
    <t>Rezerwa objętości w dobranym naczyniu:</t>
  </si>
  <si>
    <t>rodzaj czynnika:</t>
  </si>
  <si>
    <t>8. Dobór naczynia pośredniego:</t>
  </si>
  <si>
    <r>
      <t>1. Dobór naczynia wzbiorczego</t>
    </r>
    <r>
      <rPr>
        <b/>
        <sz val="13"/>
        <color theme="1"/>
        <rFont val="Calibri"/>
        <family val="2"/>
        <charset val="238"/>
        <scheme val="minor"/>
      </rPr>
      <t xml:space="preserve"> Statico</t>
    </r>
    <r>
      <rPr>
        <sz val="13"/>
        <color theme="1"/>
        <rFont val="Calibri"/>
        <family val="2"/>
        <charset val="238"/>
        <scheme val="minor"/>
      </rPr>
      <t xml:space="preserve"> wg PN-EN-12828:</t>
    </r>
  </si>
  <si>
    <r>
      <t xml:space="preserve">2. Dobór naczynia wzbiorczego </t>
    </r>
    <r>
      <rPr>
        <b/>
        <sz val="13"/>
        <color theme="1"/>
        <rFont val="Calibri"/>
        <family val="2"/>
        <charset val="238"/>
        <scheme val="minor"/>
      </rPr>
      <t>Statico</t>
    </r>
    <r>
      <rPr>
        <sz val="13"/>
        <color theme="1"/>
        <rFont val="Calibri"/>
        <family val="2"/>
        <charset val="238"/>
        <scheme val="minor"/>
      </rPr>
      <t xml:space="preserve"> wg PN-B-02414:</t>
    </r>
  </si>
  <si>
    <r>
      <t xml:space="preserve">3. Dobór układu kompresorowego </t>
    </r>
    <r>
      <rPr>
        <b/>
        <sz val="13"/>
        <color theme="1"/>
        <rFont val="Calibri"/>
        <family val="2"/>
        <charset val="238"/>
        <scheme val="minor"/>
      </rPr>
      <t>Compresso</t>
    </r>
    <r>
      <rPr>
        <sz val="13"/>
        <color theme="1"/>
        <rFont val="Calibri"/>
        <family val="2"/>
        <charset val="238"/>
        <scheme val="minor"/>
      </rPr>
      <t xml:space="preserve"> wg PN-EN-12828:</t>
    </r>
  </si>
  <si>
    <r>
      <t xml:space="preserve">4. Dobór układu pompowego </t>
    </r>
    <r>
      <rPr>
        <b/>
        <sz val="13"/>
        <color theme="1"/>
        <rFont val="Calibri"/>
        <family val="2"/>
        <charset val="238"/>
        <scheme val="minor"/>
      </rPr>
      <t>Transfero</t>
    </r>
    <r>
      <rPr>
        <sz val="13"/>
        <color theme="1"/>
        <rFont val="Calibri"/>
        <family val="2"/>
        <charset val="238"/>
        <scheme val="minor"/>
      </rPr>
      <t xml:space="preserve"> wg PN-EN-12828:</t>
    </r>
  </si>
  <si>
    <t>Parametry do doboru naczynia wzbiorczego:</t>
  </si>
  <si>
    <r>
      <t>1) T</t>
    </r>
    <r>
      <rPr>
        <b/>
        <vertAlign val="subscript"/>
        <sz val="11"/>
        <color theme="1"/>
        <rFont val="Calibri"/>
        <family val="2"/>
        <charset val="238"/>
        <scheme val="minor"/>
      </rPr>
      <t>max</t>
    </r>
    <r>
      <rPr>
        <b/>
        <sz val="11"/>
        <color theme="1"/>
        <rFont val="Calibri"/>
        <family val="2"/>
        <charset val="238"/>
        <scheme val="minor"/>
      </rPr>
      <t xml:space="preserve"> - maksymalna temperatura czynnika w systemie [˚C]:</t>
    </r>
  </si>
  <si>
    <r>
      <t>2) T</t>
    </r>
    <r>
      <rPr>
        <b/>
        <vertAlign val="subscript"/>
        <sz val="11"/>
        <color theme="1"/>
        <rFont val="Calibri"/>
        <family val="2"/>
        <charset val="238"/>
        <scheme val="minor"/>
      </rPr>
      <t xml:space="preserve">min </t>
    </r>
    <r>
      <rPr>
        <b/>
        <sz val="11"/>
        <color theme="1"/>
        <rFont val="Calibri"/>
        <family val="2"/>
        <charset val="238"/>
        <scheme val="minor"/>
      </rPr>
      <t>- minimalna temperatura czynnika w systemie [˚C]:</t>
    </r>
  </si>
  <si>
    <r>
      <t>3) T</t>
    </r>
    <r>
      <rPr>
        <b/>
        <vertAlign val="subscript"/>
        <sz val="11"/>
        <color theme="1"/>
        <rFont val="Calibri"/>
        <family val="2"/>
        <charset val="238"/>
        <scheme val="minor"/>
      </rPr>
      <t>u</t>
    </r>
    <r>
      <rPr>
        <b/>
        <sz val="11"/>
        <color theme="1"/>
        <rFont val="Calibri"/>
        <family val="2"/>
        <charset val="238"/>
        <scheme val="minor"/>
      </rPr>
      <t xml:space="preserve"> - temperatura czynnika w momencie ustawienia naczynia [˚C]:</t>
    </r>
  </si>
  <si>
    <r>
      <t>dm</t>
    </r>
    <r>
      <rPr>
        <b/>
        <vertAlign val="superscript"/>
        <sz val="11"/>
        <color theme="1"/>
        <rFont val="Calibri"/>
        <family val="2"/>
        <charset val="238"/>
        <scheme val="minor"/>
      </rPr>
      <t>3</t>
    </r>
  </si>
  <si>
    <r>
      <t>6) H</t>
    </r>
    <r>
      <rPr>
        <b/>
        <vertAlign val="subscript"/>
        <sz val="11"/>
        <color theme="1"/>
        <rFont val="Calibri"/>
        <family val="2"/>
        <charset val="238"/>
        <scheme val="minor"/>
      </rPr>
      <t>ST</t>
    </r>
    <r>
      <rPr>
        <b/>
        <sz val="11"/>
        <color theme="1"/>
        <rFont val="Calibri"/>
        <family val="2"/>
        <charset val="238"/>
        <scheme val="minor"/>
      </rPr>
      <t xml:space="preserve"> - wysokość statyczna instalacji [m]:</t>
    </r>
  </si>
  <si>
    <t>Stężenie glikolu etylenowego %</t>
  </si>
  <si>
    <t>Stężenie glikolu propylenowego %</t>
  </si>
  <si>
    <t>glikol etylenowy:      40%        (-26˚C)</t>
  </si>
  <si>
    <t>glikol etylenowy:      35%        (-22˚C)</t>
  </si>
  <si>
    <t>glikol etylenowy:      30%        (-16˚C)</t>
  </si>
  <si>
    <t>glikol etylenowy:      25%        (-12˚C)</t>
  </si>
  <si>
    <t>glikol etylenowy:      20%          (-9˚C)</t>
  </si>
  <si>
    <t>glikol propylenowy:  20%          (-8˚C)</t>
  </si>
  <si>
    <t>glikol propylenowy:  25%        (-10˚C)</t>
  </si>
  <si>
    <t>glikol propylenowy:  30%        (-14˚C)</t>
  </si>
  <si>
    <t>glikol propylenowy:  35%        (-17˚C)</t>
  </si>
  <si>
    <t>glikol propylenowy:  40%        (-21˚C)</t>
  </si>
  <si>
    <t>7) PSV - ciśnienie otwarcia zaworu bezpieczeństwa - ZB [bar]:</t>
  </si>
  <si>
    <t>7. Sprawdzenie warunku poprawności doboru:</t>
  </si>
  <si>
    <t>8. Wyznaczenie wymaganej średnicy wewnętrznej rury wzbiorczej:</t>
  </si>
  <si>
    <t>9. Parametry techniczne dobranych naczyń wzbiorczych:</t>
  </si>
  <si>
    <t>12. Wytyczne do montażu naczynia oraz napełniania instalacji:</t>
  </si>
  <si>
    <t>13. Parametry do ustawienia na budowie:</t>
  </si>
  <si>
    <t>14. Zestawienie dobranych elementów:</t>
  </si>
  <si>
    <r>
      <t>V</t>
    </r>
    <r>
      <rPr>
        <b/>
        <vertAlign val="subscript"/>
        <sz val="11"/>
        <color theme="1"/>
        <rFont val="Calibri"/>
        <family val="2"/>
        <charset val="238"/>
        <scheme val="minor"/>
      </rPr>
      <t>exp,min</t>
    </r>
    <r>
      <rPr>
        <b/>
        <sz val="11"/>
        <color theme="1"/>
        <rFont val="Calibri"/>
        <family val="2"/>
        <charset val="238"/>
        <scheme val="minor"/>
      </rPr>
      <t xml:space="preserve"> </t>
    </r>
    <r>
      <rPr>
        <b/>
        <sz val="11"/>
        <color theme="1"/>
        <rFont val="Times New Roman"/>
        <family val="1"/>
        <charset val="238"/>
      </rPr>
      <t>≥</t>
    </r>
  </si>
  <si>
    <r>
      <t>1) T</t>
    </r>
    <r>
      <rPr>
        <vertAlign val="subscript"/>
        <sz val="11"/>
        <color theme="0"/>
        <rFont val="Calibri"/>
        <family val="2"/>
        <charset val="238"/>
        <scheme val="minor"/>
      </rPr>
      <t>max</t>
    </r>
    <r>
      <rPr>
        <sz val="11"/>
        <color theme="0"/>
        <rFont val="Calibri"/>
        <family val="2"/>
        <charset val="238"/>
        <scheme val="minor"/>
      </rPr>
      <t xml:space="preserve"> - najwyższa możliwa temperatura czynnika w systemie [˚C]:</t>
    </r>
  </si>
  <si>
    <r>
      <t>2) T</t>
    </r>
    <r>
      <rPr>
        <vertAlign val="subscript"/>
        <sz val="11"/>
        <color theme="0"/>
        <rFont val="Calibri"/>
        <family val="2"/>
        <charset val="238"/>
        <scheme val="minor"/>
      </rPr>
      <t>min</t>
    </r>
    <r>
      <rPr>
        <sz val="11"/>
        <color theme="0"/>
        <rFont val="Calibri"/>
        <family val="2"/>
        <charset val="238"/>
        <scheme val="minor"/>
      </rPr>
      <t xml:space="preserve"> - najniższa możliwa temperatura czynnika w systemie [˚C]:</t>
    </r>
  </si>
  <si>
    <r>
      <t>V</t>
    </r>
    <r>
      <rPr>
        <vertAlign val="subscript"/>
        <sz val="11"/>
        <color theme="1"/>
        <rFont val="Calibri"/>
        <family val="2"/>
        <charset val="238"/>
        <scheme val="minor"/>
      </rPr>
      <t xml:space="preserve">R </t>
    </r>
    <r>
      <rPr>
        <sz val="11"/>
        <color theme="1"/>
        <rFont val="Calibri"/>
        <family val="2"/>
        <charset val="238"/>
        <scheme val="minor"/>
      </rPr>
      <t>=</t>
    </r>
  </si>
  <si>
    <r>
      <t>2) T</t>
    </r>
    <r>
      <rPr>
        <vertAlign val="subscript"/>
        <sz val="11"/>
        <color theme="0"/>
        <rFont val="Calibri"/>
        <family val="2"/>
        <charset val="238"/>
        <scheme val="minor"/>
      </rPr>
      <t>1</t>
    </r>
    <r>
      <rPr>
        <sz val="11"/>
        <color theme="0"/>
        <rFont val="Calibri"/>
        <family val="2"/>
        <charset val="238"/>
        <scheme val="minor"/>
      </rPr>
      <t xml:space="preserve"> - najniższa możliwa temperatura czynnika w systemie [˚C]:</t>
    </r>
  </si>
  <si>
    <r>
      <t>1) T</t>
    </r>
    <r>
      <rPr>
        <vertAlign val="subscript"/>
        <sz val="11"/>
        <color theme="0"/>
        <rFont val="Calibri"/>
        <family val="2"/>
        <charset val="238"/>
        <scheme val="minor"/>
      </rPr>
      <t>z</t>
    </r>
    <r>
      <rPr>
        <sz val="11"/>
        <color theme="0"/>
        <rFont val="Calibri"/>
        <family val="2"/>
        <charset val="238"/>
        <scheme val="minor"/>
      </rPr>
      <t xml:space="preserve"> - najwyższa możliwa temperatura czynnika w systemie [˚C]:</t>
    </r>
  </si>
  <si>
    <r>
      <t>1) T</t>
    </r>
    <r>
      <rPr>
        <b/>
        <vertAlign val="subscript"/>
        <sz val="11"/>
        <color theme="1"/>
        <rFont val="Calibri"/>
        <family val="2"/>
        <charset val="238"/>
        <scheme val="minor"/>
      </rPr>
      <t>z</t>
    </r>
    <r>
      <rPr>
        <b/>
        <sz val="11"/>
        <color theme="1"/>
        <rFont val="Calibri"/>
        <family val="2"/>
        <charset val="238"/>
        <scheme val="minor"/>
      </rPr>
      <t xml:space="preserve"> - maksymalna temperatura czynnika w systemie [˚C]:</t>
    </r>
  </si>
  <si>
    <r>
      <t>2) T</t>
    </r>
    <r>
      <rPr>
        <b/>
        <vertAlign val="subscript"/>
        <sz val="11"/>
        <color theme="1"/>
        <rFont val="Calibri"/>
        <family val="2"/>
        <charset val="238"/>
        <scheme val="minor"/>
      </rPr>
      <t xml:space="preserve">1 </t>
    </r>
    <r>
      <rPr>
        <b/>
        <sz val="11"/>
        <color theme="1"/>
        <rFont val="Calibri"/>
        <family val="2"/>
        <charset val="238"/>
        <scheme val="minor"/>
      </rPr>
      <t>- minimalna temperatura czynnika w systemie [˚C]:</t>
    </r>
  </si>
  <si>
    <r>
      <rPr>
        <sz val="11"/>
        <color theme="1"/>
        <rFont val="Times New Roman"/>
        <family val="1"/>
        <charset val="238"/>
      </rPr>
      <t>∆V</t>
    </r>
    <r>
      <rPr>
        <sz val="11"/>
        <color theme="1"/>
        <rFont val="Calibri"/>
        <family val="2"/>
        <charset val="238"/>
        <scheme val="minor"/>
      </rPr>
      <t xml:space="preserve"> - przyrost objetości właściwej czynnika przy jego ogrzaniu od t</t>
    </r>
    <r>
      <rPr>
        <vertAlign val="subscript"/>
        <sz val="11"/>
        <color theme="1"/>
        <rFont val="Calibri"/>
        <family val="2"/>
        <charset val="238"/>
        <scheme val="minor"/>
      </rPr>
      <t>1</t>
    </r>
    <r>
      <rPr>
        <sz val="11"/>
        <color theme="1"/>
        <rFont val="Calibri"/>
        <family val="2"/>
        <charset val="238"/>
        <scheme val="minor"/>
      </rPr>
      <t xml:space="preserve"> do t</t>
    </r>
    <r>
      <rPr>
        <vertAlign val="subscript"/>
        <sz val="11"/>
        <color theme="1"/>
        <rFont val="Calibri"/>
        <family val="2"/>
        <charset val="238"/>
        <scheme val="minor"/>
      </rPr>
      <t>z</t>
    </r>
    <r>
      <rPr>
        <sz val="11"/>
        <color theme="1"/>
        <rFont val="Calibri"/>
        <family val="2"/>
        <charset val="238"/>
        <scheme val="minor"/>
      </rPr>
      <t xml:space="preserve"> [dm</t>
    </r>
    <r>
      <rPr>
        <vertAlign val="superscript"/>
        <sz val="11"/>
        <color theme="1"/>
        <rFont val="Calibri"/>
        <family val="2"/>
        <charset val="238"/>
        <scheme val="minor"/>
      </rPr>
      <t>3</t>
    </r>
    <r>
      <rPr>
        <sz val="11"/>
        <color theme="1"/>
        <rFont val="Calibri"/>
        <family val="2"/>
        <charset val="238"/>
        <scheme val="minor"/>
      </rPr>
      <t>/kg]</t>
    </r>
  </si>
  <si>
    <r>
      <t>T</t>
    </r>
    <r>
      <rPr>
        <vertAlign val="subscript"/>
        <sz val="11"/>
        <color theme="1"/>
        <rFont val="Calibri"/>
        <family val="2"/>
        <charset val="238"/>
        <scheme val="minor"/>
      </rPr>
      <t xml:space="preserve">z </t>
    </r>
    <r>
      <rPr>
        <sz val="11"/>
        <color theme="1"/>
        <rFont val="Calibri"/>
        <family val="2"/>
        <charset val="238"/>
        <scheme val="minor"/>
      </rPr>
      <t>=</t>
    </r>
  </si>
  <si>
    <r>
      <t>T</t>
    </r>
    <r>
      <rPr>
        <vertAlign val="subscript"/>
        <sz val="11"/>
        <color theme="1"/>
        <rFont val="Calibri"/>
        <family val="2"/>
        <charset val="238"/>
        <scheme val="minor"/>
      </rPr>
      <t>1</t>
    </r>
    <r>
      <rPr>
        <sz val="11"/>
        <color theme="1"/>
        <rFont val="Calibri"/>
        <family val="2"/>
        <charset val="238"/>
        <scheme val="minor"/>
      </rPr>
      <t xml:space="preserve"> =</t>
    </r>
  </si>
  <si>
    <t>Tz</t>
  </si>
  <si>
    <t>T1</t>
  </si>
  <si>
    <r>
      <t xml:space="preserve">ρ </t>
    </r>
    <r>
      <rPr>
        <sz val="11"/>
        <color theme="1"/>
        <rFont val="Calibri"/>
        <family val="2"/>
        <charset val="238"/>
        <scheme val="minor"/>
      </rPr>
      <t>dla Tz</t>
    </r>
    <r>
      <rPr>
        <vertAlign val="subscript"/>
        <sz val="11"/>
        <color theme="1"/>
        <rFont val="Calibri"/>
        <family val="2"/>
        <charset val="238"/>
        <scheme val="minor"/>
      </rPr>
      <t xml:space="preserve"> </t>
    </r>
    <r>
      <rPr>
        <sz val="11"/>
        <color theme="1"/>
        <rFont val="Calibri"/>
        <family val="2"/>
        <charset val="238"/>
        <scheme val="minor"/>
      </rPr>
      <t>=</t>
    </r>
  </si>
  <si>
    <r>
      <t xml:space="preserve">ρ </t>
    </r>
    <r>
      <rPr>
        <sz val="11"/>
        <color theme="1"/>
        <rFont val="Calibri"/>
        <family val="2"/>
        <charset val="238"/>
        <scheme val="minor"/>
      </rPr>
      <t>dla T1</t>
    </r>
    <r>
      <rPr>
        <vertAlign val="subscript"/>
        <sz val="11"/>
        <color theme="1"/>
        <rFont val="Calibri"/>
        <family val="2"/>
        <charset val="238"/>
        <scheme val="minor"/>
      </rPr>
      <t xml:space="preserve"> </t>
    </r>
    <r>
      <rPr>
        <sz val="11"/>
        <color theme="1"/>
        <rFont val="Calibri"/>
        <family val="2"/>
        <charset val="238"/>
        <scheme val="minor"/>
      </rPr>
      <t>=</t>
    </r>
  </si>
  <si>
    <r>
      <t>V</t>
    </r>
    <r>
      <rPr>
        <b/>
        <vertAlign val="subscript"/>
        <sz val="11"/>
        <color theme="1"/>
        <rFont val="Calibri"/>
        <family val="2"/>
        <charset val="238"/>
        <scheme val="minor"/>
      </rPr>
      <t>nR</t>
    </r>
    <r>
      <rPr>
        <b/>
        <sz val="11"/>
        <color theme="1"/>
        <rFont val="Calibri"/>
        <family val="2"/>
        <charset val="238"/>
        <scheme val="minor"/>
      </rPr>
      <t xml:space="preserve"> </t>
    </r>
    <r>
      <rPr>
        <b/>
        <sz val="11"/>
        <color theme="1"/>
        <rFont val="Times New Roman"/>
        <family val="1"/>
        <charset val="238"/>
      </rPr>
      <t>≥</t>
    </r>
  </si>
  <si>
    <t>8. Sprawdzenie warunku poprawności doboru:</t>
  </si>
  <si>
    <t>9. Wyznaczenie wymaganej średnicy wewnętrznej rury wzbiorczej:</t>
  </si>
  <si>
    <t>10. Parametry techniczne dobranych naczyń wzbiorczych:</t>
  </si>
  <si>
    <t>11. Obliczenia kontrolne:</t>
  </si>
  <si>
    <t>10. Wyznaczenie minimalnej wartości ciśnienia napełniania instalacji:</t>
  </si>
  <si>
    <r>
      <t>11. Wyznaczenie optymalnej wartości ciśnienia napełniania p</t>
    </r>
    <r>
      <rPr>
        <b/>
        <vertAlign val="subscript"/>
        <sz val="11"/>
        <color theme="1"/>
        <rFont val="Calibri"/>
        <family val="2"/>
        <charset val="238"/>
        <scheme val="minor"/>
      </rPr>
      <t>a</t>
    </r>
    <r>
      <rPr>
        <b/>
        <sz val="11"/>
        <color theme="1"/>
        <rFont val="Calibri"/>
        <family val="2"/>
        <charset val="238"/>
        <scheme val="minor"/>
      </rPr>
      <t>:</t>
    </r>
  </si>
  <si>
    <r>
      <t>12. Wyznaczenie optymalnej wartości ciśnienia napełniania p</t>
    </r>
    <r>
      <rPr>
        <b/>
        <vertAlign val="subscript"/>
        <sz val="11"/>
        <color theme="1"/>
        <rFont val="Calibri"/>
        <family val="2"/>
        <charset val="238"/>
        <scheme val="minor"/>
      </rPr>
      <t>R</t>
    </r>
    <r>
      <rPr>
        <b/>
        <sz val="11"/>
        <color theme="1"/>
        <rFont val="Calibri"/>
        <family val="2"/>
        <charset val="238"/>
        <scheme val="minor"/>
      </rPr>
      <t>:</t>
    </r>
  </si>
  <si>
    <r>
      <t>V</t>
    </r>
    <r>
      <rPr>
        <vertAlign val="subscript"/>
        <sz val="11"/>
        <color theme="1"/>
        <rFont val="Calibri"/>
        <family val="2"/>
        <charset val="238"/>
        <scheme val="minor"/>
      </rPr>
      <t>WR1</t>
    </r>
    <r>
      <rPr>
        <sz val="11"/>
        <color theme="1"/>
        <rFont val="Calibri"/>
        <family val="2"/>
        <charset val="238"/>
        <scheme val="minor"/>
      </rPr>
      <t xml:space="preserve"> =</t>
    </r>
  </si>
  <si>
    <t>pR</t>
  </si>
  <si>
    <t>13. Wytyczne do montażu naczynia oraz napełniania instalacji c.o.:</t>
  </si>
  <si>
    <t>14. Parametry do ustawienia na budowie:</t>
  </si>
  <si>
    <t>15. Zestawienie dobranych elementów:</t>
  </si>
  <si>
    <t>3) Rodzaj czynnika w systemie:</t>
  </si>
  <si>
    <r>
      <t>5) H</t>
    </r>
    <r>
      <rPr>
        <vertAlign val="subscript"/>
        <sz val="11"/>
        <color theme="0"/>
        <rFont val="Calibri"/>
        <family val="2"/>
        <charset val="238"/>
        <scheme val="minor"/>
      </rPr>
      <t>ST</t>
    </r>
    <r>
      <rPr>
        <sz val="11"/>
        <color theme="0"/>
        <rFont val="Calibri"/>
        <family val="2"/>
        <charset val="238"/>
        <scheme val="minor"/>
      </rPr>
      <t xml:space="preserve"> - wysokość statyczna instalacji - (patrz rysunek obok) [m]:</t>
    </r>
  </si>
  <si>
    <t>6) PSV - ciśnienie otwarcia zaworu bezpieczeństwa - ZB [bar]:</t>
  </si>
  <si>
    <t>7) Obecność odgazowywacza próżniowego Vento w systemie:</t>
  </si>
  <si>
    <r>
      <t>5) H</t>
    </r>
    <r>
      <rPr>
        <b/>
        <vertAlign val="subscript"/>
        <sz val="11"/>
        <color theme="1"/>
        <rFont val="Calibri"/>
        <family val="2"/>
        <charset val="238"/>
        <scheme val="minor"/>
      </rPr>
      <t>ST</t>
    </r>
    <r>
      <rPr>
        <b/>
        <sz val="11"/>
        <color theme="1"/>
        <rFont val="Calibri"/>
        <family val="2"/>
        <charset val="238"/>
        <scheme val="minor"/>
      </rPr>
      <t xml:space="preserve"> - wysokość statyczna instalacji [m]:</t>
    </r>
  </si>
  <si>
    <t>6) PSV - ciśnienie otwarcia zaworu bezpieczeństwa [bar]:</t>
  </si>
  <si>
    <t>7) Nominalna moc cieplna/chłodnicza źródła:</t>
  </si>
  <si>
    <t>8) Nominalna moc cieplna/chłodnicza źródła - Q:</t>
  </si>
  <si>
    <t>Dobór naczynia wzbiorczego wg wytycznych normy PN-B-02414</t>
  </si>
  <si>
    <t>8. Wymagana średnica wewnętrzna rury wzbiorczej:</t>
  </si>
  <si>
    <t>10. Parametry pracy urządzenia Compresso:</t>
  </si>
  <si>
    <t>11. Wytyczne do montażu naczynia oraz napełniania instalacji c.o.:</t>
  </si>
  <si>
    <t>12. Parametry do ustawienia na budowie:</t>
  </si>
  <si>
    <t>13. Dobór urządzenia TecBox - Compresso na podstawie punktu pracy:</t>
  </si>
  <si>
    <r>
      <t>V</t>
    </r>
    <r>
      <rPr>
        <b/>
        <vertAlign val="subscript"/>
        <sz val="11"/>
        <rFont val="Calibri"/>
        <family val="2"/>
        <charset val="238"/>
        <scheme val="minor"/>
      </rPr>
      <t>exp,min</t>
    </r>
    <r>
      <rPr>
        <b/>
        <sz val="11"/>
        <rFont val="Calibri"/>
        <family val="2"/>
        <charset val="238"/>
        <scheme val="minor"/>
      </rPr>
      <t xml:space="preserve"> </t>
    </r>
    <r>
      <rPr>
        <b/>
        <sz val="11"/>
        <rFont val="Times New Roman"/>
        <family val="1"/>
        <charset val="238"/>
      </rPr>
      <t>≥</t>
    </r>
  </si>
  <si>
    <r>
      <t>dm</t>
    </r>
    <r>
      <rPr>
        <b/>
        <vertAlign val="superscript"/>
        <sz val="11"/>
        <rFont val="Calibri"/>
        <family val="2"/>
        <charset val="238"/>
        <scheme val="minor"/>
      </rPr>
      <t>3</t>
    </r>
  </si>
  <si>
    <t>14. Dobór naczynia pośredniego (jeśli wymagane):</t>
  </si>
  <si>
    <t>8) PSV - ciśnienie otwarcia zaworu bezpieczeństwa - ZB [bar]:</t>
  </si>
  <si>
    <r>
      <t>4) T</t>
    </r>
    <r>
      <rPr>
        <vertAlign val="subscript"/>
        <sz val="11"/>
        <color theme="0"/>
        <rFont val="Calibri"/>
        <family val="2"/>
        <charset val="238"/>
        <scheme val="minor"/>
      </rPr>
      <t>n</t>
    </r>
    <r>
      <rPr>
        <sz val="11"/>
        <color theme="0"/>
        <rFont val="Calibri"/>
        <family val="2"/>
        <charset val="238"/>
        <scheme val="minor"/>
      </rPr>
      <t xml:space="preserve"> - max temperatura czynnika w miejscu montażu naczynia [˚C]:</t>
    </r>
  </si>
  <si>
    <r>
      <t>dla T</t>
    </r>
    <r>
      <rPr>
        <vertAlign val="subscript"/>
        <sz val="11"/>
        <color theme="1"/>
        <rFont val="Calibri"/>
        <family val="2"/>
        <charset val="238"/>
        <scheme val="minor"/>
      </rPr>
      <t>n</t>
    </r>
    <r>
      <rPr>
        <sz val="11"/>
        <color theme="1"/>
        <rFont val="Calibri"/>
        <family val="2"/>
        <charset val="238"/>
        <scheme val="minor"/>
      </rPr>
      <t xml:space="preserve"> =</t>
    </r>
  </si>
  <si>
    <r>
      <t xml:space="preserve">ρ </t>
    </r>
    <r>
      <rPr>
        <sz val="11"/>
        <color theme="1"/>
        <rFont val="Calibri"/>
        <family val="2"/>
        <charset val="238"/>
        <scheme val="minor"/>
      </rPr>
      <t>dla T</t>
    </r>
    <r>
      <rPr>
        <vertAlign val="subscript"/>
        <sz val="11"/>
        <color theme="1"/>
        <rFont val="Calibri"/>
        <family val="2"/>
        <charset val="238"/>
        <scheme val="minor"/>
      </rPr>
      <t xml:space="preserve">70 </t>
    </r>
    <r>
      <rPr>
        <sz val="11"/>
        <color theme="1"/>
        <rFont val="Calibri"/>
        <family val="2"/>
        <charset val="238"/>
        <scheme val="minor"/>
      </rPr>
      <t>=</t>
    </r>
  </si>
  <si>
    <r>
      <t xml:space="preserve">ρ </t>
    </r>
    <r>
      <rPr>
        <sz val="11"/>
        <color theme="1"/>
        <rFont val="Calibri"/>
        <family val="2"/>
        <charset val="238"/>
        <scheme val="minor"/>
      </rPr>
      <t>dla T</t>
    </r>
    <r>
      <rPr>
        <vertAlign val="subscript"/>
        <sz val="11"/>
        <color theme="1"/>
        <rFont val="Calibri"/>
        <family val="2"/>
        <charset val="238"/>
        <scheme val="minor"/>
      </rPr>
      <t>n</t>
    </r>
    <r>
      <rPr>
        <sz val="11"/>
        <color theme="1"/>
        <rFont val="Calibri"/>
        <family val="2"/>
        <charset val="238"/>
        <scheme val="minor"/>
      </rPr>
      <t>=</t>
    </r>
  </si>
  <si>
    <r>
      <t>T</t>
    </r>
    <r>
      <rPr>
        <vertAlign val="subscript"/>
        <sz val="11"/>
        <color theme="1"/>
        <rFont val="Calibri"/>
        <family val="2"/>
        <charset val="238"/>
        <scheme val="minor"/>
      </rPr>
      <t>70</t>
    </r>
  </si>
  <si>
    <r>
      <t>T</t>
    </r>
    <r>
      <rPr>
        <vertAlign val="subscript"/>
        <sz val="11"/>
        <color theme="1"/>
        <rFont val="Calibri"/>
        <family val="2"/>
        <charset val="238"/>
        <scheme val="minor"/>
      </rPr>
      <t>n</t>
    </r>
  </si>
  <si>
    <r>
      <rPr>
        <sz val="11"/>
        <color theme="1"/>
        <rFont val="Times New Roman"/>
        <family val="1"/>
        <charset val="238"/>
      </rPr>
      <t>∆</t>
    </r>
    <r>
      <rPr>
        <sz val="11"/>
        <color theme="1"/>
        <rFont val="Calibri"/>
        <family val="2"/>
        <charset val="238"/>
        <scheme val="minor"/>
      </rPr>
      <t>e =</t>
    </r>
  </si>
  <si>
    <r>
      <t>V</t>
    </r>
    <r>
      <rPr>
        <b/>
        <vertAlign val="subscript"/>
        <sz val="11"/>
        <color theme="1"/>
        <rFont val="Calibri"/>
        <family val="2"/>
        <charset val="238"/>
        <scheme val="minor"/>
      </rPr>
      <t>n-poś.</t>
    </r>
    <r>
      <rPr>
        <b/>
        <sz val="11"/>
        <color theme="1"/>
        <rFont val="Calibri"/>
        <family val="2"/>
        <charset val="238"/>
        <scheme val="minor"/>
      </rPr>
      <t xml:space="preserve"> </t>
    </r>
    <r>
      <rPr>
        <b/>
        <sz val="11"/>
        <color theme="1"/>
        <rFont val="Times New Roman"/>
        <family val="1"/>
        <charset val="238"/>
      </rPr>
      <t>≥</t>
    </r>
  </si>
  <si>
    <r>
      <t>Napełnić instalację solarną do następującego ciśnienia:                  p</t>
    </r>
    <r>
      <rPr>
        <vertAlign val="subscript"/>
        <sz val="11"/>
        <color theme="1"/>
        <rFont val="Calibri"/>
        <family val="2"/>
        <charset val="238"/>
        <scheme val="minor"/>
      </rPr>
      <t>a</t>
    </r>
    <r>
      <rPr>
        <sz val="11"/>
        <color theme="1"/>
        <rFont val="Calibri"/>
        <family val="2"/>
        <charset val="238"/>
        <scheme val="minor"/>
      </rPr>
      <t>=</t>
    </r>
  </si>
  <si>
    <r>
      <t>Napełnić instalację do następującego ciśnienia:                          p</t>
    </r>
    <r>
      <rPr>
        <vertAlign val="subscript"/>
        <sz val="11"/>
        <color theme="1"/>
        <rFont val="Calibri"/>
        <family val="2"/>
        <charset val="238"/>
        <scheme val="minor"/>
      </rPr>
      <t>a</t>
    </r>
    <r>
      <rPr>
        <sz val="11"/>
        <color theme="1"/>
        <rFont val="Calibri"/>
        <family val="2"/>
        <charset val="238"/>
        <scheme val="minor"/>
      </rPr>
      <t>=</t>
    </r>
  </si>
  <si>
    <r>
      <t>Napełnić instalację do następującego ciśnienia:                           p</t>
    </r>
    <r>
      <rPr>
        <vertAlign val="subscript"/>
        <sz val="11"/>
        <color theme="1"/>
        <rFont val="Calibri"/>
        <family val="2"/>
        <charset val="238"/>
        <scheme val="minor"/>
      </rPr>
      <t>a</t>
    </r>
    <r>
      <rPr>
        <sz val="11"/>
        <color theme="1"/>
        <rFont val="Calibri"/>
        <family val="2"/>
        <charset val="238"/>
        <scheme val="minor"/>
      </rPr>
      <t>=</t>
    </r>
  </si>
  <si>
    <r>
      <t>Napełnić instalację do następującego ciśnienia:                          p</t>
    </r>
    <r>
      <rPr>
        <vertAlign val="subscript"/>
        <sz val="11"/>
        <color theme="1"/>
        <rFont val="Calibri"/>
        <family val="2"/>
        <charset val="238"/>
        <scheme val="minor"/>
      </rPr>
      <t>R</t>
    </r>
    <r>
      <rPr>
        <sz val="11"/>
        <color theme="1"/>
        <rFont val="Calibri"/>
        <family val="2"/>
        <charset val="238"/>
        <scheme val="minor"/>
      </rPr>
      <t>=</t>
    </r>
  </si>
  <si>
    <r>
      <t>T</t>
    </r>
    <r>
      <rPr>
        <vertAlign val="subscript"/>
        <sz val="11"/>
        <color theme="1"/>
        <rFont val="Calibri"/>
        <family val="2"/>
        <charset val="238"/>
        <scheme val="minor"/>
      </rPr>
      <t>10</t>
    </r>
  </si>
  <si>
    <r>
      <t>T</t>
    </r>
    <r>
      <rPr>
        <vertAlign val="subscript"/>
        <sz val="11"/>
        <color theme="1"/>
        <rFont val="Calibri"/>
        <family val="2"/>
        <charset val="238"/>
        <scheme val="minor"/>
      </rPr>
      <t>max</t>
    </r>
  </si>
  <si>
    <r>
      <t xml:space="preserve">ρ </t>
    </r>
    <r>
      <rPr>
        <sz val="11"/>
        <color theme="1"/>
        <rFont val="Calibri"/>
        <family val="2"/>
        <charset val="238"/>
        <scheme val="minor"/>
      </rPr>
      <t>dla T</t>
    </r>
    <r>
      <rPr>
        <vertAlign val="subscript"/>
        <sz val="11"/>
        <color theme="1"/>
        <rFont val="Calibri"/>
        <family val="2"/>
        <charset val="238"/>
        <scheme val="minor"/>
      </rPr>
      <t xml:space="preserve">10 </t>
    </r>
    <r>
      <rPr>
        <sz val="11"/>
        <color theme="1"/>
        <rFont val="Calibri"/>
        <family val="2"/>
        <charset val="238"/>
        <scheme val="minor"/>
      </rPr>
      <t>=</t>
    </r>
  </si>
  <si>
    <r>
      <t xml:space="preserve">ρ </t>
    </r>
    <r>
      <rPr>
        <sz val="11"/>
        <color theme="1"/>
        <rFont val="Calibri"/>
        <family val="2"/>
        <charset val="238"/>
        <scheme val="minor"/>
      </rPr>
      <t>dla T</t>
    </r>
    <r>
      <rPr>
        <vertAlign val="subscript"/>
        <sz val="11"/>
        <color theme="1"/>
        <rFont val="Calibri"/>
        <family val="2"/>
        <charset val="238"/>
        <scheme val="minor"/>
      </rPr>
      <t>max</t>
    </r>
    <r>
      <rPr>
        <sz val="11"/>
        <color theme="1"/>
        <rFont val="Calibri"/>
        <family val="2"/>
        <charset val="238"/>
        <scheme val="minor"/>
      </rPr>
      <t>=</t>
    </r>
  </si>
  <si>
    <t>Dobór naczynia wzbiorczego do instalacji c.w.u. wg wytycznych Pneumatex</t>
  </si>
  <si>
    <r>
      <t>VN</t>
    </r>
    <r>
      <rPr>
        <b/>
        <vertAlign val="subscript"/>
        <sz val="11"/>
        <color theme="1"/>
        <rFont val="Calibri"/>
        <family val="2"/>
        <charset val="238"/>
        <scheme val="minor"/>
      </rPr>
      <t xml:space="preserve"> </t>
    </r>
    <r>
      <rPr>
        <b/>
        <sz val="11"/>
        <color theme="1"/>
        <rFont val="Times New Roman"/>
        <family val="1"/>
        <charset val="238"/>
      </rPr>
      <t>≥</t>
    </r>
  </si>
  <si>
    <t>2. Sprawdzenie warunku poprawności doboru:</t>
  </si>
  <si>
    <t>3. Parametry techniczne dobranych naczyń wzbiorczych:</t>
  </si>
  <si>
    <t>4. Parametry do ustawienia na budowie:</t>
  </si>
  <si>
    <r>
      <t>4) T</t>
    </r>
    <r>
      <rPr>
        <b/>
        <vertAlign val="subscript"/>
        <sz val="11"/>
        <color theme="1"/>
        <rFont val="Calibri"/>
        <family val="2"/>
        <charset val="238"/>
        <scheme val="minor"/>
      </rPr>
      <t>max</t>
    </r>
    <r>
      <rPr>
        <b/>
        <sz val="11"/>
        <color theme="1"/>
        <rFont val="Calibri"/>
        <family val="2"/>
        <charset val="238"/>
        <scheme val="minor"/>
      </rPr>
      <t xml:space="preserve"> - maksymalna temperatura c.w.u. [˚C]:</t>
    </r>
  </si>
  <si>
    <r>
      <t>1) T</t>
    </r>
    <r>
      <rPr>
        <vertAlign val="subscript"/>
        <sz val="11"/>
        <color theme="0"/>
        <rFont val="Calibri"/>
        <family val="2"/>
        <charset val="238"/>
        <scheme val="minor"/>
      </rPr>
      <t>max/min</t>
    </r>
    <r>
      <rPr>
        <sz val="11"/>
        <color theme="0"/>
        <rFont val="Calibri"/>
        <family val="2"/>
        <charset val="238"/>
        <scheme val="minor"/>
      </rPr>
      <t xml:space="preserve"> - max. / min. temp. czynnika w miejscu montażu naczynia [˚C]:</t>
    </r>
  </si>
  <si>
    <r>
      <t>2) T</t>
    </r>
    <r>
      <rPr>
        <vertAlign val="subscript"/>
        <sz val="11"/>
        <color theme="0"/>
        <rFont val="Calibri"/>
        <family val="2"/>
        <charset val="238"/>
        <scheme val="minor"/>
      </rPr>
      <t>dop.</t>
    </r>
    <r>
      <rPr>
        <sz val="11"/>
        <color theme="0"/>
        <rFont val="Calibri"/>
        <family val="2"/>
        <charset val="238"/>
        <scheme val="minor"/>
      </rPr>
      <t xml:space="preserve"> - dopuszczalna temp. czynnika w miejscu montażu naczynia [˚C]:</t>
    </r>
  </si>
  <si>
    <t>Dobór naczynia pośredniego wg wytycznych Pneumatex:</t>
  </si>
  <si>
    <r>
      <t>1) T</t>
    </r>
    <r>
      <rPr>
        <b/>
        <vertAlign val="subscript"/>
        <sz val="11"/>
        <color theme="1"/>
        <rFont val="Calibri"/>
        <family val="2"/>
        <charset val="238"/>
        <scheme val="minor"/>
      </rPr>
      <t xml:space="preserve">max/min </t>
    </r>
    <r>
      <rPr>
        <b/>
        <sz val="11"/>
        <color theme="1"/>
        <rFont val="Calibri"/>
        <family val="2"/>
        <charset val="238"/>
        <scheme val="minor"/>
      </rPr>
      <t>- max. / min. temp. czynnika w miejscu montażu naczynia [˚C]:</t>
    </r>
  </si>
  <si>
    <r>
      <t>2) T</t>
    </r>
    <r>
      <rPr>
        <b/>
        <vertAlign val="subscript"/>
        <sz val="11"/>
        <color theme="1"/>
        <rFont val="Calibri"/>
        <family val="2"/>
        <charset val="238"/>
        <scheme val="minor"/>
      </rPr>
      <t>dop.</t>
    </r>
    <r>
      <rPr>
        <b/>
        <sz val="11"/>
        <color theme="1"/>
        <rFont val="Calibri"/>
        <family val="2"/>
        <charset val="238"/>
        <scheme val="minor"/>
      </rPr>
      <t xml:space="preserve"> - dopuszczalna temp. czynnika w miejscu montażu naczynia [˚C]:</t>
    </r>
  </si>
  <si>
    <t>Tmax/min</t>
  </si>
  <si>
    <t>Tdop</t>
  </si>
  <si>
    <r>
      <t xml:space="preserve">ρ </t>
    </r>
    <r>
      <rPr>
        <sz val="11"/>
        <color theme="1"/>
        <rFont val="Calibri"/>
        <family val="2"/>
        <charset val="238"/>
        <scheme val="minor"/>
      </rPr>
      <t>dla T</t>
    </r>
    <r>
      <rPr>
        <vertAlign val="subscript"/>
        <sz val="11"/>
        <color theme="1"/>
        <rFont val="Calibri"/>
        <family val="2"/>
        <charset val="238"/>
        <scheme val="minor"/>
      </rPr>
      <t>max/min</t>
    </r>
    <r>
      <rPr>
        <sz val="11"/>
        <color theme="1"/>
        <rFont val="Calibri"/>
        <family val="2"/>
        <charset val="238"/>
        <scheme val="minor"/>
      </rPr>
      <t>=</t>
    </r>
  </si>
  <si>
    <r>
      <t xml:space="preserve">ρ </t>
    </r>
    <r>
      <rPr>
        <sz val="11"/>
        <color theme="1"/>
        <rFont val="Calibri"/>
        <family val="2"/>
        <charset val="238"/>
        <scheme val="minor"/>
      </rPr>
      <t>dla Tdop =</t>
    </r>
  </si>
  <si>
    <t>5) PSV - ciśnienie otwarcia zaworu bezpieczeństwa - ZB [bar]:</t>
  </si>
  <si>
    <t>6) Obecność odgazowywacza próżniowego Vento w systemie:</t>
  </si>
  <si>
    <r>
      <t>dla     T</t>
    </r>
    <r>
      <rPr>
        <vertAlign val="subscript"/>
        <sz val="11"/>
        <color theme="1"/>
        <rFont val="Calibri"/>
        <family val="2"/>
        <charset val="238"/>
        <scheme val="minor"/>
      </rPr>
      <t>max/min</t>
    </r>
    <r>
      <rPr>
        <sz val="11"/>
        <color theme="1"/>
        <rFont val="Calibri"/>
        <family val="2"/>
        <charset val="238"/>
        <scheme val="minor"/>
      </rPr>
      <t xml:space="preserve"> =</t>
    </r>
  </si>
  <si>
    <r>
      <t>T</t>
    </r>
    <r>
      <rPr>
        <vertAlign val="subscript"/>
        <sz val="11"/>
        <color theme="1"/>
        <rFont val="Calibri"/>
        <family val="2"/>
        <charset val="238"/>
        <scheme val="minor"/>
      </rPr>
      <t>dop.</t>
    </r>
    <r>
      <rPr>
        <sz val="11"/>
        <color theme="1"/>
        <rFont val="Calibri"/>
        <family val="2"/>
        <charset val="238"/>
        <scheme val="minor"/>
      </rPr>
      <t xml:space="preserve"> =</t>
    </r>
  </si>
  <si>
    <t>Nazwa inwestycji:</t>
  </si>
  <si>
    <t>Opracował:</t>
  </si>
  <si>
    <t>Data opracowania:</t>
  </si>
  <si>
    <r>
      <t>5) Pojemność zładu instalacji [m</t>
    </r>
    <r>
      <rPr>
        <vertAlign val="superscript"/>
        <sz val="11"/>
        <color theme="0"/>
        <rFont val="Calibri"/>
        <family val="2"/>
        <charset val="238"/>
        <scheme val="minor"/>
      </rPr>
      <t>3</t>
    </r>
    <r>
      <rPr>
        <sz val="11"/>
        <color theme="0"/>
        <rFont val="Calibri"/>
        <family val="2"/>
        <charset val="238"/>
        <scheme val="minor"/>
      </rPr>
      <t>]:</t>
    </r>
  </si>
  <si>
    <r>
      <t>4) Pojemność zładu instalacji [m</t>
    </r>
    <r>
      <rPr>
        <vertAlign val="superscript"/>
        <sz val="11"/>
        <color theme="0"/>
        <rFont val="Calibri"/>
        <family val="2"/>
        <charset val="238"/>
        <scheme val="minor"/>
      </rPr>
      <t>3</t>
    </r>
    <r>
      <rPr>
        <sz val="11"/>
        <color theme="0"/>
        <rFont val="Calibri"/>
        <family val="2"/>
        <charset val="238"/>
        <scheme val="minor"/>
      </rPr>
      <t>]:</t>
    </r>
  </si>
  <si>
    <r>
      <t>m</t>
    </r>
    <r>
      <rPr>
        <b/>
        <vertAlign val="superscript"/>
        <sz val="11"/>
        <color theme="1"/>
        <rFont val="Calibri"/>
        <family val="2"/>
        <charset val="238"/>
        <scheme val="minor"/>
      </rPr>
      <t>3</t>
    </r>
  </si>
  <si>
    <r>
      <t>4) Pojemność zładu instalacji [m</t>
    </r>
    <r>
      <rPr>
        <b/>
        <vertAlign val="superscript"/>
        <sz val="11"/>
        <color theme="1"/>
        <rFont val="Calibri"/>
        <family val="2"/>
        <charset val="238"/>
        <scheme val="minor"/>
      </rPr>
      <t>3</t>
    </r>
    <r>
      <rPr>
        <b/>
        <sz val="11"/>
        <color theme="1"/>
        <rFont val="Calibri"/>
        <family val="2"/>
        <charset val="238"/>
        <scheme val="minor"/>
      </rPr>
      <t>]:</t>
    </r>
  </si>
  <si>
    <r>
      <t>5) Pojemność zładu instalacji [m</t>
    </r>
    <r>
      <rPr>
        <b/>
        <vertAlign val="superscript"/>
        <sz val="11"/>
        <color theme="1"/>
        <rFont val="Calibri"/>
        <family val="2"/>
        <charset val="238"/>
        <scheme val="minor"/>
      </rPr>
      <t>3</t>
    </r>
    <r>
      <rPr>
        <b/>
        <sz val="11"/>
        <color theme="1"/>
        <rFont val="Calibri"/>
        <family val="2"/>
        <charset val="238"/>
        <scheme val="minor"/>
      </rPr>
      <t>]:</t>
    </r>
  </si>
  <si>
    <r>
      <t>6) Pojemność zładu instalacji [m</t>
    </r>
    <r>
      <rPr>
        <vertAlign val="superscript"/>
        <sz val="11"/>
        <color theme="0"/>
        <rFont val="Calibri"/>
        <family val="2"/>
        <charset val="238"/>
        <scheme val="minor"/>
      </rPr>
      <t>3</t>
    </r>
    <r>
      <rPr>
        <sz val="11"/>
        <color theme="0"/>
        <rFont val="Calibri"/>
        <family val="2"/>
        <charset val="238"/>
        <scheme val="minor"/>
      </rPr>
      <t>]:</t>
    </r>
  </si>
  <si>
    <r>
      <t>10) Całkowita pojemność kolektorów słonecznych [m</t>
    </r>
    <r>
      <rPr>
        <vertAlign val="superscript"/>
        <sz val="11"/>
        <color theme="0"/>
        <rFont val="Calibri"/>
        <family val="2"/>
        <charset val="238"/>
        <scheme val="minor"/>
      </rPr>
      <t>3</t>
    </r>
    <r>
      <rPr>
        <sz val="11"/>
        <color theme="0"/>
        <rFont val="Calibri"/>
        <family val="2"/>
        <charset val="238"/>
        <scheme val="minor"/>
      </rPr>
      <t>]:</t>
    </r>
  </si>
  <si>
    <r>
      <t>8) Całkowita pojemność kolektorów słonecznych [m</t>
    </r>
    <r>
      <rPr>
        <b/>
        <vertAlign val="superscript"/>
        <sz val="11"/>
        <color theme="1"/>
        <rFont val="Calibri"/>
        <family val="2"/>
        <charset val="238"/>
        <scheme val="minor"/>
      </rPr>
      <t>3</t>
    </r>
    <r>
      <rPr>
        <b/>
        <sz val="11"/>
        <color theme="1"/>
        <rFont val="Calibri"/>
        <family val="2"/>
        <charset val="238"/>
        <scheme val="minor"/>
      </rPr>
      <t>]:</t>
    </r>
  </si>
  <si>
    <r>
      <t>p</t>
    </r>
    <r>
      <rPr>
        <vertAlign val="subscript"/>
        <sz val="11"/>
        <color theme="1"/>
        <rFont val="Calibri"/>
        <family val="2"/>
        <charset val="238"/>
        <scheme val="minor"/>
      </rPr>
      <t>a</t>
    </r>
    <r>
      <rPr>
        <sz val="11"/>
        <color theme="1"/>
        <rFont val="Calibri"/>
        <family val="2"/>
        <charset val="238"/>
        <scheme val="minor"/>
      </rPr>
      <t>=</t>
    </r>
  </si>
  <si>
    <t xml:space="preserve">                   rodzaj czynnika:</t>
  </si>
  <si>
    <t xml:space="preserve">                            - rekomendacja IMI Hydronic Engineering</t>
  </si>
  <si>
    <r>
      <t>V</t>
    </r>
    <r>
      <rPr>
        <vertAlign val="subscript"/>
        <sz val="11"/>
        <color theme="1"/>
        <rFont val="Calibri"/>
        <family val="2"/>
        <charset val="238"/>
        <scheme val="minor"/>
      </rPr>
      <t>WR</t>
    </r>
    <r>
      <rPr>
        <sz val="11"/>
        <color theme="1"/>
        <rFont val="Calibri"/>
        <family val="2"/>
        <charset val="238"/>
        <scheme val="minor"/>
      </rPr>
      <t xml:space="preserve"> - rezerwa eksploatacyjna w dobranych naczyniach [dm</t>
    </r>
    <r>
      <rPr>
        <vertAlign val="superscript"/>
        <sz val="11"/>
        <color theme="1"/>
        <rFont val="Calibri"/>
        <family val="2"/>
        <charset val="238"/>
        <scheme val="minor"/>
      </rPr>
      <t>3</t>
    </r>
    <r>
      <rPr>
        <sz val="11"/>
        <color theme="1"/>
        <rFont val="Calibri"/>
        <family val="2"/>
        <charset val="238"/>
        <scheme val="minor"/>
      </rPr>
      <t>]</t>
    </r>
  </si>
  <si>
    <r>
      <t xml:space="preserve">Arkusz doboru </t>
    </r>
    <r>
      <rPr>
        <b/>
        <sz val="18"/>
        <color rgb="FFFFFFFF"/>
        <rFont val="Calibri"/>
        <family val="2"/>
        <charset val="238"/>
      </rPr>
      <t xml:space="preserve">naczynia wzbiorczego </t>
    </r>
    <r>
      <rPr>
        <sz val="18"/>
        <color rgb="FFFFFFFF"/>
        <rFont val="Calibri"/>
        <family val="2"/>
        <charset val="238"/>
      </rPr>
      <t xml:space="preserve">: PN-EN 12828 </t>
    </r>
  </si>
  <si>
    <t>*Autor arkusza doboru oraz firma IMI HYDRONIC ENGINEERING nie ponoszą odpowiedzialności za ewentualne skutki wywołane przez: niewłaściwą obsługę, złą interpretację wyników obliczeń, błędne wyniki obliczeń.</t>
  </si>
  <si>
    <t>Pressurisation &amp; Water quality</t>
  </si>
  <si>
    <t>tsmax</t>
  </si>
  <si>
    <t>pv</t>
  </si>
  <si>
    <t>pman</t>
  </si>
  <si>
    <t>qN</t>
  </si>
  <si>
    <t>qN/Q</t>
  </si>
  <si>
    <t>•calculation characteristics</t>
  </si>
  <si>
    <t>min</t>
  </si>
  <si>
    <t>max</t>
  </si>
  <si>
    <t>C 10.1 (F) Connect</t>
  </si>
  <si>
    <t>p0=-150*qN^(-1)+60*(qN)^(-0.29)-5.5-(qN/1000)^2/25^2</t>
  </si>
  <si>
    <t xml:space="preserve">pman=-150*qN^(-1)+60*(qN)^(-0.29)-5.5-(qN/1000)^2/25^2+0.4  </t>
  </si>
  <si>
    <t>C 10.2 Connect</t>
  </si>
  <si>
    <t>p0=-10*qN^(-1)+70*(qN)^(-0.31)-4.3-(qND/1000)^2/25^2</t>
  </si>
  <si>
    <t xml:space="preserve">pman=-10*qN^(-1)+70*(qN)^(-0.31)-4.3-(qN/1000)^2/25^2+0.4 </t>
  </si>
  <si>
    <t>C 15.2 Connect</t>
  </si>
  <si>
    <t>p0=250*qN^(-1)+150*(qN)^(-0.43)-4-(qN/1000)^2/25^2</t>
  </si>
  <si>
    <t>Pman=250*qN^(-1)+150*(qN)^(-0.43)-4-(qN/1000)^2/25^2 +0.4</t>
  </si>
  <si>
    <t>p0=1200*qN^(-1)+205*(qN)^(-0.44)-3.7-(qN/1000)^2/25^2</t>
  </si>
  <si>
    <t xml:space="preserve">Pman=1200*qN^(-1)+205*(qN)^(-0.44)-3.7-(qN/1000)^2/25^2 +0.4  </t>
  </si>
  <si>
    <t>C 15.1 Connect</t>
  </si>
  <si>
    <t>Compresso Connect C 10.1-5 F        PS=5.0 bar</t>
  </si>
  <si>
    <t>Compresso Connect C 10.1-3.75 F   PS=3.75 bar</t>
  </si>
  <si>
    <t>Compresso Connect C 10.1-6 F        PS=6.0 bar</t>
  </si>
  <si>
    <t>Compresso Connect C 10.1-3.0        PS=3.0 bar</t>
  </si>
  <si>
    <t>Compresso Connect C 10.1-3.75      PS=3.75 bar</t>
  </si>
  <si>
    <t>Compresso Connect C 10.1-4.2        PS=4.2 bar</t>
  </si>
  <si>
    <t>Compresso Connect C 10.1-5.0        PS=5.0 bar</t>
  </si>
  <si>
    <t>Compresso Connect C 10.1-6.0        PS=6.0 bar</t>
  </si>
  <si>
    <t>Compresso Connect C 10.2-3.0        PS=3.0 bar</t>
  </si>
  <si>
    <t>Compresso Connect C 10.2-5.0        PS=5.0 bar</t>
  </si>
  <si>
    <t>Compresso Connect C 10.2-3.75      PS=3.75 bar</t>
  </si>
  <si>
    <t>Compresso Connect C 10.2-4.2        PS=4.2 bar</t>
  </si>
  <si>
    <t>Compresso Connect C 10.2-6.0        PS=6.0 bar</t>
  </si>
  <si>
    <t>Compresso Connect C 15.1-6.0        PS=6.0 bar</t>
  </si>
  <si>
    <t>Compresso Connect C 15.1-10.0      PS=10.0 bar</t>
  </si>
  <si>
    <t>Compresso Connect C 15.2-6.0        PS=6.0 bar</t>
  </si>
  <si>
    <t>Compresso Connect C 15.2-10.0      PS=10.0 bar</t>
  </si>
  <si>
    <t>Compresso C 10.1-3 F                        PS=3 bar</t>
  </si>
  <si>
    <t>Compresso C 10.1-5                           PS=5 bar</t>
  </si>
  <si>
    <t>Compresso C 10.1-6                           PS=6 bar</t>
  </si>
  <si>
    <t>Compresso C 10.2-3                           PS=3 bar</t>
  </si>
  <si>
    <t>Compresso CPV 10.1-3                     DPp=1.5-2.5 bar</t>
  </si>
  <si>
    <t>Compresso CPV 10.1-3.75               DPp=1.5-3.25 bar</t>
  </si>
  <si>
    <t>Compresso CPV 10.1-4.2                 DPp=1.5-3.7 bar</t>
  </si>
  <si>
    <t>Compresso CPV 10.1-5                     DPp=1.5-4.5 bar</t>
  </si>
  <si>
    <t>Compresso CPV 10.1-3C                  DPp=1.5-2.5 bar</t>
  </si>
  <si>
    <t>Compresso CPV 10.1-3.75C            DPp=1.5-3.25 bar</t>
  </si>
  <si>
    <t>Compresso CPV 10.1-4.2C              DPp=1.5-3.7 bar</t>
  </si>
  <si>
    <t>Compresso CPV 10.1-5C                  DPp=1.5-4.5 bar</t>
  </si>
  <si>
    <t>Compresso C 10.1-3.75 F                   PS=3.75 bar</t>
  </si>
  <si>
    <t>Compresso C 10.1-4.2 F                     PS=4 bar</t>
  </si>
  <si>
    <t>Compresso C 10.1-5 F                         PS=5 bar</t>
  </si>
  <si>
    <t>Compresso C 10.1-6 F                         PS=6 bar</t>
  </si>
  <si>
    <t>Compresso C 10.1-3                            PS=3 bar</t>
  </si>
  <si>
    <t>Compresso C 10.1-3.75                      PS=3.75 bar</t>
  </si>
  <si>
    <t>Compresso C 10.1-4.2                        PS=4 bar</t>
  </si>
  <si>
    <t>Compresso C 10.2-6                           PS=6 bar</t>
  </si>
  <si>
    <t>Compresso C 10.2-5                           PS=5 bar</t>
  </si>
  <si>
    <t>Compresso C 20.1-6                           PS=6 bar</t>
  </si>
  <si>
    <t>Compresso C 20.1-10                        PS=10 bar</t>
  </si>
  <si>
    <t>Compresso C 20.2-10                        PS=10 bar</t>
  </si>
  <si>
    <t>Compresso C 20.2-6                          PS=6 bar</t>
  </si>
  <si>
    <t>Compresso C 10.2-3.75                      PS=3.75 bar</t>
  </si>
  <si>
    <t>Compresso C 10.2-4.2                        PS=4.2 bar</t>
  </si>
  <si>
    <t>Transfero Connect</t>
  </si>
  <si>
    <t>Anweisung für die Verwendung dieses Excel Datei</t>
  </si>
  <si>
    <t>Instructions for using this Excel file</t>
  </si>
  <si>
    <t>Instructions pour l'utilisation de ce fichier Excel</t>
  </si>
  <si>
    <t xml:space="preserve">      / Anweisungen in Excel Tabelle "Instruction" befolgen</t>
  </si>
  <si>
    <t xml:space="preserve">      / Follow instructions in Excel table "Instruction"</t>
  </si>
  <si>
    <t xml:space="preserve">      / Suivez les instructions dans le tableau Excel "Instruction"</t>
  </si>
  <si>
    <t xml:space="preserve">      / Nur für den internen Gebrauch! </t>
  </si>
  <si>
    <t xml:space="preserve">      / Only for internal use!</t>
  </si>
  <si>
    <t xml:space="preserve">      / Uniquement pour un usage interne!</t>
  </si>
  <si>
    <t>Dateneingabe / Data input / Entrée de données</t>
  </si>
  <si>
    <t>Sprache / Language / Langue</t>
  </si>
  <si>
    <t>Hst</t>
  </si>
  <si>
    <r>
      <t>qN</t>
    </r>
    <r>
      <rPr>
        <vertAlign val="subscript"/>
        <sz val="14"/>
        <rFont val="Calibri"/>
        <family val="2"/>
      </rPr>
      <t>/Q</t>
    </r>
  </si>
  <si>
    <t>Transfero TV.1 Connect - pman/Q</t>
  </si>
  <si>
    <t>Transfero TV.2 Connect - pman/Q</t>
  </si>
  <si>
    <t>Transfero TV.1 Connect - p0/Q</t>
  </si>
  <si>
    <t>Transfero TV.2 Connect - p0/Q</t>
  </si>
  <si>
    <t>≤</t>
  </si>
  <si>
    <t>pman valves</t>
  </si>
  <si>
    <t>pman pumps</t>
  </si>
  <si>
    <t>Kvs</t>
  </si>
  <si>
    <t>polynom</t>
  </si>
  <si>
    <t>spez. Ausgleichsvolumenstrom:</t>
  </si>
  <si>
    <t>qN/Q  = 0,0058*tmax + 0,094 für tmax &gt; 50°C</t>
  </si>
  <si>
    <t>qN/Q  = 0.384 füt tmax &lt;= 50°C,  Begrenzung auf Minimalwert, da für Dimensionierung nicht mehr die Ausdehnungsgeschwindigkeit entscheidend!</t>
  </si>
  <si>
    <t>Ausgleichsvolumenstrom:</t>
  </si>
  <si>
    <t>qN      = Q*qN/Q</t>
  </si>
  <si>
    <t>TV 4.1 E</t>
  </si>
  <si>
    <t>qN curve</t>
  </si>
  <si>
    <t>Q curve</t>
  </si>
  <si>
    <t>pman_pumps</t>
  </si>
  <si>
    <t>pman_pumps = (-8) • 10^(-8) • qN^(2) + (-0.00035) • qN + (3.8859) - (qN/1000)^2 / 2.13^2 + 0.5</t>
  </si>
  <si>
    <t>pman_valves</t>
  </si>
  <si>
    <t>pman_valves = (qN/1000)^2 / 0.65^2</t>
  </si>
  <si>
    <t>pman_min</t>
  </si>
  <si>
    <t>pman_max</t>
  </si>
  <si>
    <t>pman curve</t>
  </si>
  <si>
    <t>p0 curve</t>
  </si>
  <si>
    <t>TV 4.1 EH</t>
  </si>
  <si>
    <t>pman_valves = (qN/1000)^2 / 3.6^2</t>
  </si>
  <si>
    <t>TV 4.2 EH</t>
  </si>
  <si>
    <t>pman_pumps = (-2) • 10^(-8) • qN^(1.97) + (-0.0002) • qN + (3.8859) - (qN/1000)^2 / 2.907^2 + 0.5</t>
  </si>
  <si>
    <t>TV 6.1 E</t>
  </si>
  <si>
    <t>pman_pumps = (-1) • 10^(-7) • qN^(2.04) + (-0.0004) • qN + (6.2067) - (qN/1000)^2 / 2.13^2 + 0.5</t>
  </si>
  <si>
    <t>TV 6.1 EH</t>
  </si>
  <si>
    <t>TV 6.2 EH</t>
  </si>
  <si>
    <t>pman_pumps = (-3) • 10^(-8) • qN^(2.03) + (-0.0001) • qN + (5.0541) - (qN/1000)^2 / 2.907^2 + 0.5</t>
  </si>
  <si>
    <t>TV 8.1 E</t>
  </si>
  <si>
    <t>TV 8.1 EH</t>
  </si>
  <si>
    <t>TV 8.2 EH</t>
  </si>
  <si>
    <t>pman_pumps = (-4) • 10^(-8) • qN^(1.981) + (-0.0002) • qN + (6.2067) - (qN/1000)^2 / 2.907^2 + 0.5</t>
  </si>
  <si>
    <t>TV 10.1 E</t>
  </si>
  <si>
    <t>pman_pumps = (-2) • 10^(-7) • qN^(2) + (-0.0004) • qN + (8.3981) - (qN/1000)^2 / 2.05^2 + 0.5</t>
  </si>
  <si>
    <t>pman_valves = (qN/1000)^2 / 0.65^2 for qN &lt; 1100pman_valves =10000 for qN &gt; 1100</t>
  </si>
  <si>
    <t>TV 10.1 EH</t>
  </si>
  <si>
    <t>TV 10.2 EH</t>
  </si>
  <si>
    <t>pman_pumps = (-5) • 10^(-8) • qN^(2) + (-0.0002) • qN + (8.3981) - (qN/1000)^2 / 2.77^2 + 0.5</t>
  </si>
  <si>
    <t>TV 14.1 E</t>
  </si>
  <si>
    <t>pman_pumps = (-2) • 10^(-6.04) • qN^(2) + (0.0017) • qN + (12.2) - (qN/1000)^2 / 2.13^2 + 0.5</t>
  </si>
  <si>
    <t>TV 14.1 EH</t>
  </si>
  <si>
    <t>TV 14.2 EH</t>
  </si>
  <si>
    <t>pman_pumps = (-5) • 10^(-7) • qN^(2) + (0.001) • qN + (12.228) - (qN/1000)^2 / 2.907^2 + 0.5</t>
  </si>
  <si>
    <t>gewählte Sprache</t>
  </si>
  <si>
    <t>Ergebnis</t>
  </si>
  <si>
    <t>Steuerelemente</t>
  </si>
  <si>
    <t>DE - Deutsch</t>
  </si>
  <si>
    <t>EN - Englisch</t>
  </si>
  <si>
    <t>FR - Francais</t>
  </si>
  <si>
    <t>Sprachen</t>
  </si>
  <si>
    <t>Deutsch</t>
  </si>
  <si>
    <t>Dateneingabe</t>
  </si>
  <si>
    <t>• Eingabe</t>
  </si>
  <si>
    <t>• Sicherheitstemperaturbegrenzer</t>
  </si>
  <si>
    <t>Berechnung nur für TAZ&lt;= 150°C gültig !!!</t>
  </si>
  <si>
    <t>• Max. Systemtemperatur</t>
  </si>
  <si>
    <t>• Leistung Wärmeerzeuger</t>
  </si>
  <si>
    <t>• Statische Höhe</t>
  </si>
  <si>
    <t>• Frostschutzmittelzusatz</t>
  </si>
  <si>
    <t>• Ausgabe</t>
  </si>
  <si>
    <t>• Verdampfungsdruck</t>
  </si>
  <si>
    <t>• Mindestdruck, Berechnung BrainCube</t>
  </si>
  <si>
    <t>Berechnung BrainCube, Anzeige im Info-Menü</t>
  </si>
  <si>
    <t>• Anfansdruck, Pumpe ein</t>
  </si>
  <si>
    <t>Berechnung BrainCube</t>
  </si>
  <si>
    <t>• Pumpe aus, Überströmventil zu</t>
  </si>
  <si>
    <t>• Enddruck, Überströmventil auf</t>
  </si>
  <si>
    <t>• spezifischer  Ausgleichsvolumenstrom</t>
  </si>
  <si>
    <t>• erforderlicher Ausgleichsvolumenstrom</t>
  </si>
  <si>
    <t>Englisch</t>
  </si>
  <si>
    <t>Data input</t>
  </si>
  <si>
    <t>Französisch</t>
  </si>
  <si>
    <t>Entrée de données</t>
  </si>
  <si>
    <t>• Entrée</t>
  </si>
  <si>
    <t>• Limiteur de température de sécurité</t>
  </si>
  <si>
    <t>Calcul pour TAZ&lt;= 150°C !!!</t>
  </si>
  <si>
    <t>• Température max. du système</t>
  </si>
  <si>
    <t>• Performance générateur de chaleur</t>
  </si>
  <si>
    <t>• Hauteur statique</t>
  </si>
  <si>
    <t>• Additif antigel</t>
  </si>
  <si>
    <t>• Sortie</t>
  </si>
  <si>
    <t>• Pression de vaporisation</t>
  </si>
  <si>
    <t>• Pression minimale, calcul BrainCube</t>
  </si>
  <si>
    <t>Calcul BrainCube, affichage au menu Info</t>
  </si>
  <si>
    <t>• Pression initiale, pompe en marche</t>
  </si>
  <si>
    <t>Calcul BrainCube</t>
  </si>
  <si>
    <t>• Pompe arrêtée, vanne de décharge fermée</t>
  </si>
  <si>
    <t>• Pression finale, vanne de décharge ouverte</t>
  </si>
  <si>
    <t>• Débit spécifique volume de compensation</t>
  </si>
  <si>
    <t>• Débit nécessaire du volume de compensation</t>
  </si>
  <si>
    <t>Transfero TV 4.1 E Connect</t>
  </si>
  <si>
    <t>Transfero TV 6.1 E Connect</t>
  </si>
  <si>
    <t>Transfero TV 8.1 E Connect</t>
  </si>
  <si>
    <t>Transfero TV 10.1 E Connect</t>
  </si>
  <si>
    <t>Transfero TV 4.1 EH Connect</t>
  </si>
  <si>
    <t>Transfero TV 6.1 EH Connect</t>
  </si>
  <si>
    <t>Transfero TV 8.1 EH Connect</t>
  </si>
  <si>
    <t>Transfero TV 10.1 EH Connect</t>
  </si>
  <si>
    <t>Transfero TV 14.1 EH Connect</t>
  </si>
  <si>
    <t>Transfero TV 4.2 EH Connect</t>
  </si>
  <si>
    <t>Transfero TV 6.2 EH Connect</t>
  </si>
  <si>
    <t>Transfero TV 8.2 EH Connect</t>
  </si>
  <si>
    <t>Transfero TV 10.2 EH Connect</t>
  </si>
  <si>
    <t>Transfero TV 14.2 EH Connect</t>
  </si>
  <si>
    <t>Transfero TV 4.1 EC Connect</t>
  </si>
  <si>
    <t>Transfero TV 6.1 EC Connect</t>
  </si>
  <si>
    <t>Transfero TV 8.1 EC Connect</t>
  </si>
  <si>
    <t>Transfero TV 10.1 EC Connect</t>
  </si>
  <si>
    <t>Transfero TV 14.1 EC Connect</t>
  </si>
  <si>
    <t>Transfero TV 4.1 EHC Connect</t>
  </si>
  <si>
    <t>Transfero TV 6.1 EHC Connect</t>
  </si>
  <si>
    <t>Transfero TV 8.1 EHC Connect</t>
  </si>
  <si>
    <t>Transfero TV 10.1 EHC Connect</t>
  </si>
  <si>
    <t>Transfero TV 14.1 EHC Connect</t>
  </si>
  <si>
    <t>Transfero TV 4.2 EHC Connect</t>
  </si>
  <si>
    <t>Transfero TV 6.2 EHC Connect</t>
  </si>
  <si>
    <t>Transfero TV 8.2 EHC Connect</t>
  </si>
  <si>
    <t>Transfero TV 10.2 EHC Connect</t>
  </si>
  <si>
    <t>Transfero TV 14.2 EHC Connect</t>
  </si>
  <si>
    <t>Transfero TV 14.1 E Connect</t>
  </si>
  <si>
    <t>8. Parametry techniczne dobranych naczyń wzbiorczych:</t>
  </si>
  <si>
    <t>9. Parametry pracy urządzenia Transfero:</t>
  </si>
  <si>
    <t>10. Wytyczne do montażu naczynia oraz napełniania instalacji c.o.:</t>
  </si>
  <si>
    <t>11. Parametry do ustawienia na budowie:</t>
  </si>
  <si>
    <t>12. Dobór urządzenia TecBox - Transfero na podstawie punktu pracy:</t>
  </si>
  <si>
    <t>13. Zestawienie dobranych elementów:</t>
  </si>
  <si>
    <t>IMI Hydronic Engineering</t>
  </si>
  <si>
    <t>Vento …2.1 S…</t>
  </si>
  <si>
    <t>Vento …14.1…</t>
  </si>
  <si>
    <t>Vento …VI 19.1…</t>
  </si>
  <si>
    <t>Vento …VI 25.1…</t>
  </si>
  <si>
    <t>Simply Vento V 2.1 S Connect</t>
  </si>
  <si>
    <t>Simply Vento V 2.1 SWME Connect</t>
  </si>
  <si>
    <t>Vento V 4.1 E Connect</t>
  </si>
  <si>
    <t>Vento V 6.1 E Connect</t>
  </si>
  <si>
    <t>Vento V 8.1 E Connect</t>
  </si>
  <si>
    <t>Vento V 10.1 E Connect</t>
  </si>
  <si>
    <t>Vento V 14.1 E Connect</t>
  </si>
  <si>
    <t>Vento V 4.1 EC Connect</t>
  </si>
  <si>
    <t>Vento V 6.1 EC Connect</t>
  </si>
  <si>
    <t>Vento V 8.1 EC Connect</t>
  </si>
  <si>
    <t>Vento V 10.1 EC Connect</t>
  </si>
  <si>
    <t>Vento V 14.1 EC Connect</t>
  </si>
  <si>
    <t>Vento VI 19.1 E Connect, PN16</t>
  </si>
  <si>
    <t>Vento VI 25.1 E Connect, PN25</t>
  </si>
  <si>
    <t>Vento VI 19.1 EC Connect, PN16</t>
  </si>
  <si>
    <t>Vento VI 25.1 EC Connect, PN25</t>
  </si>
  <si>
    <t>glikol etylenowy:      15%          (-6˚C)</t>
  </si>
  <si>
    <t>glikol propylenowy:  15%          (-5˚C)</t>
  </si>
  <si>
    <t>Arkusz doboru układów utrzymania ciśnienia - v 1.2</t>
  </si>
  <si>
    <t>kontak z IMI 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</si>
</sst>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0\k\W"/>
    <numFmt numFmtId="165" formatCode="0.0"/>
    <numFmt numFmtId="166" formatCode="0.000"/>
    <numFmt numFmtId="167" formatCode="0.0000"/>
    <numFmt numFmtId="168" formatCode="0.0%"/>
    <numFmt numFmtId="169" formatCode="0.0000000000"/>
    <numFmt numFmtId="170" formatCode="dd/mm/yyyy\ h:mm;"/>
    <numFmt numFmtId="171" formatCode="dd/mm/yyyy"/>
  </numFmts>
  <fonts count="106">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Times New Roman"/>
      <family val="1"/>
      <charset val="238"/>
    </font>
    <font>
      <sz val="11"/>
      <color theme="0"/>
      <name val="Calibri"/>
      <family val="2"/>
      <charset val="238"/>
      <scheme val="minor"/>
    </font>
    <font>
      <sz val="11"/>
      <color rgb="FFFF0000"/>
      <name val="Calibri"/>
      <family val="2"/>
      <charset val="238"/>
      <scheme val="minor"/>
    </font>
    <font>
      <b/>
      <sz val="18"/>
      <color theme="1"/>
      <name val="Calibri"/>
      <family val="2"/>
      <charset val="238"/>
      <scheme val="minor"/>
    </font>
    <font>
      <sz val="13"/>
      <color theme="1"/>
      <name val="Calibri"/>
      <family val="2"/>
      <charset val="238"/>
      <scheme val="minor"/>
    </font>
    <font>
      <u/>
      <sz val="9.35"/>
      <color theme="10"/>
      <name val="Czcionka tekstu podstawowego"/>
      <family val="2"/>
      <charset val="238"/>
    </font>
    <font>
      <sz val="11"/>
      <color theme="1"/>
      <name val="Calibri"/>
      <family val="2"/>
      <charset val="238"/>
      <scheme val="minor"/>
    </font>
    <font>
      <b/>
      <sz val="13"/>
      <name val="Calibri"/>
      <family val="2"/>
      <charset val="238"/>
      <scheme val="minor"/>
    </font>
    <font>
      <b/>
      <sz val="11"/>
      <color theme="1"/>
      <name val="Calibri"/>
      <family val="2"/>
      <charset val="238"/>
      <scheme val="minor"/>
    </font>
    <font>
      <u/>
      <sz val="11"/>
      <color theme="10"/>
      <name val="Calibri"/>
      <family val="2"/>
      <charset val="238"/>
      <scheme val="minor"/>
    </font>
    <font>
      <b/>
      <u/>
      <sz val="13"/>
      <color rgb="FFFFFF00"/>
      <name val="Calibri"/>
      <family val="2"/>
      <charset val="238"/>
      <scheme val="minor"/>
    </font>
    <font>
      <sz val="10"/>
      <color rgb="FFFFFF00"/>
      <name val="Calibri"/>
      <family val="2"/>
      <charset val="238"/>
      <scheme val="minor"/>
    </font>
    <font>
      <vertAlign val="superscript"/>
      <sz val="11"/>
      <color theme="1"/>
      <name val="Calibri"/>
      <family val="2"/>
      <charset val="238"/>
      <scheme val="minor"/>
    </font>
    <font>
      <vertAlign val="subscript"/>
      <sz val="11"/>
      <color theme="1"/>
      <name val="Calibri"/>
      <family val="2"/>
      <charset val="238"/>
      <scheme val="minor"/>
    </font>
    <font>
      <b/>
      <sz val="11"/>
      <color rgb="FFFF0000"/>
      <name val="Calibri"/>
      <family val="2"/>
      <charset val="238"/>
      <scheme val="minor"/>
    </font>
    <font>
      <b/>
      <sz val="11"/>
      <color rgb="FFFFFF00"/>
      <name val="Calibri"/>
      <family val="2"/>
      <charset val="238"/>
      <scheme val="minor"/>
    </font>
    <font>
      <b/>
      <sz val="13"/>
      <color rgb="FFFFFF00"/>
      <name val="Calibri"/>
      <family val="2"/>
      <charset val="238"/>
      <scheme val="minor"/>
    </font>
    <font>
      <b/>
      <vertAlign val="subscript"/>
      <sz val="11"/>
      <color theme="1"/>
      <name val="Calibri"/>
      <family val="2"/>
      <charset val="238"/>
      <scheme val="minor"/>
    </font>
    <font>
      <vertAlign val="subscript"/>
      <sz val="11"/>
      <color theme="0"/>
      <name val="Calibri"/>
      <family val="2"/>
      <charset val="238"/>
      <scheme val="minor"/>
    </font>
    <font>
      <sz val="11"/>
      <color rgb="FFFFFF00"/>
      <name val="Calibri"/>
      <family val="2"/>
      <charset val="238"/>
      <scheme val="minor"/>
    </font>
    <font>
      <vertAlign val="superscript"/>
      <sz val="11"/>
      <color theme="0"/>
      <name val="Calibri"/>
      <family val="2"/>
      <charset val="238"/>
      <scheme val="minor"/>
    </font>
    <font>
      <b/>
      <sz val="11"/>
      <name val="Calibri"/>
      <family val="2"/>
      <charset val="238"/>
      <scheme val="minor"/>
    </font>
    <font>
      <sz val="10"/>
      <name val="Calibri"/>
      <family val="2"/>
      <charset val="238"/>
      <scheme val="minor"/>
    </font>
    <font>
      <sz val="13"/>
      <color theme="1"/>
      <name val="Czcionka tekstu podstawowego"/>
      <family val="2"/>
      <charset val="238"/>
    </font>
    <font>
      <sz val="11"/>
      <color theme="1"/>
      <name val="Calibri"/>
      <family val="2"/>
      <charset val="238"/>
    </font>
    <font>
      <sz val="9"/>
      <color theme="1"/>
      <name val="Calibri"/>
      <family val="2"/>
      <charset val="238"/>
      <scheme val="minor"/>
    </font>
    <font>
      <sz val="9"/>
      <color rgb="FF00B0F0"/>
      <name val="Calibri"/>
      <family val="2"/>
      <charset val="238"/>
      <scheme val="minor"/>
    </font>
    <font>
      <sz val="11"/>
      <color theme="1"/>
      <name val="Czcionka tekstu podstawowego"/>
      <family val="2"/>
      <charset val="238"/>
    </font>
    <font>
      <b/>
      <sz val="13"/>
      <color rgb="FFFFFF00"/>
      <name val="Calibri"/>
      <family val="2"/>
      <charset val="238"/>
    </font>
    <font>
      <b/>
      <sz val="13"/>
      <color rgb="FFFFFF00"/>
      <name val="Times New Roman"/>
      <family val="1"/>
      <charset val="238"/>
    </font>
    <font>
      <sz val="10"/>
      <name val="Arial"/>
      <family val="2"/>
      <charset val="238"/>
    </font>
    <font>
      <b/>
      <sz val="10"/>
      <name val="Arial"/>
      <family val="2"/>
      <charset val="238"/>
    </font>
    <font>
      <b/>
      <sz val="10"/>
      <name val="Calibri"/>
      <family val="2"/>
      <charset val="238"/>
      <scheme val="minor"/>
    </font>
    <font>
      <sz val="10"/>
      <color theme="0" tint="-0.34998626667073579"/>
      <name val="Calibri"/>
      <family val="2"/>
      <charset val="238"/>
      <scheme val="minor"/>
    </font>
    <font>
      <b/>
      <sz val="8"/>
      <name val="Arial"/>
      <family val="2"/>
      <charset val="238"/>
    </font>
    <font>
      <sz val="8"/>
      <name val="Arial"/>
      <family val="2"/>
      <charset val="238"/>
    </font>
    <font>
      <sz val="10"/>
      <color theme="1"/>
      <name val="Calibri"/>
      <family val="2"/>
      <charset val="238"/>
      <scheme val="minor"/>
    </font>
    <font>
      <sz val="11"/>
      <color theme="0" tint="-0.34998626667073579"/>
      <name val="Calibri"/>
      <family val="2"/>
      <charset val="238"/>
      <scheme val="minor"/>
    </font>
    <font>
      <vertAlign val="subscript"/>
      <sz val="11"/>
      <color theme="1"/>
      <name val="Calibri"/>
      <family val="2"/>
      <charset val="238"/>
    </font>
    <font>
      <b/>
      <u/>
      <sz val="11"/>
      <color theme="10"/>
      <name val="Calibri"/>
      <family val="2"/>
      <charset val="238"/>
      <scheme val="minor"/>
    </font>
    <font>
      <b/>
      <sz val="16"/>
      <name val="Arial"/>
      <family val="2"/>
    </font>
    <font>
      <sz val="14"/>
      <name val="Arial"/>
      <family val="2"/>
    </font>
    <font>
      <b/>
      <sz val="14"/>
      <color indexed="10"/>
      <name val="Arial"/>
      <family val="2"/>
    </font>
    <font>
      <b/>
      <sz val="14"/>
      <name val="Arial"/>
      <family val="2"/>
    </font>
    <font>
      <i/>
      <sz val="12"/>
      <name val="Arial"/>
      <family val="2"/>
    </font>
    <font>
      <vertAlign val="subscript"/>
      <sz val="14"/>
      <name val="Arial"/>
      <family val="2"/>
    </font>
    <font>
      <sz val="14"/>
      <name val="Arial"/>
      <family val="2"/>
      <charset val="238"/>
    </font>
    <font>
      <sz val="12"/>
      <name val="Arial"/>
      <family val="2"/>
    </font>
    <font>
      <b/>
      <sz val="12"/>
      <color indexed="10"/>
      <name val="Arial"/>
      <family val="2"/>
    </font>
    <font>
      <b/>
      <sz val="10"/>
      <name val="Arial"/>
      <family val="2"/>
    </font>
    <font>
      <sz val="10"/>
      <name val="Arial"/>
      <family val="2"/>
    </font>
    <font>
      <sz val="10"/>
      <color indexed="10"/>
      <name val="Arial"/>
      <family val="2"/>
    </font>
    <font>
      <sz val="10"/>
      <color indexed="55"/>
      <name val="Arial"/>
      <family val="2"/>
    </font>
    <font>
      <b/>
      <sz val="12"/>
      <name val="Arial"/>
      <family val="2"/>
    </font>
    <font>
      <b/>
      <vertAlign val="subscript"/>
      <sz val="10"/>
      <name val="Arial"/>
      <family val="2"/>
    </font>
    <font>
      <sz val="11"/>
      <name val="Calibri"/>
      <family val="2"/>
      <charset val="238"/>
      <scheme val="minor"/>
    </font>
    <font>
      <b/>
      <vertAlign val="subscript"/>
      <sz val="11"/>
      <name val="Calibri"/>
      <family val="2"/>
      <charset val="238"/>
      <scheme val="minor"/>
    </font>
    <font>
      <b/>
      <sz val="13"/>
      <color theme="1"/>
      <name val="Calibri"/>
      <family val="2"/>
      <charset val="238"/>
      <scheme val="minor"/>
    </font>
    <font>
      <sz val="10"/>
      <color indexed="8"/>
      <name val="Arial"/>
      <family val="2"/>
    </font>
    <font>
      <b/>
      <vertAlign val="superscript"/>
      <sz val="13"/>
      <color rgb="FFFFFF00"/>
      <name val="Calibri"/>
      <family val="2"/>
      <charset val="238"/>
      <scheme val="minor"/>
    </font>
    <font>
      <sz val="9"/>
      <color theme="1"/>
      <name val="Czcionka tekstu podstawowego"/>
      <family val="2"/>
      <charset val="238"/>
    </font>
    <font>
      <sz val="9"/>
      <color indexed="81"/>
      <name val="Tahoma"/>
      <family val="2"/>
      <charset val="238"/>
    </font>
    <font>
      <b/>
      <sz val="9"/>
      <color indexed="81"/>
      <name val="Calibri"/>
      <family val="2"/>
      <charset val="238"/>
      <scheme val="minor"/>
    </font>
    <font>
      <sz val="9"/>
      <color indexed="81"/>
      <name val="Calibri"/>
      <family val="2"/>
      <charset val="238"/>
      <scheme val="minor"/>
    </font>
    <font>
      <b/>
      <sz val="10"/>
      <color theme="1"/>
      <name val="Calibri"/>
      <family val="2"/>
      <charset val="238"/>
      <scheme val="minor"/>
    </font>
    <font>
      <sz val="10"/>
      <color rgb="FF00B0F0"/>
      <name val="Calibri"/>
      <family val="2"/>
      <charset val="238"/>
      <scheme val="minor"/>
    </font>
    <font>
      <sz val="10"/>
      <color theme="1"/>
      <name val="Czcionka tekstu podstawowego"/>
      <family val="2"/>
      <charset val="238"/>
    </font>
    <font>
      <b/>
      <vertAlign val="superscript"/>
      <sz val="11"/>
      <color theme="1"/>
      <name val="Calibri"/>
      <family val="2"/>
      <charset val="238"/>
      <scheme val="minor"/>
    </font>
    <font>
      <b/>
      <sz val="11"/>
      <color theme="1"/>
      <name val="Times New Roman"/>
      <family val="1"/>
      <charset val="238"/>
    </font>
    <font>
      <b/>
      <sz val="13"/>
      <color rgb="FFFF0000"/>
      <name val="Calibri"/>
      <family val="2"/>
      <charset val="238"/>
      <scheme val="minor"/>
    </font>
    <font>
      <b/>
      <sz val="11"/>
      <name val="Times New Roman"/>
      <family val="1"/>
      <charset val="238"/>
    </font>
    <font>
      <b/>
      <vertAlign val="superscript"/>
      <sz val="11"/>
      <name val="Calibri"/>
      <family val="2"/>
      <charset val="238"/>
      <scheme val="minor"/>
    </font>
    <font>
      <b/>
      <sz val="11"/>
      <color theme="1"/>
      <name val="Czcionka tekstu podstawowego"/>
      <family val="2"/>
      <charset val="238"/>
    </font>
    <font>
      <b/>
      <sz val="13"/>
      <color theme="0"/>
      <name val="Calibri"/>
      <family val="2"/>
      <charset val="238"/>
      <scheme val="minor"/>
    </font>
    <font>
      <b/>
      <sz val="11"/>
      <color theme="0"/>
      <name val="Calibri"/>
      <family val="2"/>
      <charset val="238"/>
      <scheme val="minor"/>
    </font>
    <font>
      <b/>
      <u/>
      <sz val="9"/>
      <color indexed="10"/>
      <name val="Calibri"/>
      <family val="2"/>
      <charset val="238"/>
      <scheme val="minor"/>
    </font>
    <font>
      <b/>
      <sz val="9"/>
      <color indexed="10"/>
      <name val="Calibri"/>
      <family val="2"/>
      <charset val="238"/>
      <scheme val="minor"/>
    </font>
    <font>
      <sz val="18"/>
      <color rgb="FFFFFFFF"/>
      <name val="Calibri"/>
      <family val="2"/>
      <charset val="238"/>
    </font>
    <font>
      <b/>
      <sz val="18"/>
      <color rgb="FFFFFFFF"/>
      <name val="Calibri"/>
      <family val="2"/>
      <charset val="238"/>
    </font>
    <font>
      <sz val="8"/>
      <color rgb="FF000000"/>
      <name val="Tahoma"/>
      <family val="2"/>
      <charset val="238"/>
    </font>
    <font>
      <sz val="10"/>
      <color theme="0"/>
      <name val="Czcionka tekstu podstawowego"/>
      <charset val="238"/>
    </font>
    <font>
      <b/>
      <sz val="20"/>
      <name val="Arial"/>
      <family val="2"/>
    </font>
    <font>
      <sz val="10"/>
      <name val="Calibri"/>
      <family val="2"/>
      <scheme val="minor"/>
    </font>
    <font>
      <b/>
      <sz val="20"/>
      <name val="Calibri"/>
      <family val="2"/>
      <scheme val="minor"/>
    </font>
    <font>
      <sz val="14"/>
      <name val="Calibri"/>
      <family val="2"/>
      <scheme val="minor"/>
    </font>
    <font>
      <b/>
      <sz val="14"/>
      <color rgb="FFFF0000"/>
      <name val="Calibri"/>
      <family val="2"/>
      <scheme val="minor"/>
    </font>
    <font>
      <sz val="10"/>
      <color rgb="FFFF0000"/>
      <name val="Arial"/>
      <family val="2"/>
    </font>
    <font>
      <sz val="10"/>
      <color rgb="FFFF0000"/>
      <name val="Calibri"/>
      <family val="2"/>
      <scheme val="minor"/>
    </font>
    <font>
      <b/>
      <sz val="12"/>
      <color rgb="FFFF0000"/>
      <name val="Arial"/>
      <family val="2"/>
    </font>
    <font>
      <b/>
      <sz val="14"/>
      <color rgb="FFFF0000"/>
      <name val="Arial"/>
      <family val="2"/>
    </font>
    <font>
      <sz val="20"/>
      <name val="Calibri"/>
      <family val="2"/>
      <scheme val="minor"/>
    </font>
    <font>
      <b/>
      <sz val="14"/>
      <name val="Calibri"/>
      <family val="2"/>
      <scheme val="minor"/>
    </font>
    <font>
      <i/>
      <sz val="12"/>
      <name val="Calibri"/>
      <family val="2"/>
      <scheme val="minor"/>
    </font>
    <font>
      <vertAlign val="subscript"/>
      <sz val="14"/>
      <name val="Calibri"/>
      <family val="2"/>
    </font>
    <font>
      <sz val="10"/>
      <name val="Calibri"/>
      <family val="2"/>
    </font>
    <font>
      <sz val="10"/>
      <color rgb="FF000000"/>
      <name val="Arial"/>
      <family val="2"/>
    </font>
    <font>
      <sz val="10"/>
      <color theme="4"/>
      <name val="Arial"/>
      <family val="2"/>
    </font>
    <font>
      <sz val="10"/>
      <color theme="6"/>
      <name val="Arial"/>
      <family val="2"/>
    </font>
    <font>
      <b/>
      <sz val="9"/>
      <color indexed="81"/>
      <name val="Tahoma"/>
      <family val="2"/>
    </font>
    <font>
      <sz val="9"/>
      <color indexed="81"/>
      <name val="Tahoma"/>
      <family val="2"/>
    </font>
    <font>
      <b/>
      <sz val="13"/>
      <color theme="3" tint="-0.249977111117893"/>
      <name val="Calibri"/>
      <family val="2"/>
      <charset val="238"/>
      <scheme val="minor"/>
    </font>
  </fonts>
  <fills count="17">
    <fill>
      <patternFill patternType="none"/>
    </fill>
    <fill>
      <patternFill patternType="gray125"/>
    </fill>
    <fill>
      <patternFill patternType="solid">
        <fgColor theme="1" tint="0.2499465926084170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0"/>
        <bgColor indexed="64"/>
      </patternFill>
    </fill>
    <fill>
      <patternFill patternType="solid">
        <fgColor rgb="FFFFFF00"/>
        <bgColor indexed="64"/>
      </patternFill>
    </fill>
    <fill>
      <patternFill patternType="solid">
        <fgColor theme="3" tint="-0.249977111117893"/>
        <bgColor indexed="64"/>
      </patternFill>
    </fill>
    <fill>
      <patternFill patternType="solid">
        <fgColor indexed="44"/>
        <bgColor indexed="64"/>
      </patternFill>
    </fill>
    <fill>
      <patternFill patternType="solid">
        <fgColor indexed="22"/>
        <bgColor indexed="64"/>
      </patternFill>
    </fill>
    <fill>
      <patternFill patternType="solid">
        <fgColor rgb="FFFF0000"/>
        <bgColor indexed="64"/>
      </patternFill>
    </fill>
    <fill>
      <patternFill patternType="solid">
        <fgColor rgb="FF92D050"/>
        <bgColor indexed="64"/>
      </patternFill>
    </fill>
    <fill>
      <patternFill patternType="solid">
        <fgColor indexed="42"/>
        <bgColor indexed="64"/>
      </patternFill>
    </fill>
    <fill>
      <patternFill patternType="solid">
        <fgColor theme="3" tint="-0.2499465926084170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79998168889431442"/>
        <bgColor indexed="64"/>
      </patternFill>
    </fill>
  </fills>
  <borders count="28">
    <border>
      <left/>
      <right/>
      <top/>
      <bottom/>
      <diagonal/>
    </border>
    <border>
      <left/>
      <right/>
      <top/>
      <bottom style="thin">
        <color indexed="55"/>
      </bottom>
      <diagonal/>
    </border>
    <border>
      <left/>
      <right/>
      <top/>
      <bottom style="medium">
        <color indexed="55"/>
      </bottom>
      <diagonal/>
    </border>
    <border>
      <left/>
      <right/>
      <top style="thin">
        <color indexed="55"/>
      </top>
      <bottom style="thin">
        <color indexed="55"/>
      </bottom>
      <diagonal/>
    </border>
    <border>
      <left/>
      <right/>
      <top style="medium">
        <color indexed="55"/>
      </top>
      <bottom style="medium">
        <color indexed="55"/>
      </bottom>
      <diagonal/>
    </border>
    <border>
      <left/>
      <right/>
      <top style="medium">
        <color indexed="55"/>
      </top>
      <bottom/>
      <diagonal/>
    </border>
    <border>
      <left/>
      <right/>
      <top style="thin">
        <color indexed="55"/>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55"/>
      </top>
      <bottom style="medium">
        <color indexed="55"/>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55"/>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thin">
        <color indexed="55"/>
      </bottom>
      <diagonal/>
    </border>
    <border>
      <left/>
      <right style="thin">
        <color indexed="64"/>
      </right>
      <top style="thin">
        <color indexed="55"/>
      </top>
      <bottom style="thin">
        <color indexed="55"/>
      </bottom>
      <diagonal/>
    </border>
  </borders>
  <cellStyleXfs count="4">
    <xf numFmtId="0" fontId="0" fillId="0" borderId="0"/>
    <xf numFmtId="0" fontId="10" fillId="0" borderId="0" applyNumberFormat="0" applyFill="0" applyBorder="0" applyAlignment="0" applyProtection="0">
      <alignment vertical="top"/>
      <protection locked="0"/>
    </xf>
    <xf numFmtId="9" fontId="32" fillId="0" borderId="0" applyFont="0" applyFill="0" applyBorder="0" applyAlignment="0" applyProtection="0"/>
    <xf numFmtId="0" fontId="35" fillId="0" borderId="0"/>
  </cellStyleXfs>
  <cellXfs count="502">
    <xf numFmtId="0" fontId="0" fillId="0" borderId="0" xfId="0"/>
    <xf numFmtId="0" fontId="11" fillId="0" borderId="0" xfId="0" applyFont="1" applyAlignment="1" applyProtection="1">
      <alignment horizontal="right" vertical="center"/>
    </xf>
    <xf numFmtId="0" fontId="21" fillId="7" borderId="0" xfId="0" applyNumberFormat="1" applyFont="1" applyFill="1" applyAlignment="1" applyProtection="1">
      <alignment horizontal="right" vertical="center"/>
      <protection locked="0"/>
    </xf>
    <xf numFmtId="0" fontId="11" fillId="0" borderId="0" xfId="0" applyFont="1"/>
    <xf numFmtId="0" fontId="27" fillId="0" borderId="0" xfId="0" applyFont="1"/>
    <xf numFmtId="0" fontId="37" fillId="0" borderId="0" xfId="0" applyFont="1"/>
    <xf numFmtId="167" fontId="38" fillId="0" borderId="0" xfId="0" applyNumberFormat="1" applyFont="1" applyFill="1"/>
    <xf numFmtId="167" fontId="38" fillId="0" borderId="0" xfId="0" applyNumberFormat="1" applyFont="1"/>
    <xf numFmtId="0" fontId="13" fillId="0" borderId="0" xfId="0" applyFont="1"/>
    <xf numFmtId="0" fontId="11" fillId="0" borderId="0" xfId="0" applyFont="1" applyAlignment="1">
      <alignment horizontal="right"/>
    </xf>
    <xf numFmtId="2" fontId="11" fillId="0" borderId="0" xfId="0" applyNumberFormat="1" applyFont="1"/>
    <xf numFmtId="167" fontId="27" fillId="0" borderId="0" xfId="0" applyNumberFormat="1" applyFont="1"/>
    <xf numFmtId="167" fontId="11" fillId="0" borderId="0" xfId="0" applyNumberFormat="1" applyFont="1" applyAlignment="1" applyProtection="1">
      <alignment horizontal="right" vertical="center"/>
    </xf>
    <xf numFmtId="167" fontId="11" fillId="0" borderId="0" xfId="0" applyNumberFormat="1" applyFont="1" applyAlignment="1">
      <alignment horizontal="left"/>
    </xf>
    <xf numFmtId="167" fontId="27" fillId="0" borderId="0" xfId="0" applyNumberFormat="1" applyFont="1" applyFill="1"/>
    <xf numFmtId="165" fontId="11" fillId="0" borderId="0" xfId="0" applyNumberFormat="1" applyFont="1"/>
    <xf numFmtId="0" fontId="39" fillId="0" borderId="0" xfId="0" applyFont="1" applyFill="1" applyBorder="1"/>
    <xf numFmtId="1" fontId="39" fillId="0" borderId="0" xfId="0" applyNumberFormat="1" applyFont="1" applyFill="1" applyBorder="1"/>
    <xf numFmtId="167" fontId="40" fillId="0" borderId="0" xfId="0" applyNumberFormat="1" applyFont="1" applyFill="1" applyBorder="1"/>
    <xf numFmtId="166" fontId="40" fillId="0" borderId="0" xfId="0" applyNumberFormat="1" applyFont="1" applyFill="1" applyBorder="1"/>
    <xf numFmtId="10" fontId="40" fillId="0" borderId="0" xfId="2" applyNumberFormat="1" applyFont="1" applyFill="1" applyBorder="1"/>
    <xf numFmtId="2" fontId="27" fillId="0" borderId="0" xfId="0" applyNumberFormat="1" applyFont="1" applyFill="1" applyBorder="1"/>
    <xf numFmtId="2" fontId="41" fillId="0" borderId="0" xfId="0" applyNumberFormat="1" applyFont="1"/>
    <xf numFmtId="0" fontId="41" fillId="0" borderId="0" xfId="0" applyFont="1"/>
    <xf numFmtId="1" fontId="36" fillId="0" borderId="0" xfId="0" applyNumberFormat="1" applyFont="1" applyFill="1" applyBorder="1"/>
    <xf numFmtId="167" fontId="35" fillId="0" borderId="0" xfId="0" applyNumberFormat="1" applyFont="1" applyFill="1" applyBorder="1"/>
    <xf numFmtId="0" fontId="11" fillId="0" borderId="0" xfId="0" applyNumberFormat="1" applyFont="1"/>
    <xf numFmtId="0" fontId="42" fillId="0" borderId="0" xfId="0" applyFont="1"/>
    <xf numFmtId="0" fontId="42" fillId="0" borderId="0" xfId="0" applyFont="1" applyAlignment="1">
      <alignment horizontal="right"/>
    </xf>
    <xf numFmtId="1" fontId="42" fillId="0" borderId="0" xfId="0" applyNumberFormat="1" applyFont="1" applyAlignment="1">
      <alignment horizontal="right"/>
    </xf>
    <xf numFmtId="0" fontId="29" fillId="0" borderId="0" xfId="0" applyFont="1" applyAlignment="1" applyProtection="1">
      <alignment horizontal="right" vertical="center"/>
    </xf>
    <xf numFmtId="1" fontId="11" fillId="0" borderId="0" xfId="0" applyNumberFormat="1" applyFont="1"/>
    <xf numFmtId="0" fontId="42" fillId="0" borderId="0" xfId="0" applyNumberFormat="1" applyFont="1"/>
    <xf numFmtId="0" fontId="11" fillId="0" borderId="0" xfId="0" applyFont="1" applyAlignment="1">
      <alignment horizontal="center"/>
    </xf>
    <xf numFmtId="0" fontId="5" fillId="0" borderId="0" xfId="0" applyFont="1" applyAlignment="1">
      <alignment horizontal="center" vertical="center"/>
    </xf>
    <xf numFmtId="0" fontId="29" fillId="0" borderId="0" xfId="0" applyFont="1"/>
    <xf numFmtId="0" fontId="29" fillId="0" borderId="0" xfId="0" applyFont="1" applyAlignment="1">
      <alignment horizontal="center"/>
    </xf>
    <xf numFmtId="0" fontId="11" fillId="0" borderId="0" xfId="0" applyFont="1" applyAlignment="1">
      <alignment horizontal="left"/>
    </xf>
    <xf numFmtId="0" fontId="45" fillId="0" borderId="0" xfId="3" applyFont="1"/>
    <xf numFmtId="0" fontId="35" fillId="0" borderId="0" xfId="3"/>
    <xf numFmtId="0" fontId="46" fillId="0" borderId="0" xfId="3" applyFont="1"/>
    <xf numFmtId="0" fontId="47" fillId="0" borderId="0" xfId="3" applyFont="1"/>
    <xf numFmtId="0" fontId="46" fillId="0" borderId="0" xfId="3" applyFont="1" applyBorder="1"/>
    <xf numFmtId="0" fontId="48" fillId="0" borderId="0" xfId="3" applyFont="1" applyFill="1"/>
    <xf numFmtId="0" fontId="46" fillId="0" borderId="1" xfId="3" applyFont="1" applyFill="1" applyBorder="1"/>
    <xf numFmtId="0" fontId="46" fillId="8" borderId="1" xfId="3" applyFont="1" applyFill="1" applyBorder="1" applyAlignment="1">
      <alignment horizontal="left"/>
    </xf>
    <xf numFmtId="1" fontId="46" fillId="8" borderId="2" xfId="3" applyNumberFormat="1" applyFont="1" applyFill="1" applyBorder="1"/>
    <xf numFmtId="0" fontId="49" fillId="0" borderId="1" xfId="3" applyFont="1" applyBorder="1"/>
    <xf numFmtId="0" fontId="46" fillId="0" borderId="1" xfId="3" applyFont="1" applyBorder="1"/>
    <xf numFmtId="0" fontId="35" fillId="0" borderId="1" xfId="3" applyBorder="1"/>
    <xf numFmtId="0" fontId="46" fillId="8" borderId="0" xfId="3" applyFont="1" applyFill="1" applyBorder="1"/>
    <xf numFmtId="0" fontId="46" fillId="0" borderId="0" xfId="3" applyFont="1" applyFill="1" applyBorder="1" applyAlignment="1">
      <alignment horizontal="right"/>
    </xf>
    <xf numFmtId="0" fontId="46" fillId="0" borderId="3" xfId="3" applyFont="1" applyFill="1" applyBorder="1"/>
    <xf numFmtId="0" fontId="46" fillId="8" borderId="3" xfId="3" applyFont="1" applyFill="1" applyBorder="1" applyAlignment="1">
      <alignment horizontal="left"/>
    </xf>
    <xf numFmtId="0" fontId="46" fillId="8" borderId="4" xfId="3" applyFont="1" applyFill="1" applyBorder="1"/>
    <xf numFmtId="2" fontId="46" fillId="0" borderId="0" xfId="3" applyNumberFormat="1" applyFont="1" applyBorder="1"/>
    <xf numFmtId="0" fontId="46" fillId="8" borderId="5" xfId="3" applyFont="1" applyFill="1" applyBorder="1"/>
    <xf numFmtId="0" fontId="46" fillId="8" borderId="4" xfId="3" applyFont="1" applyFill="1" applyBorder="1" applyAlignment="1">
      <alignment horizontal="right"/>
    </xf>
    <xf numFmtId="0" fontId="46" fillId="0" borderId="3" xfId="3" applyFont="1" applyBorder="1"/>
    <xf numFmtId="0" fontId="46" fillId="0" borderId="0" xfId="3" applyFont="1" applyFill="1" applyBorder="1"/>
    <xf numFmtId="165" fontId="46" fillId="0" borderId="0" xfId="3" applyNumberFormat="1" applyFont="1" applyFill="1" applyBorder="1"/>
    <xf numFmtId="165" fontId="48" fillId="0" borderId="1" xfId="3" applyNumberFormat="1" applyFont="1" applyFill="1" applyBorder="1" applyAlignment="1">
      <alignment horizontal="right"/>
    </xf>
    <xf numFmtId="0" fontId="51" fillId="0" borderId="3" xfId="3" applyFont="1" applyFill="1" applyBorder="1"/>
    <xf numFmtId="165" fontId="48" fillId="0" borderId="3" xfId="3" applyNumberFormat="1" applyFont="1" applyFill="1" applyBorder="1"/>
    <xf numFmtId="0" fontId="49" fillId="0" borderId="3" xfId="3" applyFont="1" applyBorder="1"/>
    <xf numFmtId="0" fontId="46" fillId="0" borderId="3" xfId="3" applyFont="1" applyFill="1" applyBorder="1" applyAlignment="1">
      <alignment vertical="top"/>
    </xf>
    <xf numFmtId="2" fontId="35" fillId="0" borderId="3" xfId="3" applyNumberFormat="1" applyBorder="1"/>
    <xf numFmtId="2" fontId="35" fillId="0" borderId="0" xfId="3" applyNumberFormat="1"/>
    <xf numFmtId="0" fontId="46" fillId="9" borderId="3" xfId="3" applyFont="1" applyFill="1" applyBorder="1"/>
    <xf numFmtId="165" fontId="48" fillId="9" borderId="3" xfId="3" applyNumberFormat="1" applyFont="1" applyFill="1" applyBorder="1"/>
    <xf numFmtId="1" fontId="35" fillId="0" borderId="3" xfId="3" applyNumberFormat="1" applyBorder="1"/>
    <xf numFmtId="1" fontId="35" fillId="0" borderId="0" xfId="3" applyNumberFormat="1"/>
    <xf numFmtId="0" fontId="51" fillId="0" borderId="3" xfId="3" applyFont="1" applyBorder="1"/>
    <xf numFmtId="165" fontId="48" fillId="0" borderId="3" xfId="3" applyNumberFormat="1" applyFont="1" applyBorder="1"/>
    <xf numFmtId="166" fontId="48" fillId="0" borderId="3" xfId="3" applyNumberFormat="1" applyFont="1" applyFill="1" applyBorder="1"/>
    <xf numFmtId="0" fontId="46" fillId="0" borderId="6" xfId="3" applyFont="1" applyBorder="1"/>
    <xf numFmtId="0" fontId="35" fillId="0" borderId="6" xfId="3" applyBorder="1"/>
    <xf numFmtId="0" fontId="46" fillId="0" borderId="0" xfId="3" applyFont="1" applyFill="1"/>
    <xf numFmtId="0" fontId="48" fillId="9" borderId="3" xfId="3" applyFont="1" applyFill="1" applyBorder="1"/>
    <xf numFmtId="0" fontId="35" fillId="0" borderId="0" xfId="3" applyBorder="1"/>
    <xf numFmtId="2" fontId="48" fillId="0" borderId="3" xfId="3" applyNumberFormat="1" applyFont="1" applyFill="1" applyBorder="1"/>
    <xf numFmtId="0" fontId="48" fillId="0" borderId="0" xfId="3" applyFont="1"/>
    <xf numFmtId="0" fontId="52" fillId="0" borderId="0" xfId="3" applyFont="1"/>
    <xf numFmtId="0" fontId="53" fillId="0" borderId="0" xfId="3" applyFont="1"/>
    <xf numFmtId="0" fontId="54" fillId="0" borderId="0" xfId="3" applyFont="1" applyFill="1"/>
    <xf numFmtId="0" fontId="55" fillId="0" borderId="0" xfId="3" applyFont="1" applyFill="1" applyBorder="1" applyAlignment="1">
      <alignment vertical="top"/>
    </xf>
    <xf numFmtId="2" fontId="35" fillId="0" borderId="0" xfId="3" applyNumberFormat="1" applyBorder="1"/>
    <xf numFmtId="1" fontId="35" fillId="0" borderId="0" xfId="3" applyNumberFormat="1" applyBorder="1"/>
    <xf numFmtId="0" fontId="35" fillId="0" borderId="0" xfId="3" applyFill="1" applyBorder="1"/>
    <xf numFmtId="0" fontId="35" fillId="0" borderId="0" xfId="3" applyFill="1"/>
    <xf numFmtId="2" fontId="55" fillId="0" borderId="0" xfId="3" applyNumberFormat="1" applyFont="1" applyFill="1" applyBorder="1" applyAlignment="1">
      <alignment vertical="top"/>
    </xf>
    <xf numFmtId="0" fontId="54" fillId="0" borderId="0" xfId="3" applyFont="1" applyBorder="1"/>
    <xf numFmtId="1" fontId="35" fillId="0" borderId="0" xfId="3" applyNumberFormat="1" applyFill="1" applyBorder="1"/>
    <xf numFmtId="0" fontId="54" fillId="0" borderId="7" xfId="3" applyFont="1" applyFill="1" applyBorder="1" applyAlignment="1">
      <alignment horizontal="center"/>
    </xf>
    <xf numFmtId="0" fontId="54" fillId="0" borderId="8" xfId="3" applyFont="1" applyFill="1" applyBorder="1" applyAlignment="1">
      <alignment horizontal="center"/>
    </xf>
    <xf numFmtId="0" fontId="55" fillId="0" borderId="0" xfId="3" applyFont="1"/>
    <xf numFmtId="11" fontId="55" fillId="0" borderId="9" xfId="3" applyNumberFormat="1" applyFont="1" applyFill="1" applyBorder="1" applyAlignment="1">
      <alignment horizontal="center"/>
    </xf>
    <xf numFmtId="11" fontId="55" fillId="0" borderId="8" xfId="3" applyNumberFormat="1" applyFont="1" applyFill="1" applyBorder="1" applyAlignment="1">
      <alignment horizontal="center"/>
    </xf>
    <xf numFmtId="0" fontId="55" fillId="0" borderId="8" xfId="3" applyFont="1" applyFill="1" applyBorder="1" applyAlignment="1">
      <alignment horizontal="center"/>
    </xf>
    <xf numFmtId="0" fontId="54" fillId="0" borderId="0" xfId="3" applyFont="1" applyFill="1" applyBorder="1"/>
    <xf numFmtId="167" fontId="52" fillId="0" borderId="0" xfId="3" applyNumberFormat="1" applyFont="1" applyFill="1" applyBorder="1"/>
    <xf numFmtId="167" fontId="58" fillId="0" borderId="0" xfId="3" applyNumberFormat="1" applyFont="1" applyFill="1" applyBorder="1"/>
    <xf numFmtId="0" fontId="54" fillId="0" borderId="10" xfId="3" applyFont="1" applyFill="1" applyBorder="1" applyAlignment="1">
      <alignment horizontal="center"/>
    </xf>
    <xf numFmtId="0" fontId="54" fillId="0" borderId="11" xfId="3" applyFont="1" applyFill="1" applyBorder="1" applyAlignment="1">
      <alignment horizontal="center"/>
    </xf>
    <xf numFmtId="0" fontId="55" fillId="0" borderId="0" xfId="3" applyFont="1" applyBorder="1"/>
    <xf numFmtId="167" fontId="11" fillId="0" borderId="0" xfId="0" applyNumberFormat="1" applyFont="1"/>
    <xf numFmtId="0" fontId="46" fillId="8" borderId="1" xfId="3" applyFont="1" applyFill="1" applyBorder="1"/>
    <xf numFmtId="1" fontId="46" fillId="8" borderId="2" xfId="3" applyNumberFormat="1" applyFont="1" applyFill="1" applyBorder="1" applyAlignment="1">
      <alignment horizontal="right"/>
    </xf>
    <xf numFmtId="0" fontId="49" fillId="0" borderId="1" xfId="3" applyFont="1" applyBorder="1" applyAlignment="1">
      <alignment wrapText="1"/>
    </xf>
    <xf numFmtId="0" fontId="46" fillId="8" borderId="0" xfId="3" applyFont="1" applyFill="1" applyBorder="1" applyAlignment="1">
      <alignment horizontal="right"/>
    </xf>
    <xf numFmtId="0" fontId="46" fillId="8" borderId="3" xfId="3" applyFont="1" applyFill="1" applyBorder="1"/>
    <xf numFmtId="0" fontId="46" fillId="8" borderId="6" xfId="3" applyFont="1" applyFill="1" applyBorder="1"/>
    <xf numFmtId="0" fontId="46" fillId="8" borderId="5" xfId="3" applyFont="1" applyFill="1" applyBorder="1" applyAlignment="1">
      <alignment horizontal="right"/>
    </xf>
    <xf numFmtId="0" fontId="46" fillId="8" borderId="12" xfId="3" applyFont="1" applyFill="1" applyBorder="1"/>
    <xf numFmtId="0" fontId="46" fillId="8" borderId="12" xfId="3" applyFont="1" applyFill="1" applyBorder="1" applyAlignment="1">
      <alignment horizontal="right"/>
    </xf>
    <xf numFmtId="165" fontId="48" fillId="0" borderId="1" xfId="3" applyNumberFormat="1" applyFont="1" applyFill="1" applyBorder="1"/>
    <xf numFmtId="0" fontId="35" fillId="0" borderId="3" xfId="3" applyBorder="1"/>
    <xf numFmtId="0" fontId="46" fillId="0" borderId="6" xfId="3" applyFont="1" applyFill="1" applyBorder="1"/>
    <xf numFmtId="2" fontId="48" fillId="0" borderId="6" xfId="3" applyNumberFormat="1" applyFont="1" applyFill="1" applyBorder="1"/>
    <xf numFmtId="0" fontId="35" fillId="0" borderId="0" xfId="3" applyFont="1"/>
    <xf numFmtId="0" fontId="35" fillId="0" borderId="0" xfId="3" applyFont="1" applyFill="1" applyBorder="1" applyAlignment="1">
      <alignment vertical="top"/>
    </xf>
    <xf numFmtId="0" fontId="35" fillId="0" borderId="0" xfId="3" applyFont="1" applyFill="1" applyBorder="1" applyAlignment="1">
      <alignment vertical="center"/>
    </xf>
    <xf numFmtId="0" fontId="35" fillId="0" borderId="0" xfId="3" applyFill="1" applyBorder="1" applyAlignment="1">
      <alignment vertical="center"/>
    </xf>
    <xf numFmtId="0" fontId="56" fillId="0" borderId="0" xfId="3" applyFont="1" applyFill="1" applyBorder="1" applyAlignment="1">
      <alignment vertical="top"/>
    </xf>
    <xf numFmtId="0" fontId="35" fillId="10" borderId="0" xfId="3" applyFill="1"/>
    <xf numFmtId="0" fontId="63" fillId="0" borderId="9" xfId="3" applyFont="1" applyFill="1" applyBorder="1" applyAlignment="1">
      <alignment vertical="top"/>
    </xf>
    <xf numFmtId="0" fontId="56" fillId="0" borderId="9" xfId="3" applyFont="1" applyFill="1" applyBorder="1" applyAlignment="1">
      <alignment vertical="top"/>
    </xf>
    <xf numFmtId="0" fontId="55" fillId="11" borderId="0" xfId="3" applyFont="1" applyFill="1" applyBorder="1" applyAlignment="1">
      <alignment horizontal="left" vertical="top" wrapText="1"/>
    </xf>
    <xf numFmtId="0" fontId="55" fillId="0" borderId="0" xfId="3" applyFont="1" applyFill="1" applyBorder="1" applyAlignment="1">
      <alignment horizontal="left" vertical="top" wrapText="1"/>
    </xf>
    <xf numFmtId="0" fontId="35" fillId="11" borderId="0" xfId="3" applyFill="1" applyBorder="1"/>
    <xf numFmtId="0" fontId="35" fillId="0" borderId="0" xfId="3" applyBorder="1" applyAlignment="1">
      <alignment horizontal="left"/>
    </xf>
    <xf numFmtId="0" fontId="63" fillId="0" borderId="0" xfId="3" applyFont="1" applyFill="1" applyBorder="1" applyAlignment="1">
      <alignment vertical="top"/>
    </xf>
    <xf numFmtId="2" fontId="35" fillId="0" borderId="0" xfId="3" applyNumberFormat="1" applyFill="1"/>
    <xf numFmtId="2" fontId="35" fillId="0" borderId="0" xfId="3" applyNumberFormat="1" applyFont="1" applyBorder="1"/>
    <xf numFmtId="2" fontId="35" fillId="0" borderId="0" xfId="3" applyNumberFormat="1" applyFont="1" applyFill="1" applyBorder="1"/>
    <xf numFmtId="0" fontId="35" fillId="0" borderId="0" xfId="3" applyFont="1" applyBorder="1"/>
    <xf numFmtId="0" fontId="35" fillId="0" borderId="0" xfId="3" applyFont="1" applyFill="1" applyBorder="1"/>
    <xf numFmtId="2" fontId="35" fillId="0" borderId="0" xfId="3" applyNumberFormat="1" applyFont="1" applyFill="1" applyBorder="1" applyAlignment="1">
      <alignment vertical="center"/>
    </xf>
    <xf numFmtId="2" fontId="35" fillId="0" borderId="0" xfId="3" applyNumberFormat="1" applyFont="1" applyFill="1" applyBorder="1" applyAlignment="1">
      <alignment vertical="top"/>
    </xf>
    <xf numFmtId="165" fontId="35" fillId="0" borderId="0" xfId="3" applyNumberFormat="1"/>
    <xf numFmtId="165" fontId="35" fillId="0" borderId="0" xfId="3" applyNumberFormat="1" applyFont="1" applyBorder="1"/>
    <xf numFmtId="165" fontId="35" fillId="0" borderId="0" xfId="3" applyNumberFormat="1" applyFont="1" applyFill="1" applyBorder="1"/>
    <xf numFmtId="165" fontId="35" fillId="0" borderId="0" xfId="3" applyNumberFormat="1" applyFill="1"/>
    <xf numFmtId="0" fontId="55" fillId="12" borderId="0" xfId="3" applyFont="1" applyFill="1" applyBorder="1" applyAlignment="1">
      <alignment horizontal="left" vertical="top" wrapText="1"/>
    </xf>
    <xf numFmtId="0" fontId="35" fillId="12" borderId="0" xfId="3" applyFill="1"/>
    <xf numFmtId="0" fontId="35" fillId="9" borderId="0" xfId="3" applyFill="1"/>
    <xf numFmtId="2" fontId="35" fillId="12" borderId="0" xfId="3" applyNumberFormat="1" applyFill="1"/>
    <xf numFmtId="2" fontId="35" fillId="9" borderId="0" xfId="3" applyNumberFormat="1" applyFill="1"/>
    <xf numFmtId="0" fontId="60" fillId="0" borderId="0" xfId="0" applyFont="1"/>
    <xf numFmtId="0" fontId="60" fillId="0" borderId="0" xfId="0" applyFont="1" applyAlignment="1">
      <alignment horizontal="right"/>
    </xf>
    <xf numFmtId="0" fontId="6" fillId="7" borderId="0" xfId="0" applyFont="1" applyFill="1" applyAlignment="1" applyProtection="1">
      <alignment vertical="center"/>
      <protection locked="0"/>
    </xf>
    <xf numFmtId="165" fontId="44" fillId="0" borderId="0" xfId="1" applyNumberFormat="1" applyFont="1" applyFill="1" applyBorder="1" applyAlignment="1" applyProtection="1">
      <alignment vertical="center"/>
      <protection locked="0"/>
    </xf>
    <xf numFmtId="0" fontId="0" fillId="2" borderId="0" xfId="0" applyFill="1" applyProtection="1"/>
    <xf numFmtId="0" fontId="0" fillId="5" borderId="0" xfId="0" applyFill="1" applyProtection="1"/>
    <xf numFmtId="0" fontId="8" fillId="5" borderId="0" xfId="0" applyFont="1" applyFill="1" applyProtection="1"/>
    <xf numFmtId="0" fontId="31" fillId="5" borderId="0" xfId="0" applyFont="1" applyFill="1" applyAlignment="1" applyProtection="1">
      <alignment horizontal="right"/>
    </xf>
    <xf numFmtId="0" fontId="11" fillId="4" borderId="0" xfId="0" applyFont="1" applyFill="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center" vertical="center"/>
    </xf>
    <xf numFmtId="0" fontId="11" fillId="3" borderId="0" xfId="0" applyFont="1" applyFill="1" applyAlignment="1" applyProtection="1">
      <alignment vertical="center"/>
    </xf>
    <xf numFmtId="0" fontId="11" fillId="7" borderId="0" xfId="0" applyFont="1" applyFill="1" applyAlignment="1" applyProtection="1">
      <alignment vertical="center"/>
    </xf>
    <xf numFmtId="0" fontId="6" fillId="7" borderId="0" xfId="0" applyFont="1" applyFill="1" applyAlignment="1" applyProtection="1">
      <alignment horizontal="left" vertical="center"/>
    </xf>
    <xf numFmtId="0" fontId="6" fillId="7" borderId="0" xfId="0" applyFont="1" applyFill="1" applyAlignment="1" applyProtection="1">
      <alignment vertical="center"/>
    </xf>
    <xf numFmtId="0" fontId="12" fillId="4" borderId="0" xfId="0" applyFont="1" applyFill="1" applyBorder="1" applyAlignment="1" applyProtection="1">
      <alignment vertical="center"/>
    </xf>
    <xf numFmtId="0" fontId="11" fillId="4" borderId="0" xfId="0" applyFont="1" applyFill="1" applyBorder="1" applyAlignment="1" applyProtection="1">
      <alignment vertical="center"/>
    </xf>
    <xf numFmtId="0" fontId="15" fillId="7" borderId="0" xfId="0" applyFont="1" applyFill="1" applyAlignment="1" applyProtection="1">
      <alignment vertical="center"/>
    </xf>
    <xf numFmtId="0" fontId="13" fillId="4" borderId="0" xfId="0" applyFont="1" applyFill="1" applyBorder="1" applyAlignment="1" applyProtection="1">
      <alignment vertical="center"/>
    </xf>
    <xf numFmtId="0" fontId="6" fillId="4" borderId="0" xfId="0" applyFont="1" applyFill="1" applyAlignment="1" applyProtection="1">
      <alignment vertical="center"/>
    </xf>
    <xf numFmtId="165" fontId="13" fillId="4" borderId="0" xfId="0" applyNumberFormat="1" applyFont="1" applyFill="1" applyBorder="1" applyAlignment="1" applyProtection="1">
      <alignment vertical="center"/>
    </xf>
    <xf numFmtId="0" fontId="14" fillId="4" borderId="0" xfId="1" applyFont="1" applyFill="1" applyBorder="1" applyAlignment="1" applyProtection="1">
      <alignment horizontal="center" vertical="center"/>
    </xf>
    <xf numFmtId="0" fontId="6" fillId="7" borderId="0" xfId="0" applyFont="1" applyFill="1" applyAlignment="1" applyProtection="1">
      <alignment horizontal="center" vertical="center"/>
    </xf>
    <xf numFmtId="0" fontId="21" fillId="7" borderId="0" xfId="0" applyNumberFormat="1" applyFont="1" applyFill="1" applyAlignment="1" applyProtection="1">
      <alignment horizontal="right" vertical="center"/>
    </xf>
    <xf numFmtId="0" fontId="33" fillId="7" borderId="0" xfId="0" applyFont="1" applyFill="1" applyAlignment="1" applyProtection="1">
      <alignment horizontal="left" vertical="center"/>
    </xf>
    <xf numFmtId="0" fontId="24" fillId="7" borderId="0" xfId="0" applyFont="1" applyFill="1" applyAlignment="1" applyProtection="1">
      <alignment vertical="center"/>
    </xf>
    <xf numFmtId="0" fontId="21" fillId="7" borderId="0" xfId="0" applyNumberFormat="1" applyFont="1" applyFill="1" applyAlignment="1" applyProtection="1">
      <alignment horizontal="center" vertical="center"/>
    </xf>
    <xf numFmtId="0" fontId="16" fillId="7" borderId="0" xfId="0" applyFont="1" applyFill="1" applyAlignment="1" applyProtection="1">
      <alignment vertical="center"/>
    </xf>
    <xf numFmtId="0" fontId="21" fillId="7" borderId="0" xfId="0" applyFont="1" applyFill="1" applyAlignment="1" applyProtection="1">
      <alignment horizontal="center" vertical="center"/>
    </xf>
    <xf numFmtId="0" fontId="20" fillId="7" borderId="0" xfId="0" applyFont="1" applyFill="1" applyAlignment="1" applyProtection="1">
      <alignment vertical="center"/>
    </xf>
    <xf numFmtId="0" fontId="21" fillId="7" borderId="0" xfId="0" applyFont="1" applyFill="1" applyAlignment="1" applyProtection="1">
      <alignment vertical="center"/>
    </xf>
    <xf numFmtId="165" fontId="21" fillId="7" borderId="0" xfId="0" applyNumberFormat="1" applyFont="1" applyFill="1" applyAlignment="1" applyProtection="1">
      <alignment horizontal="right" vertical="center"/>
    </xf>
    <xf numFmtId="165" fontId="13" fillId="0" borderId="0" xfId="0" applyNumberFormat="1" applyFont="1" applyFill="1" applyBorder="1" applyAlignment="1" applyProtection="1">
      <alignment vertical="center"/>
    </xf>
    <xf numFmtId="0" fontId="24" fillId="7" borderId="0" xfId="0" applyFont="1" applyFill="1" applyAlignment="1" applyProtection="1">
      <alignment horizontal="left" vertical="center"/>
    </xf>
    <xf numFmtId="0" fontId="21" fillId="7" borderId="0" xfId="0" applyFont="1" applyFill="1" applyAlignment="1" applyProtection="1">
      <alignment horizontal="left" vertical="center"/>
    </xf>
    <xf numFmtId="0" fontId="13" fillId="0" borderId="0" xfId="0" applyFont="1" applyAlignment="1" applyProtection="1">
      <alignment vertical="center"/>
    </xf>
    <xf numFmtId="165" fontId="11" fillId="0" borderId="0" xfId="0" applyNumberFormat="1" applyFont="1" applyAlignment="1" applyProtection="1">
      <alignment vertical="center"/>
    </xf>
    <xf numFmtId="165" fontId="20" fillId="0" borderId="0" xfId="0" applyNumberFormat="1" applyFont="1" applyAlignment="1" applyProtection="1">
      <alignment vertical="center"/>
    </xf>
    <xf numFmtId="164" fontId="11" fillId="4" borderId="0" xfId="0" applyNumberFormat="1" applyFont="1" applyFill="1" applyAlignment="1" applyProtection="1">
      <alignment vertical="center"/>
    </xf>
    <xf numFmtId="165" fontId="11" fillId="0" borderId="0" xfId="0" applyNumberFormat="1" applyFont="1" applyAlignment="1" applyProtection="1">
      <alignment horizontal="right" vertical="center"/>
    </xf>
    <xf numFmtId="0" fontId="11" fillId="0" borderId="0" xfId="0" applyFont="1" applyAlignment="1" applyProtection="1">
      <alignment horizontal="left" vertical="center"/>
    </xf>
    <xf numFmtId="165" fontId="11" fillId="0" borderId="0" xfId="0" applyNumberFormat="1" applyFont="1" applyAlignment="1" applyProtection="1">
      <alignment horizontal="left" vertical="center"/>
    </xf>
    <xf numFmtId="1" fontId="11" fillId="0" borderId="0" xfId="0" applyNumberFormat="1" applyFont="1" applyAlignment="1" applyProtection="1">
      <alignment vertical="center"/>
    </xf>
    <xf numFmtId="2" fontId="11" fillId="0" borderId="0" xfId="0" applyNumberFormat="1" applyFont="1" applyAlignment="1" applyProtection="1">
      <alignment horizontal="left" vertical="center"/>
    </xf>
    <xf numFmtId="2" fontId="11" fillId="0" borderId="0" xfId="0" applyNumberFormat="1" applyFont="1" applyAlignment="1" applyProtection="1">
      <alignment horizontal="right" vertical="center"/>
    </xf>
    <xf numFmtId="0" fontId="29" fillId="0" borderId="0" xfId="0" applyFont="1" applyAlignment="1" applyProtection="1">
      <alignment horizontal="left" vertical="center"/>
    </xf>
    <xf numFmtId="165" fontId="11" fillId="0" borderId="0" xfId="0" applyNumberFormat="1" applyFont="1" applyAlignment="1" applyProtection="1">
      <alignment horizontal="center" vertical="center"/>
    </xf>
    <xf numFmtId="0" fontId="28" fillId="0" borderId="0" xfId="0" applyFont="1" applyAlignment="1" applyProtection="1">
      <alignment vertical="center"/>
    </xf>
    <xf numFmtId="0" fontId="9" fillId="0" borderId="0" xfId="0" applyFont="1" applyAlignment="1" applyProtection="1">
      <alignment vertical="center"/>
    </xf>
    <xf numFmtId="0" fontId="0" fillId="0" borderId="0" xfId="0" applyAlignment="1" applyProtection="1">
      <alignment vertical="center"/>
    </xf>
    <xf numFmtId="0" fontId="0" fillId="0" borderId="0" xfId="0" applyAlignment="1" applyProtection="1">
      <alignment horizontal="left" vertical="center"/>
    </xf>
    <xf numFmtId="166" fontId="11" fillId="0" borderId="0" xfId="0" applyNumberFormat="1" applyFont="1" applyAlignment="1" applyProtection="1">
      <alignment vertical="center"/>
    </xf>
    <xf numFmtId="49" fontId="11" fillId="0" borderId="0" xfId="0" applyNumberFormat="1" applyFont="1" applyAlignment="1" applyProtection="1">
      <alignment vertical="center"/>
    </xf>
    <xf numFmtId="49" fontId="11" fillId="0" borderId="0" xfId="0" applyNumberFormat="1" applyFont="1" applyAlignment="1" applyProtection="1">
      <alignment horizontal="right" vertical="center"/>
    </xf>
    <xf numFmtId="0" fontId="11" fillId="0" borderId="0" xfId="0" applyNumberFormat="1" applyFont="1" applyAlignment="1" applyProtection="1">
      <alignment vertical="center"/>
    </xf>
    <xf numFmtId="1" fontId="11" fillId="0" borderId="0" xfId="0" applyNumberFormat="1" applyFont="1" applyAlignment="1" applyProtection="1">
      <alignment horizontal="right" vertical="center"/>
    </xf>
    <xf numFmtId="2" fontId="11" fillId="0" borderId="0" xfId="0" applyNumberFormat="1" applyFont="1" applyAlignment="1" applyProtection="1">
      <alignment vertical="center"/>
    </xf>
    <xf numFmtId="0" fontId="5" fillId="0" borderId="0" xfId="0" applyFont="1" applyAlignment="1" applyProtection="1">
      <alignment vertical="center"/>
    </xf>
    <xf numFmtId="0" fontId="13" fillId="0" borderId="0" xfId="0" applyFont="1" applyAlignment="1" applyProtection="1">
      <alignment horizontal="right" vertical="center"/>
    </xf>
    <xf numFmtId="0" fontId="13" fillId="0" borderId="0" xfId="0" applyFont="1" applyAlignment="1" applyProtection="1">
      <alignment horizontal="center" vertical="center"/>
    </xf>
    <xf numFmtId="0" fontId="9" fillId="0" borderId="0" xfId="0" applyFont="1" applyAlignment="1" applyProtection="1">
      <alignment horizontal="left" vertical="center"/>
    </xf>
    <xf numFmtId="1" fontId="13" fillId="0" borderId="0" xfId="0" applyNumberFormat="1" applyFont="1" applyAlignment="1" applyProtection="1">
      <alignment horizontal="center" vertical="center"/>
    </xf>
    <xf numFmtId="0" fontId="11" fillId="6" borderId="0" xfId="0" applyFont="1" applyFill="1" applyAlignment="1" applyProtection="1">
      <alignment vertical="center"/>
    </xf>
    <xf numFmtId="0" fontId="11" fillId="6" borderId="0" xfId="0" applyFont="1" applyFill="1" applyAlignment="1" applyProtection="1">
      <alignment horizontal="center" vertical="center"/>
    </xf>
    <xf numFmtId="0" fontId="19" fillId="0" borderId="0" xfId="0" applyFont="1" applyAlignment="1" applyProtection="1">
      <alignment vertical="center"/>
    </xf>
    <xf numFmtId="0" fontId="5" fillId="0" borderId="0" xfId="0" applyFont="1" applyAlignment="1" applyProtection="1">
      <alignment horizontal="center" vertical="center"/>
    </xf>
    <xf numFmtId="168" fontId="11" fillId="0" borderId="0" xfId="0" applyNumberFormat="1" applyFont="1" applyAlignment="1" applyProtection="1">
      <alignment vertical="center"/>
    </xf>
    <xf numFmtId="0" fontId="7" fillId="0" borderId="0" xfId="0" applyFont="1" applyAlignment="1" applyProtection="1">
      <alignment vertical="center"/>
    </xf>
    <xf numFmtId="165" fontId="13" fillId="0" borderId="0" xfId="0" applyNumberFormat="1" applyFont="1" applyAlignment="1" applyProtection="1">
      <alignment vertical="center"/>
    </xf>
    <xf numFmtId="0" fontId="13" fillId="6" borderId="0" xfId="0" applyFont="1" applyFill="1" applyAlignment="1" applyProtection="1">
      <alignment vertical="center"/>
    </xf>
    <xf numFmtId="0" fontId="11" fillId="0" borderId="0" xfId="0" applyFont="1" applyFill="1" applyAlignment="1" applyProtection="1">
      <alignment vertical="center"/>
    </xf>
    <xf numFmtId="0" fontId="11" fillId="0" borderId="0" xfId="0" applyFont="1" applyFill="1" applyAlignment="1" applyProtection="1">
      <alignment horizontal="center" vertical="center"/>
    </xf>
    <xf numFmtId="0" fontId="29" fillId="0" borderId="0" xfId="0" applyFont="1" applyAlignment="1" applyProtection="1">
      <alignment vertical="center"/>
    </xf>
    <xf numFmtId="0" fontId="11" fillId="5" borderId="0" xfId="0" applyFont="1" applyFill="1" applyAlignment="1" applyProtection="1">
      <alignment vertical="center"/>
    </xf>
    <xf numFmtId="0" fontId="31" fillId="5" borderId="0" xfId="0" applyFont="1" applyFill="1" applyAlignment="1" applyProtection="1">
      <alignment horizontal="right" vertical="center"/>
    </xf>
    <xf numFmtId="0" fontId="11" fillId="4" borderId="0" xfId="0" applyFont="1" applyFill="1" applyAlignment="1" applyProtection="1">
      <alignment horizontal="center" vertical="center"/>
    </xf>
    <xf numFmtId="0" fontId="11" fillId="3" borderId="0" xfId="0" applyFont="1" applyFill="1" applyAlignment="1" applyProtection="1">
      <alignment horizontal="center" vertical="center"/>
    </xf>
    <xf numFmtId="0" fontId="26" fillId="0" borderId="0" xfId="0" applyFont="1" applyAlignment="1" applyProtection="1">
      <alignment vertical="center"/>
    </xf>
    <xf numFmtId="0" fontId="60" fillId="0" borderId="0" xfId="0" applyFont="1" applyAlignment="1" applyProtection="1">
      <alignment vertical="center"/>
    </xf>
    <xf numFmtId="0" fontId="26" fillId="0" borderId="0" xfId="0" applyFont="1" applyAlignment="1" applyProtection="1">
      <alignment horizontal="right" vertical="center"/>
    </xf>
    <xf numFmtId="165" fontId="20" fillId="6" borderId="0" xfId="0" applyNumberFormat="1" applyFont="1" applyFill="1" applyAlignment="1" applyProtection="1">
      <alignment vertical="center"/>
    </xf>
    <xf numFmtId="1" fontId="30" fillId="0" borderId="0" xfId="0" applyNumberFormat="1" applyFont="1" applyAlignment="1" applyProtection="1">
      <alignment vertical="center"/>
    </xf>
    <xf numFmtId="0" fontId="13" fillId="5" borderId="0" xfId="0" applyFont="1" applyFill="1" applyAlignment="1" applyProtection="1">
      <alignment vertical="center"/>
    </xf>
    <xf numFmtId="165" fontId="13" fillId="5" borderId="0" xfId="0" applyNumberFormat="1" applyFont="1" applyFill="1" applyAlignment="1" applyProtection="1">
      <alignment horizontal="center" vertical="center"/>
    </xf>
    <xf numFmtId="0" fontId="11" fillId="5" borderId="0" xfId="0" applyFont="1" applyFill="1" applyAlignment="1" applyProtection="1">
      <alignment horizontal="right" vertical="center"/>
    </xf>
    <xf numFmtId="1" fontId="13" fillId="5" borderId="0" xfId="0" applyNumberFormat="1" applyFont="1" applyFill="1" applyAlignment="1" applyProtection="1">
      <alignment horizontal="center" vertical="center"/>
    </xf>
    <xf numFmtId="0" fontId="13" fillId="6" borderId="0" xfId="0" applyFont="1" applyFill="1" applyAlignment="1" applyProtection="1">
      <alignment horizontal="left" vertical="center"/>
    </xf>
    <xf numFmtId="0" fontId="13" fillId="0" borderId="0" xfId="0" applyFont="1" applyFill="1" applyAlignment="1" applyProtection="1">
      <alignment vertical="center"/>
    </xf>
    <xf numFmtId="165" fontId="13" fillId="0" borderId="0" xfId="0" applyNumberFormat="1" applyFont="1" applyFill="1" applyAlignment="1" applyProtection="1">
      <alignment horizontal="center" vertical="center"/>
    </xf>
    <xf numFmtId="0" fontId="11" fillId="0" borderId="0" xfId="0" applyFont="1" applyFill="1" applyAlignment="1" applyProtection="1">
      <alignment horizontal="right" vertical="center"/>
    </xf>
    <xf numFmtId="1" fontId="13" fillId="0" borderId="0" xfId="0" applyNumberFormat="1" applyFont="1" applyFill="1" applyAlignment="1" applyProtection="1">
      <alignment horizontal="center" vertical="center"/>
    </xf>
    <xf numFmtId="165" fontId="13" fillId="6" borderId="0" xfId="0" applyNumberFormat="1" applyFont="1" applyFill="1" applyAlignment="1" applyProtection="1">
      <alignment vertical="center"/>
    </xf>
    <xf numFmtId="0" fontId="19" fillId="5" borderId="0" xfId="0" applyFont="1" applyFill="1" applyAlignment="1" applyProtection="1">
      <alignment vertical="center"/>
    </xf>
    <xf numFmtId="165" fontId="11" fillId="5" borderId="0" xfId="0" applyNumberFormat="1" applyFont="1" applyFill="1" applyAlignment="1" applyProtection="1">
      <alignment vertical="center"/>
    </xf>
    <xf numFmtId="0" fontId="5" fillId="5" borderId="0" xfId="0" applyFont="1" applyFill="1" applyAlignment="1" applyProtection="1">
      <alignment horizontal="center" vertical="center"/>
    </xf>
    <xf numFmtId="165" fontId="11" fillId="5" borderId="0" xfId="0" applyNumberFormat="1" applyFont="1" applyFill="1" applyAlignment="1" applyProtection="1">
      <alignment horizontal="left" vertical="center"/>
    </xf>
    <xf numFmtId="0" fontId="11" fillId="5" borderId="0" xfId="0" applyFont="1" applyFill="1" applyAlignment="1" applyProtection="1">
      <alignment horizontal="center" vertical="center"/>
    </xf>
    <xf numFmtId="0" fontId="11" fillId="0" borderId="0" xfId="0" applyFont="1" applyAlignment="1" applyProtection="1">
      <alignment horizontal="left" vertical="center"/>
    </xf>
    <xf numFmtId="0" fontId="69" fillId="0" borderId="0" xfId="0" applyFont="1"/>
    <xf numFmtId="165" fontId="38" fillId="0" borderId="0" xfId="0" applyNumberFormat="1" applyFont="1" applyFill="1"/>
    <xf numFmtId="165" fontId="38" fillId="0" borderId="0" xfId="0" applyNumberFormat="1" applyFont="1"/>
    <xf numFmtId="0" fontId="5" fillId="0" borderId="0" xfId="0" applyFont="1" applyAlignment="1">
      <alignment horizontal="right"/>
    </xf>
    <xf numFmtId="0" fontId="29" fillId="0" borderId="0" xfId="0" applyFont="1" applyAlignment="1">
      <alignment horizontal="right"/>
    </xf>
    <xf numFmtId="169" fontId="11" fillId="0" borderId="0" xfId="0" applyNumberFormat="1" applyFont="1"/>
    <xf numFmtId="166" fontId="11" fillId="0" borderId="0" xfId="0" applyNumberFormat="1" applyFont="1"/>
    <xf numFmtId="2" fontId="11" fillId="0" borderId="0" xfId="0" applyNumberFormat="1" applyFont="1" applyFill="1" applyAlignment="1" applyProtection="1">
      <alignment vertical="center"/>
    </xf>
    <xf numFmtId="2" fontId="13" fillId="0" borderId="0" xfId="0" applyNumberFormat="1" applyFont="1" applyAlignment="1" applyProtection="1">
      <alignment vertical="center"/>
    </xf>
    <xf numFmtId="0" fontId="11" fillId="0" borderId="0" xfId="0" applyFont="1" applyAlignment="1" applyProtection="1">
      <alignment horizontal="left" vertical="center"/>
    </xf>
    <xf numFmtId="0" fontId="9" fillId="0" borderId="0" xfId="0" applyFont="1" applyFill="1" applyProtection="1"/>
    <xf numFmtId="0" fontId="0" fillId="0" borderId="0" xfId="0" applyFill="1" applyProtection="1"/>
    <xf numFmtId="0" fontId="30" fillId="0" borderId="0" xfId="0" applyFont="1" applyFill="1" applyProtection="1"/>
    <xf numFmtId="0" fontId="65" fillId="0" borderId="0" xfId="0" applyFont="1" applyFill="1" applyProtection="1"/>
    <xf numFmtId="0" fontId="0" fillId="0" borderId="0" xfId="0" applyFont="1" applyFill="1" applyProtection="1"/>
    <xf numFmtId="0" fontId="9" fillId="0" borderId="0" xfId="0" applyFont="1" applyFill="1" applyAlignment="1" applyProtection="1">
      <alignment vertical="center"/>
    </xf>
    <xf numFmtId="0" fontId="70" fillId="5" borderId="0" xfId="0" applyFont="1" applyFill="1" applyAlignment="1" applyProtection="1">
      <alignment horizontal="right"/>
    </xf>
    <xf numFmtId="0" fontId="41" fillId="0" borderId="0" xfId="0" applyFont="1" applyFill="1" applyProtection="1"/>
    <xf numFmtId="0" fontId="71" fillId="0" borderId="0" xfId="0" applyFont="1" applyFill="1" applyProtection="1"/>
    <xf numFmtId="0" fontId="7" fillId="7" borderId="0" xfId="0" applyFont="1" applyFill="1" applyAlignment="1" applyProtection="1">
      <alignment vertical="center"/>
    </xf>
    <xf numFmtId="0" fontId="11" fillId="0" borderId="0" xfId="0" applyFont="1" applyAlignment="1">
      <alignment horizontal="center"/>
    </xf>
    <xf numFmtId="0" fontId="13" fillId="0" borderId="0" xfId="0" applyFont="1" applyAlignment="1">
      <alignment horizontal="left"/>
    </xf>
    <xf numFmtId="0" fontId="0" fillId="0" borderId="0" xfId="0" applyAlignment="1"/>
    <xf numFmtId="0" fontId="69" fillId="0" borderId="0" xfId="0" applyFont="1" applyAlignment="1">
      <alignment horizontal="right"/>
    </xf>
    <xf numFmtId="0" fontId="38" fillId="0" borderId="0" xfId="0" applyFont="1"/>
    <xf numFmtId="0" fontId="11" fillId="0" borderId="0" xfId="0" applyFont="1" applyBorder="1" applyAlignment="1" applyProtection="1">
      <alignment vertical="center"/>
    </xf>
    <xf numFmtId="0" fontId="19" fillId="7" borderId="0" xfId="0" applyFont="1" applyFill="1" applyAlignment="1" applyProtection="1">
      <alignment vertical="center"/>
    </xf>
    <xf numFmtId="0" fontId="19" fillId="7" borderId="0" xfId="0" applyFont="1" applyFill="1" applyAlignment="1" applyProtection="1">
      <alignment horizontal="right" vertical="center"/>
    </xf>
    <xf numFmtId="2" fontId="19" fillId="7" borderId="0" xfId="0" applyNumberFormat="1" applyFont="1" applyFill="1" applyAlignment="1" applyProtection="1">
      <alignment vertical="center"/>
    </xf>
    <xf numFmtId="0" fontId="13" fillId="6" borderId="0" xfId="0" applyFont="1" applyFill="1" applyAlignment="1" applyProtection="1">
      <alignment horizontal="right" vertical="center"/>
    </xf>
    <xf numFmtId="0" fontId="11" fillId="13" borderId="0" xfId="0" applyFont="1" applyFill="1" applyAlignment="1" applyProtection="1">
      <alignment vertical="center"/>
    </xf>
    <xf numFmtId="0" fontId="13" fillId="13" borderId="0" xfId="0" applyFont="1" applyFill="1" applyAlignment="1" applyProtection="1">
      <alignment horizontal="left" vertical="center"/>
    </xf>
    <xf numFmtId="0" fontId="11" fillId="13" borderId="0" xfId="0" applyFont="1" applyFill="1" applyAlignment="1" applyProtection="1">
      <alignment horizontal="right" vertical="center"/>
    </xf>
    <xf numFmtId="0" fontId="19" fillId="13" borderId="0" xfId="0" applyFont="1" applyFill="1" applyAlignment="1" applyProtection="1">
      <alignment horizontal="left" vertical="center"/>
    </xf>
    <xf numFmtId="0" fontId="19" fillId="13" borderId="0" xfId="0" applyFont="1" applyFill="1" applyAlignment="1" applyProtection="1">
      <alignment vertical="center"/>
    </xf>
    <xf numFmtId="0" fontId="11" fillId="13" borderId="0" xfId="0" applyFont="1" applyFill="1" applyAlignment="1" applyProtection="1">
      <alignment horizontal="center" vertical="center"/>
    </xf>
    <xf numFmtId="165" fontId="11" fillId="13" borderId="0" xfId="0" applyNumberFormat="1" applyFont="1" applyFill="1" applyAlignment="1" applyProtection="1">
      <alignment vertical="center"/>
    </xf>
    <xf numFmtId="0" fontId="5" fillId="13" borderId="0" xfId="0" applyFont="1" applyFill="1" applyAlignment="1" applyProtection="1">
      <alignment horizontal="center" vertical="center"/>
    </xf>
    <xf numFmtId="165" fontId="11" fillId="13" borderId="0" xfId="0" applyNumberFormat="1" applyFont="1" applyFill="1" applyAlignment="1" applyProtection="1">
      <alignment horizontal="left" vertical="center"/>
    </xf>
    <xf numFmtId="0" fontId="6" fillId="13" borderId="0" xfId="0" applyFont="1" applyFill="1" applyAlignment="1" applyProtection="1">
      <alignment horizontal="right" vertical="center"/>
    </xf>
    <xf numFmtId="0" fontId="6" fillId="13" borderId="0" xfId="0" applyFont="1" applyFill="1" applyAlignment="1" applyProtection="1">
      <alignment vertical="center"/>
      <protection locked="0"/>
    </xf>
    <xf numFmtId="0" fontId="6" fillId="13" borderId="0" xfId="0" applyFont="1" applyFill="1" applyAlignment="1" applyProtection="1">
      <alignment vertical="center"/>
    </xf>
    <xf numFmtId="0" fontId="11" fillId="0" borderId="0" xfId="0" applyFont="1" applyAlignment="1">
      <alignment horizontal="center"/>
    </xf>
    <xf numFmtId="0" fontId="0" fillId="0" borderId="0" xfId="0" applyAlignment="1"/>
    <xf numFmtId="0" fontId="19" fillId="7" borderId="0" xfId="0" applyFont="1" applyFill="1" applyAlignment="1" applyProtection="1">
      <alignment horizontal="left" vertical="center"/>
    </xf>
    <xf numFmtId="167" fontId="11" fillId="0" borderId="0" xfId="0" applyNumberFormat="1" applyFont="1" applyAlignment="1" applyProtection="1">
      <alignment vertical="center"/>
    </xf>
    <xf numFmtId="0" fontId="13" fillId="13" borderId="0" xfId="0" applyFont="1" applyFill="1" applyAlignment="1" applyProtection="1">
      <alignment horizontal="center" vertical="center"/>
    </xf>
    <xf numFmtId="0" fontId="11" fillId="0" borderId="0" xfId="0" applyFont="1" applyAlignment="1">
      <alignment horizontal="center"/>
    </xf>
    <xf numFmtId="0" fontId="0" fillId="0" borderId="0" xfId="0" applyAlignment="1"/>
    <xf numFmtId="0" fontId="11" fillId="0" borderId="0" xfId="0" applyFont="1" applyAlignment="1">
      <alignment horizontal="center"/>
    </xf>
    <xf numFmtId="0" fontId="0" fillId="0" borderId="0" xfId="0" applyAlignment="1"/>
    <xf numFmtId="0" fontId="13" fillId="7" borderId="0" xfId="0" applyFont="1" applyFill="1" applyAlignment="1" applyProtection="1">
      <alignment horizontal="center" vertical="center"/>
    </xf>
    <xf numFmtId="0" fontId="11" fillId="7" borderId="0" xfId="0" applyFont="1" applyFill="1" applyAlignment="1" applyProtection="1">
      <alignment horizontal="center" vertical="center"/>
    </xf>
    <xf numFmtId="0" fontId="11" fillId="7" borderId="0" xfId="0" applyFont="1" applyFill="1" applyAlignment="1" applyProtection="1">
      <alignment horizontal="right" vertical="center"/>
    </xf>
    <xf numFmtId="165" fontId="11" fillId="7" borderId="0" xfId="0" applyNumberFormat="1" applyFont="1" applyFill="1" applyAlignment="1" applyProtection="1">
      <alignment vertical="center"/>
    </xf>
    <xf numFmtId="0" fontId="5" fillId="7" borderId="0" xfId="0" applyFont="1" applyFill="1" applyAlignment="1" applyProtection="1">
      <alignment horizontal="center" vertical="center"/>
    </xf>
    <xf numFmtId="165" fontId="11" fillId="7" borderId="0" xfId="0" applyNumberFormat="1" applyFont="1" applyFill="1" applyAlignment="1" applyProtection="1">
      <alignment horizontal="left" vertical="center"/>
    </xf>
    <xf numFmtId="0" fontId="6" fillId="7" borderId="0" xfId="0" applyFont="1" applyFill="1" applyAlignment="1" applyProtection="1">
      <alignment horizontal="right" vertical="center"/>
    </xf>
    <xf numFmtId="0" fontId="74" fillId="7" borderId="0" xfId="0" applyFont="1" applyFill="1" applyAlignment="1" applyProtection="1">
      <alignment horizontal="center" vertical="center"/>
    </xf>
    <xf numFmtId="165" fontId="13" fillId="5" borderId="0" xfId="0" applyNumberFormat="1" applyFont="1" applyFill="1" applyAlignment="1" applyProtection="1">
      <alignment vertical="center"/>
    </xf>
    <xf numFmtId="0" fontId="26" fillId="6" borderId="0" xfId="0" applyFont="1" applyFill="1" applyAlignment="1" applyProtection="1">
      <alignment horizontal="right" vertical="center"/>
    </xf>
    <xf numFmtId="165" fontId="26" fillId="6" borderId="0" xfId="0" applyNumberFormat="1" applyFont="1" applyFill="1" applyAlignment="1" applyProtection="1">
      <alignment vertical="center"/>
    </xf>
    <xf numFmtId="0" fontId="26" fillId="6" borderId="0" xfId="0" applyFont="1" applyFill="1" applyAlignment="1" applyProtection="1">
      <alignment vertical="center"/>
    </xf>
    <xf numFmtId="165" fontId="13" fillId="6" borderId="0" xfId="0" applyNumberFormat="1" applyFont="1" applyFill="1" applyAlignment="1" applyProtection="1">
      <alignment horizontal="left" vertical="center"/>
    </xf>
    <xf numFmtId="0" fontId="13" fillId="0" borderId="0" xfId="0" applyFont="1" applyFill="1" applyAlignment="1" applyProtection="1">
      <alignment horizontal="right" vertical="center"/>
    </xf>
    <xf numFmtId="165" fontId="13" fillId="5" borderId="0" xfId="0" applyNumberFormat="1" applyFont="1" applyFill="1" applyBorder="1" applyAlignment="1" applyProtection="1">
      <alignment vertical="center"/>
    </xf>
    <xf numFmtId="165" fontId="44" fillId="5" borderId="0" xfId="1" applyNumberFormat="1" applyFont="1" applyFill="1" applyBorder="1" applyAlignment="1" applyProtection="1">
      <alignment vertical="center"/>
      <protection locked="0"/>
    </xf>
    <xf numFmtId="165" fontId="20" fillId="7" borderId="0" xfId="0" applyNumberFormat="1" applyFont="1" applyFill="1" applyAlignment="1" applyProtection="1">
      <alignment vertical="center"/>
    </xf>
    <xf numFmtId="0" fontId="0" fillId="0" borderId="0" xfId="0" applyAlignment="1">
      <alignment horizontal="right"/>
    </xf>
    <xf numFmtId="0" fontId="11" fillId="13" borderId="0" xfId="0" applyNumberFormat="1" applyFont="1" applyFill="1" applyAlignment="1" applyProtection="1">
      <alignment vertical="center"/>
    </xf>
    <xf numFmtId="0" fontId="13" fillId="13" borderId="0" xfId="0" applyNumberFormat="1" applyFont="1" applyFill="1" applyAlignment="1" applyProtection="1">
      <alignment horizontal="center" vertical="center"/>
    </xf>
    <xf numFmtId="0" fontId="11" fillId="13" borderId="0" xfId="0" applyNumberFormat="1" applyFont="1" applyFill="1" applyAlignment="1" applyProtection="1">
      <alignment horizontal="center" vertical="center"/>
    </xf>
    <xf numFmtId="0" fontId="19" fillId="13" borderId="0" xfId="0" applyNumberFormat="1" applyFont="1" applyFill="1" applyAlignment="1" applyProtection="1">
      <alignment vertical="center"/>
    </xf>
    <xf numFmtId="0" fontId="5" fillId="13" borderId="0" xfId="0" applyNumberFormat="1" applyFont="1" applyFill="1" applyAlignment="1" applyProtection="1">
      <alignment horizontal="center" vertical="center"/>
    </xf>
    <xf numFmtId="0" fontId="11" fillId="13" borderId="0" xfId="0" applyNumberFormat="1" applyFont="1" applyFill="1" applyAlignment="1" applyProtection="1">
      <alignment horizontal="left" vertical="center"/>
    </xf>
    <xf numFmtId="0" fontId="6" fillId="13" borderId="0" xfId="0" applyNumberFormat="1" applyFont="1" applyFill="1" applyAlignment="1" applyProtection="1">
      <alignment horizontal="right" vertical="center"/>
    </xf>
    <xf numFmtId="0" fontId="6" fillId="13" borderId="0" xfId="0" applyNumberFormat="1" applyFont="1" applyFill="1" applyAlignment="1" applyProtection="1">
      <alignment vertical="center"/>
      <protection locked="0"/>
    </xf>
    <xf numFmtId="0" fontId="6" fillId="13" borderId="0" xfId="0" applyNumberFormat="1" applyFont="1" applyFill="1" applyAlignment="1" applyProtection="1">
      <alignment vertical="center"/>
    </xf>
    <xf numFmtId="165" fontId="13" fillId="6" borderId="0" xfId="0" applyNumberFormat="1" applyFont="1" applyFill="1" applyAlignment="1" applyProtection="1">
      <alignment horizontal="right" vertical="center"/>
    </xf>
    <xf numFmtId="0" fontId="11" fillId="0" borderId="0"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13" fillId="0" borderId="0" xfId="0" applyFont="1" applyAlignment="1" applyProtection="1">
      <alignment horizontal="left" vertical="center"/>
    </xf>
    <xf numFmtId="0" fontId="78" fillId="7" borderId="0" xfId="0" applyFont="1" applyFill="1" applyAlignment="1" applyProtection="1">
      <alignment vertical="center"/>
    </xf>
    <xf numFmtId="22" fontId="11" fillId="0" borderId="0" xfId="0" applyNumberFormat="1" applyFont="1" applyAlignment="1" applyProtection="1">
      <alignment horizontal="center" vertical="center"/>
    </xf>
    <xf numFmtId="0" fontId="11" fillId="0" borderId="0" xfId="0" applyFont="1" applyAlignment="1" applyProtection="1">
      <alignment vertical="center" wrapText="1"/>
    </xf>
    <xf numFmtId="0" fontId="77" fillId="0" borderId="0" xfId="0" applyFont="1" applyAlignment="1">
      <alignment horizontal="left" vertical="center"/>
    </xf>
    <xf numFmtId="0" fontId="13" fillId="0" borderId="0" xfId="0" applyFont="1" applyAlignment="1" applyProtection="1">
      <alignment horizontal="left" vertical="center"/>
    </xf>
    <xf numFmtId="166" fontId="26" fillId="0" borderId="0" xfId="0" applyNumberFormat="1" applyFont="1" applyFill="1" applyAlignment="1" applyProtection="1">
      <alignment vertical="center"/>
      <protection locked="0"/>
    </xf>
    <xf numFmtId="166" fontId="13" fillId="0" borderId="0" xfId="0" applyNumberFormat="1" applyFont="1" applyAlignment="1" applyProtection="1">
      <alignment vertical="center"/>
    </xf>
    <xf numFmtId="0" fontId="4" fillId="5" borderId="0" xfId="0" applyFont="1" applyFill="1" applyAlignment="1" applyProtection="1">
      <alignment horizontal="right" vertical="center"/>
    </xf>
    <xf numFmtId="0" fontId="4" fillId="0" borderId="0" xfId="0" applyFont="1" applyAlignment="1" applyProtection="1">
      <alignment vertical="center"/>
    </xf>
    <xf numFmtId="49" fontId="41" fillId="5" borderId="0" xfId="0" applyNumberFormat="1" applyFont="1" applyFill="1" applyAlignment="1" applyProtection="1">
      <alignment horizontal="left"/>
    </xf>
    <xf numFmtId="0" fontId="79" fillId="13" borderId="0" xfId="0" applyFont="1" applyFill="1" applyAlignment="1" applyProtection="1">
      <alignment vertical="center"/>
    </xf>
    <xf numFmtId="0" fontId="79" fillId="7" borderId="0" xfId="0" applyFont="1" applyFill="1" applyAlignment="1" applyProtection="1">
      <alignment vertical="center"/>
    </xf>
    <xf numFmtId="165" fontId="19" fillId="0" borderId="0" xfId="0" applyNumberFormat="1" applyFont="1" applyAlignment="1" applyProtection="1">
      <alignment vertical="center"/>
    </xf>
    <xf numFmtId="0" fontId="82" fillId="0" borderId="0" xfId="0" applyFont="1" applyAlignment="1">
      <alignment horizontal="left"/>
    </xf>
    <xf numFmtId="0" fontId="79" fillId="13" borderId="0" xfId="0" applyNumberFormat="1" applyFont="1" applyFill="1" applyAlignment="1" applyProtection="1">
      <alignment vertical="center"/>
    </xf>
    <xf numFmtId="0" fontId="85" fillId="2" borderId="0" xfId="0" applyFont="1" applyFill="1" applyProtection="1"/>
    <xf numFmtId="49" fontId="35" fillId="0" borderId="0" xfId="3" applyNumberFormat="1" applyAlignment="1">
      <alignment horizontal="center"/>
    </xf>
    <xf numFmtId="49" fontId="35" fillId="0" borderId="0" xfId="3" applyNumberFormat="1"/>
    <xf numFmtId="0" fontId="86" fillId="0" borderId="0" xfId="3" applyFont="1" applyAlignment="1">
      <alignment horizontal="right"/>
    </xf>
    <xf numFmtId="0" fontId="46" fillId="0" borderId="0" xfId="3" applyFont="1" applyAlignment="1">
      <alignment horizontal="right"/>
    </xf>
    <xf numFmtId="49" fontId="58" fillId="0" borderId="0" xfId="3" applyNumberFormat="1" applyFont="1" applyAlignment="1">
      <alignment horizontal="center"/>
    </xf>
    <xf numFmtId="0" fontId="53" fillId="0" borderId="15" xfId="3" applyFont="1" applyBorder="1"/>
    <xf numFmtId="0" fontId="35" fillId="0" borderId="16" xfId="3" applyBorder="1"/>
    <xf numFmtId="0" fontId="35" fillId="0" borderId="17" xfId="3" applyBorder="1"/>
    <xf numFmtId="0" fontId="35" fillId="0" borderId="15" xfId="3" applyBorder="1"/>
    <xf numFmtId="0" fontId="35" fillId="0" borderId="18" xfId="3" applyBorder="1"/>
    <xf numFmtId="0" fontId="35" fillId="0" borderId="19" xfId="3" applyBorder="1"/>
    <xf numFmtId="0" fontId="52" fillId="0" borderId="0" xfId="3" applyFont="1" applyBorder="1"/>
    <xf numFmtId="0" fontId="46" fillId="0" borderId="18" xfId="3" applyFont="1" applyBorder="1"/>
    <xf numFmtId="0" fontId="46" fillId="0" borderId="19" xfId="3" applyFont="1" applyBorder="1"/>
    <xf numFmtId="0" fontId="46" fillId="0" borderId="18" xfId="3" applyFont="1" applyFill="1" applyBorder="1"/>
    <xf numFmtId="0" fontId="46" fillId="0" borderId="19" xfId="3" applyFont="1" applyFill="1" applyBorder="1"/>
    <xf numFmtId="0" fontId="35" fillId="0" borderId="20" xfId="3" applyBorder="1"/>
    <xf numFmtId="0" fontId="35" fillId="0" borderId="21" xfId="3" applyBorder="1"/>
    <xf numFmtId="0" fontId="35" fillId="0" borderId="22" xfId="3" applyBorder="1"/>
    <xf numFmtId="0" fontId="46" fillId="0" borderId="20" xfId="3" applyFont="1" applyFill="1" applyBorder="1"/>
    <xf numFmtId="0" fontId="46" fillId="0" borderId="23" xfId="3" applyFont="1" applyFill="1" applyBorder="1"/>
    <xf numFmtId="2" fontId="48" fillId="0" borderId="23" xfId="3" applyNumberFormat="1" applyFont="1" applyFill="1" applyBorder="1"/>
    <xf numFmtId="0" fontId="46" fillId="0" borderId="22" xfId="3" applyFont="1" applyFill="1" applyBorder="1"/>
    <xf numFmtId="0" fontId="55" fillId="0" borderId="0" xfId="3" applyFont="1" applyFill="1" applyBorder="1"/>
    <xf numFmtId="2" fontId="55" fillId="0" borderId="0" xfId="3" applyNumberFormat="1" applyFont="1" applyFill="1" applyBorder="1"/>
    <xf numFmtId="0" fontId="54" fillId="0" borderId="18" xfId="3" applyFont="1" applyBorder="1"/>
    <xf numFmtId="0" fontId="54" fillId="0" borderId="0" xfId="3" applyFont="1"/>
    <xf numFmtId="0" fontId="54" fillId="0" borderId="20" xfId="3" applyFont="1" applyBorder="1"/>
    <xf numFmtId="0" fontId="54" fillId="0" borderId="21" xfId="3" applyFont="1" applyBorder="1"/>
    <xf numFmtId="0" fontId="55" fillId="0" borderId="0" xfId="3" applyFont="1" applyFill="1"/>
    <xf numFmtId="1" fontId="35" fillId="0" borderId="0" xfId="3" applyNumberFormat="1" applyFill="1"/>
    <xf numFmtId="1" fontId="35" fillId="9" borderId="0" xfId="3" applyNumberFormat="1" applyFill="1"/>
    <xf numFmtId="1" fontId="35" fillId="14" borderId="0" xfId="3" applyNumberFormat="1" applyFill="1"/>
    <xf numFmtId="1" fontId="55" fillId="0" borderId="18" xfId="3" applyNumberFormat="1" applyFont="1" applyFill="1" applyBorder="1"/>
    <xf numFmtId="2" fontId="55" fillId="0" borderId="0" xfId="3" applyNumberFormat="1" applyFont="1" applyFill="1"/>
    <xf numFmtId="2" fontId="35" fillId="0" borderId="18" xfId="3" applyNumberFormat="1" applyFill="1" applyBorder="1"/>
    <xf numFmtId="2" fontId="55" fillId="0" borderId="0" xfId="3" applyNumberFormat="1" applyFont="1"/>
    <xf numFmtId="0" fontId="35" fillId="0" borderId="18" xfId="3" applyFill="1" applyBorder="1"/>
    <xf numFmtId="2" fontId="35" fillId="14" borderId="0" xfId="3" applyNumberFormat="1" applyFill="1"/>
    <xf numFmtId="0" fontId="55" fillId="0" borderId="18" xfId="3" applyFont="1" applyFill="1" applyBorder="1"/>
    <xf numFmtId="0" fontId="35" fillId="0" borderId="24" xfId="3" applyBorder="1"/>
    <xf numFmtId="0" fontId="35" fillId="0" borderId="24" xfId="3" applyFont="1" applyBorder="1"/>
    <xf numFmtId="0" fontId="35" fillId="0" borderId="24" xfId="3" applyFont="1" applyFill="1" applyBorder="1"/>
    <xf numFmtId="0" fontId="35" fillId="0" borderId="25" xfId="3" applyFill="1" applyBorder="1"/>
    <xf numFmtId="0" fontId="35" fillId="0" borderId="24" xfId="3" applyFill="1" applyBorder="1"/>
    <xf numFmtId="0" fontId="35" fillId="15" borderId="0" xfId="3" applyFill="1"/>
    <xf numFmtId="0" fontId="35" fillId="15" borderId="18" xfId="3" applyFill="1" applyBorder="1"/>
    <xf numFmtId="0" fontId="11" fillId="0" borderId="0" xfId="0" applyFont="1" applyAlignment="1" applyProtection="1">
      <alignment horizontal="left" vertical="center"/>
    </xf>
    <xf numFmtId="0" fontId="87" fillId="0" borderId="0" xfId="3" applyFont="1"/>
    <xf numFmtId="0" fontId="88" fillId="0" borderId="0" xfId="3" applyFont="1" applyAlignment="1">
      <alignment horizontal="right"/>
    </xf>
    <xf numFmtId="0" fontId="89" fillId="0" borderId="0" xfId="3" applyFont="1"/>
    <xf numFmtId="0" fontId="89" fillId="0" borderId="0" xfId="3" applyFont="1" applyAlignment="1">
      <alignment horizontal="right"/>
    </xf>
    <xf numFmtId="49" fontId="58" fillId="0" borderId="0" xfId="3" applyNumberFormat="1" applyFont="1" applyFill="1" applyAlignment="1">
      <alignment horizontal="center"/>
    </xf>
    <xf numFmtId="49" fontId="55" fillId="0" borderId="0" xfId="3" applyNumberFormat="1" applyFont="1" applyFill="1"/>
    <xf numFmtId="0" fontId="90" fillId="0" borderId="0" xfId="3" applyFont="1" applyFill="1"/>
    <xf numFmtId="49" fontId="91" fillId="0" borderId="0" xfId="3" applyNumberFormat="1" applyFont="1" applyAlignment="1">
      <alignment horizontal="center"/>
    </xf>
    <xf numFmtId="49" fontId="91" fillId="0" borderId="0" xfId="3" applyNumberFormat="1" applyFont="1"/>
    <xf numFmtId="0" fontId="91" fillId="0" borderId="0" xfId="3" applyFont="1"/>
    <xf numFmtId="0" fontId="92" fillId="0" borderId="0" xfId="3" applyFont="1"/>
    <xf numFmtId="49" fontId="93" fillId="0" borderId="0" xfId="3" applyNumberFormat="1" applyFont="1" applyFill="1" applyAlignment="1">
      <alignment horizontal="center"/>
    </xf>
    <xf numFmtId="49" fontId="91" fillId="0" borderId="0" xfId="3" applyNumberFormat="1" applyFont="1" applyFill="1"/>
    <xf numFmtId="0" fontId="94" fillId="0" borderId="0" xfId="3" applyFont="1" applyFill="1"/>
    <xf numFmtId="0" fontId="91" fillId="0" borderId="0" xfId="3" applyFont="1" applyFill="1"/>
    <xf numFmtId="0" fontId="95" fillId="0" borderId="0" xfId="3" applyFont="1"/>
    <xf numFmtId="0" fontId="87" fillId="0" borderId="15" xfId="3" applyFont="1" applyBorder="1"/>
    <xf numFmtId="0" fontId="87" fillId="0" borderId="16" xfId="3" applyFont="1" applyBorder="1"/>
    <xf numFmtId="0" fontId="87" fillId="0" borderId="17" xfId="3" applyFont="1" applyBorder="1"/>
    <xf numFmtId="0" fontId="53" fillId="0" borderId="18" xfId="3" applyFont="1" applyBorder="1"/>
    <xf numFmtId="0" fontId="89" fillId="0" borderId="18" xfId="3" applyFont="1" applyBorder="1"/>
    <xf numFmtId="0" fontId="89" fillId="0" borderId="0" xfId="3" applyFont="1" applyBorder="1"/>
    <xf numFmtId="0" fontId="89" fillId="0" borderId="19" xfId="3" applyFont="1" applyBorder="1"/>
    <xf numFmtId="0" fontId="96" fillId="0" borderId="18" xfId="3" applyFont="1" applyFill="1" applyBorder="1"/>
    <xf numFmtId="0" fontId="89" fillId="0" borderId="1" xfId="3" applyFont="1" applyFill="1" applyBorder="1"/>
    <xf numFmtId="0" fontId="89" fillId="8" borderId="1" xfId="3" applyFont="1" applyFill="1" applyBorder="1"/>
    <xf numFmtId="0" fontId="89" fillId="8" borderId="1" xfId="3" applyFont="1" applyFill="1" applyBorder="1" applyProtection="1">
      <protection locked="0"/>
    </xf>
    <xf numFmtId="0" fontId="97" fillId="0" borderId="26" xfId="3" applyFont="1" applyBorder="1" applyAlignment="1">
      <alignment wrapText="1"/>
    </xf>
    <xf numFmtId="0" fontId="87" fillId="0" borderId="18" xfId="3" applyFont="1" applyBorder="1"/>
    <xf numFmtId="0" fontId="89" fillId="0" borderId="3" xfId="3" applyFont="1" applyFill="1" applyBorder="1"/>
    <xf numFmtId="0" fontId="89" fillId="8" borderId="3" xfId="3" applyFont="1" applyFill="1" applyBorder="1"/>
    <xf numFmtId="0" fontId="89" fillId="8" borderId="6" xfId="3" applyFont="1" applyFill="1" applyBorder="1"/>
    <xf numFmtId="0" fontId="89" fillId="8" borderId="3" xfId="3" applyFont="1" applyFill="1" applyBorder="1" applyAlignment="1" applyProtection="1">
      <alignment horizontal="right"/>
      <protection locked="0"/>
    </xf>
    <xf numFmtId="0" fontId="89" fillId="0" borderId="0" xfId="3" applyFont="1" applyFill="1" applyBorder="1"/>
    <xf numFmtId="165" fontId="89" fillId="0" borderId="0" xfId="3" applyNumberFormat="1" applyFont="1" applyFill="1" applyBorder="1"/>
    <xf numFmtId="165" fontId="96" fillId="0" borderId="1" xfId="3" applyNumberFormat="1" applyFont="1" applyFill="1" applyBorder="1" applyAlignment="1">
      <alignment horizontal="right"/>
    </xf>
    <xf numFmtId="165" fontId="96" fillId="0" borderId="1" xfId="3" applyNumberFormat="1" applyFont="1" applyFill="1" applyBorder="1"/>
    <xf numFmtId="0" fontId="97" fillId="0" borderId="26" xfId="3" applyFont="1" applyBorder="1"/>
    <xf numFmtId="165" fontId="96" fillId="0" borderId="3" xfId="3" applyNumberFormat="1" applyFont="1" applyFill="1" applyBorder="1"/>
    <xf numFmtId="0" fontId="97" fillId="0" borderId="27" xfId="3" applyFont="1" applyBorder="1"/>
    <xf numFmtId="0" fontId="89" fillId="9" borderId="3" xfId="3" applyFont="1" applyFill="1" applyBorder="1"/>
    <xf numFmtId="165" fontId="96" fillId="9" borderId="3" xfId="3" applyNumberFormat="1" applyFont="1" applyFill="1" applyBorder="1"/>
    <xf numFmtId="0" fontId="89" fillId="0" borderId="3" xfId="3" applyFont="1" applyBorder="1"/>
    <xf numFmtId="165" fontId="96" fillId="0" borderId="3" xfId="3" applyNumberFormat="1" applyFont="1" applyBorder="1"/>
    <xf numFmtId="166" fontId="96" fillId="0" borderId="3" xfId="3" applyNumberFormat="1" applyFont="1" applyFill="1" applyBorder="1"/>
    <xf numFmtId="0" fontId="89" fillId="0" borderId="18" xfId="3" applyFont="1" applyFill="1" applyBorder="1"/>
    <xf numFmtId="0" fontId="96" fillId="9" borderId="3" xfId="3" applyFont="1" applyFill="1" applyBorder="1"/>
    <xf numFmtId="0" fontId="89" fillId="0" borderId="19" xfId="3" applyFont="1" applyFill="1" applyBorder="1"/>
    <xf numFmtId="0" fontId="99" fillId="0" borderId="0" xfId="3" applyFont="1"/>
    <xf numFmtId="0" fontId="100" fillId="0" borderId="0" xfId="3" applyFont="1" applyAlignment="1">
      <alignment horizontal="left" readingOrder="1"/>
    </xf>
    <xf numFmtId="0" fontId="100" fillId="0" borderId="0" xfId="3" applyFont="1"/>
    <xf numFmtId="0" fontId="35" fillId="0" borderId="19" xfId="3" applyFill="1" applyBorder="1"/>
    <xf numFmtId="0" fontId="55" fillId="14" borderId="0" xfId="3" applyFont="1" applyFill="1"/>
    <xf numFmtId="0" fontId="54" fillId="14" borderId="0" xfId="3" applyFont="1" applyFill="1"/>
    <xf numFmtId="0" fontId="101" fillId="0" borderId="0" xfId="3" applyFont="1" applyFill="1"/>
    <xf numFmtId="2" fontId="35" fillId="0" borderId="0" xfId="3" applyNumberFormat="1" applyFill="1" applyBorder="1"/>
    <xf numFmtId="166" fontId="35" fillId="14" borderId="0" xfId="3" applyNumberFormat="1" applyFill="1"/>
    <xf numFmtId="0" fontId="54" fillId="0" borderId="0" xfId="3" applyFont="1" applyFill="1" applyBorder="1" applyAlignment="1">
      <alignment vertical="top"/>
    </xf>
    <xf numFmtId="167" fontId="35" fillId="0" borderId="0" xfId="3" applyNumberFormat="1"/>
    <xf numFmtId="167" fontId="35" fillId="0" borderId="0" xfId="3" applyNumberFormat="1" applyFill="1"/>
    <xf numFmtId="0" fontId="35" fillId="14" borderId="0" xfId="3" applyFill="1"/>
    <xf numFmtId="2" fontId="55" fillId="14" borderId="0" xfId="3" applyNumberFormat="1" applyFont="1" applyFill="1"/>
    <xf numFmtId="2" fontId="54" fillId="0" borderId="0" xfId="3" applyNumberFormat="1" applyFont="1"/>
    <xf numFmtId="2" fontId="101" fillId="0" borderId="0" xfId="3" applyNumberFormat="1" applyFont="1"/>
    <xf numFmtId="0" fontId="102" fillId="0" borderId="0" xfId="3" applyFont="1" applyFill="1"/>
    <xf numFmtId="0" fontId="35" fillId="0" borderId="25" xfId="3" applyBorder="1"/>
    <xf numFmtId="0" fontId="35" fillId="14" borderId="18" xfId="3" applyFill="1" applyBorder="1"/>
    <xf numFmtId="0" fontId="55" fillId="16" borderId="0" xfId="3" applyFont="1" applyFill="1"/>
    <xf numFmtId="0" fontId="35" fillId="16" borderId="0" xfId="3" applyFill="1"/>
    <xf numFmtId="0" fontId="35" fillId="0" borderId="0" xfId="3" applyProtection="1">
      <protection locked="0"/>
    </xf>
    <xf numFmtId="0" fontId="55" fillId="0" borderId="0" xfId="3" applyFont="1" applyProtection="1">
      <protection locked="0"/>
    </xf>
    <xf numFmtId="1" fontId="89" fillId="8" borderId="2" xfId="3" applyNumberFormat="1" applyFont="1" applyFill="1" applyBorder="1" applyAlignment="1">
      <alignment horizontal="right"/>
    </xf>
    <xf numFmtId="0" fontId="89" fillId="8" borderId="0" xfId="3" applyFont="1" applyFill="1" applyBorder="1" applyAlignment="1">
      <alignment horizontal="right"/>
    </xf>
    <xf numFmtId="0" fontId="89" fillId="8" borderId="4" xfId="3" applyFont="1" applyFill="1" applyBorder="1" applyAlignment="1">
      <alignment horizontal="right"/>
    </xf>
    <xf numFmtId="0" fontId="89" fillId="8" borderId="5" xfId="3" applyFont="1" applyFill="1" applyBorder="1" applyAlignment="1">
      <alignment horizontal="right"/>
    </xf>
    <xf numFmtId="0" fontId="89" fillId="8" borderId="12" xfId="3" applyFont="1" applyFill="1" applyBorder="1"/>
    <xf numFmtId="0" fontId="89" fillId="8" borderId="12" xfId="3" applyFont="1" applyFill="1" applyBorder="1" applyAlignment="1">
      <alignment horizontal="right"/>
    </xf>
    <xf numFmtId="0" fontId="48" fillId="0" borderId="18" xfId="3" applyFont="1" applyFill="1" applyBorder="1"/>
    <xf numFmtId="0" fontId="49" fillId="0" borderId="26" xfId="3" applyFont="1" applyBorder="1" applyAlignment="1">
      <alignment wrapText="1"/>
    </xf>
    <xf numFmtId="0" fontId="49" fillId="0" borderId="26" xfId="3" applyFont="1" applyBorder="1"/>
    <xf numFmtId="0" fontId="49" fillId="0" borderId="27" xfId="3" applyFont="1" applyBorder="1"/>
    <xf numFmtId="0" fontId="11" fillId="0" borderId="0" xfId="0" applyNumberFormat="1" applyFont="1" applyAlignment="1" applyProtection="1">
      <alignment horizontal="left" vertical="center"/>
    </xf>
    <xf numFmtId="0" fontId="3" fillId="0" borderId="0" xfId="0" applyFont="1"/>
    <xf numFmtId="0" fontId="2" fillId="0" borderId="0" xfId="0" applyFont="1"/>
    <xf numFmtId="0" fontId="0" fillId="0" borderId="0" xfId="0" applyAlignment="1"/>
    <xf numFmtId="0" fontId="0" fillId="0" borderId="0" xfId="0" applyAlignment="1"/>
    <xf numFmtId="0" fontId="0" fillId="0" borderId="0" xfId="0" applyAlignment="1"/>
    <xf numFmtId="0" fontId="11" fillId="0" borderId="0" xfId="0" applyFont="1" applyAlignment="1"/>
    <xf numFmtId="0" fontId="105" fillId="7" borderId="0" xfId="0" applyNumberFormat="1" applyFont="1" applyFill="1" applyAlignment="1" applyProtection="1">
      <alignment horizontal="right" vertical="center"/>
      <protection locked="0"/>
    </xf>
    <xf numFmtId="0" fontId="26" fillId="0" borderId="0" xfId="0" applyFont="1" applyFill="1" applyAlignment="1" applyProtection="1">
      <alignment horizontal="center" vertical="center"/>
      <protection locked="0"/>
    </xf>
    <xf numFmtId="0" fontId="77" fillId="0" borderId="0" xfId="0" applyFont="1" applyAlignment="1" applyProtection="1">
      <alignment horizontal="center" vertical="center"/>
      <protection locked="0"/>
    </xf>
    <xf numFmtId="0" fontId="0" fillId="0" borderId="0" xfId="0" applyAlignment="1" applyProtection="1">
      <alignment vertical="center"/>
      <protection locked="0"/>
    </xf>
    <xf numFmtId="49" fontId="26" fillId="0" borderId="0" xfId="0" applyNumberFormat="1" applyFont="1" applyFill="1" applyAlignment="1" applyProtection="1">
      <alignment horizontal="center" vertical="center"/>
      <protection locked="0"/>
    </xf>
    <xf numFmtId="0" fontId="13" fillId="0" borderId="0" xfId="0" applyFont="1" applyAlignment="1" applyProtection="1">
      <alignment horizontal="left" vertical="center"/>
    </xf>
    <xf numFmtId="0" fontId="11" fillId="0" borderId="0" xfId="0" applyFont="1" applyAlignment="1" applyProtection="1">
      <alignment horizontal="left" vertical="center"/>
    </xf>
    <xf numFmtId="0" fontId="13" fillId="0" borderId="0" xfId="0" applyFont="1" applyAlignment="1" applyProtection="1">
      <alignment horizontal="center" vertical="center" wrapText="1"/>
    </xf>
    <xf numFmtId="0" fontId="0" fillId="0" borderId="0" xfId="0" applyAlignment="1">
      <alignment horizontal="center" vertical="center" wrapText="1"/>
    </xf>
    <xf numFmtId="0" fontId="11" fillId="0" borderId="0" xfId="0" applyNumberFormat="1" applyFont="1" applyAlignment="1" applyProtection="1">
      <alignment vertical="center"/>
    </xf>
    <xf numFmtId="0" fontId="0" fillId="0" borderId="0" xfId="0" applyAlignment="1">
      <alignment vertical="center"/>
    </xf>
    <xf numFmtId="0" fontId="60" fillId="0" borderId="0" xfId="0" applyNumberFormat="1" applyFont="1" applyAlignment="1" applyProtection="1">
      <alignment vertical="center"/>
    </xf>
    <xf numFmtId="171" fontId="11" fillId="0" borderId="0" xfId="0" applyNumberFormat="1" applyFont="1" applyAlignment="1" applyProtection="1">
      <alignment horizontal="left" vertical="center"/>
    </xf>
    <xf numFmtId="170" fontId="11" fillId="0" borderId="0" xfId="0" applyNumberFormat="1" applyFont="1" applyAlignment="1" applyProtection="1">
      <alignment horizontal="left" vertical="center"/>
    </xf>
    <xf numFmtId="0" fontId="13" fillId="0" borderId="0" xfId="0" applyFont="1" applyAlignment="1" applyProtection="1">
      <alignment horizontal="center" vertical="center"/>
    </xf>
    <xf numFmtId="0" fontId="77" fillId="0" borderId="0" xfId="0" applyFont="1" applyAlignment="1">
      <alignment horizontal="center" vertical="center"/>
    </xf>
    <xf numFmtId="167" fontId="40" fillId="0" borderId="0" xfId="0" applyNumberFormat="1" applyFont="1" applyFill="1" applyBorder="1" applyAlignment="1">
      <alignment horizontal="center"/>
    </xf>
    <xf numFmtId="0" fontId="11" fillId="0" borderId="0" xfId="0" applyFont="1" applyAlignment="1">
      <alignment horizontal="center"/>
    </xf>
    <xf numFmtId="0" fontId="0" fillId="0" borderId="0" xfId="0" applyAlignment="1"/>
    <xf numFmtId="0" fontId="35" fillId="0" borderId="7" xfId="3" applyBorder="1" applyAlignment="1">
      <alignment horizontal="left"/>
    </xf>
    <xf numFmtId="0" fontId="35" fillId="0" borderId="13" xfId="3" applyBorder="1" applyAlignment="1">
      <alignment horizontal="left"/>
    </xf>
    <xf numFmtId="0" fontId="35" fillId="0" borderId="14" xfId="3" applyBorder="1" applyAlignment="1">
      <alignment horizontal="left"/>
    </xf>
  </cellXfs>
  <cellStyles count="4">
    <cellStyle name="Hiperłącze" xfId="1" builtinId="8"/>
    <cellStyle name="Normalny" xfId="0" builtinId="0"/>
    <cellStyle name="Normalny 2" xfId="3" xr:uid="{00000000-0005-0000-0000-000002000000}"/>
    <cellStyle name="Procentowy" xfId="2" builtinId="5"/>
  </cellStyles>
  <dxfs count="16">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s>
  <tableStyles count="0" defaultTableStyle="TableStyleMedium9" defaultPivotStyle="PivotStyleLight16"/>
  <colors>
    <mruColors>
      <color rgb="FF008000"/>
      <color rgb="FFFFFFFF"/>
      <color rgb="FFDC7300"/>
      <color rgb="FF7090B7"/>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sz="1200" b="1"/>
              <a:t>Compresso Connect</a:t>
            </a:r>
          </a:p>
        </c:rich>
      </c:tx>
      <c:layout>
        <c:manualLayout>
          <c:xMode val="edge"/>
          <c:yMode val="edge"/>
          <c:x val="0.35695059268331802"/>
          <c:y val="2.7149305897577875E-2"/>
        </c:manualLayout>
      </c:layout>
      <c:overlay val="0"/>
      <c:spPr>
        <a:noFill/>
        <a:ln w="25400">
          <a:noFill/>
        </a:ln>
      </c:spPr>
    </c:title>
    <c:autoTitleDeleted val="0"/>
    <c:plotArea>
      <c:layout>
        <c:manualLayout>
          <c:layoutTarget val="inner"/>
          <c:xMode val="edge"/>
          <c:yMode val="edge"/>
          <c:x val="9.5433732353520206E-2"/>
          <c:y val="0.11079978718535968"/>
          <c:w val="0.6952595510211268"/>
          <c:h val="0.7301391786750594"/>
        </c:manualLayout>
      </c:layout>
      <c:scatterChart>
        <c:scatterStyle val="smoothMarker"/>
        <c:varyColors val="0"/>
        <c:ser>
          <c:idx val="0"/>
          <c:order val="0"/>
          <c:tx>
            <c:strRef>
              <c:f>[1]Daten!$A$33</c:f>
              <c:strCache>
                <c:ptCount val="1"/>
                <c:pt idx="0">
                  <c:v>C 10.1 (F) Connect</c:v>
                </c:pt>
              </c:strCache>
            </c:strRef>
          </c:tx>
          <c:spPr>
            <a:ln w="25400">
              <a:solidFill>
                <a:schemeClr val="tx1"/>
              </a:solidFill>
              <a:prstDash val="solid"/>
            </a:ln>
          </c:spPr>
          <c:marker>
            <c:symbol val="none"/>
          </c:marker>
          <c:xVal>
            <c:numRef>
              <c:f>[1]Daten!$C$33:$Q$33</c:f>
              <c:numCache>
                <c:formatCode>General</c:formatCode>
                <c:ptCount val="15"/>
                <c:pt idx="0">
                  <c:v>0</c:v>
                </c:pt>
                <c:pt idx="1">
                  <c:v>356</c:v>
                </c:pt>
                <c:pt idx="2">
                  <c:v>356</c:v>
                </c:pt>
                <c:pt idx="3">
                  <c:v>627.625</c:v>
                </c:pt>
                <c:pt idx="4">
                  <c:v>899.25</c:v>
                </c:pt>
                <c:pt idx="5">
                  <c:v>1170.875</c:v>
                </c:pt>
                <c:pt idx="6">
                  <c:v>1442.5</c:v>
                </c:pt>
                <c:pt idx="7">
                  <c:v>1714.125</c:v>
                </c:pt>
                <c:pt idx="8">
                  <c:v>1985.75</c:v>
                </c:pt>
                <c:pt idx="9">
                  <c:v>2257.375</c:v>
                </c:pt>
                <c:pt idx="10">
                  <c:v>2529</c:v>
                </c:pt>
                <c:pt idx="11">
                  <c:v>2529</c:v>
                </c:pt>
                <c:pt idx="12">
                  <c:v>2529</c:v>
                </c:pt>
                <c:pt idx="13">
                  <c:v>2529</c:v>
                </c:pt>
                <c:pt idx="14">
                  <c:v>0</c:v>
                </c:pt>
              </c:numCache>
            </c:numRef>
          </c:xVal>
          <c:yVal>
            <c:numRef>
              <c:f>[1]Daten!$C$34:$Q$34</c:f>
              <c:numCache>
                <c:formatCode>General</c:formatCode>
                <c:ptCount val="15"/>
                <c:pt idx="0">
                  <c:v>5.3986528948426091</c:v>
                </c:pt>
                <c:pt idx="1">
                  <c:v>5.3986528948426091</c:v>
                </c:pt>
                <c:pt idx="2">
                  <c:v>5.3986528948426091</c:v>
                </c:pt>
                <c:pt idx="3">
                  <c:v>3.9247923916058425</c:v>
                </c:pt>
                <c:pt idx="4">
                  <c:v>3.0788141418321566</c:v>
                </c:pt>
                <c:pt idx="5">
                  <c:v>2.5015431702289255</c:v>
                </c:pt>
                <c:pt idx="6">
                  <c:v>2.0706110200920222</c:v>
                </c:pt>
                <c:pt idx="7">
                  <c:v>1.7305451044637641</c:v>
                </c:pt>
                <c:pt idx="8">
                  <c:v>1.4518113853400774</c:v>
                </c:pt>
                <c:pt idx="9">
                  <c:v>1.2169477082435178</c:v>
                </c:pt>
                <c:pt idx="10">
                  <c:v>1.0148335749734871</c:v>
                </c:pt>
                <c:pt idx="11">
                  <c:v>1.0148335749734871</c:v>
                </c:pt>
                <c:pt idx="12">
                  <c:v>0.83800000000000008</c:v>
                </c:pt>
                <c:pt idx="13">
                  <c:v>0.83800000000000008</c:v>
                </c:pt>
                <c:pt idx="14">
                  <c:v>0.83800000000000008</c:v>
                </c:pt>
              </c:numCache>
            </c:numRef>
          </c:yVal>
          <c:smooth val="1"/>
          <c:extLst>
            <c:ext xmlns:c16="http://schemas.microsoft.com/office/drawing/2014/chart" uri="{C3380CC4-5D6E-409C-BE32-E72D297353CC}">
              <c16:uniqueId val="{00000000-8E0C-4D71-8B3A-4C74BE8D656C}"/>
            </c:ext>
          </c:extLst>
        </c:ser>
        <c:ser>
          <c:idx val="1"/>
          <c:order val="1"/>
          <c:tx>
            <c:strRef>
              <c:f>[1]Daten!$A$38</c:f>
              <c:strCache>
                <c:ptCount val="1"/>
                <c:pt idx="0">
                  <c:v>C 10.2 Connect</c:v>
                </c:pt>
              </c:strCache>
            </c:strRef>
          </c:tx>
          <c:spPr>
            <a:ln w="25400">
              <a:solidFill>
                <a:srgbClr val="FFFF00"/>
              </a:solidFill>
              <a:prstDash val="solid"/>
            </a:ln>
          </c:spPr>
          <c:marker>
            <c:symbol val="none"/>
          </c:marker>
          <c:xVal>
            <c:numRef>
              <c:f>[1]Daten!$C$38:$Q$38</c:f>
              <c:numCache>
                <c:formatCode>General</c:formatCode>
                <c:ptCount val="15"/>
                <c:pt idx="0">
                  <c:v>0</c:v>
                </c:pt>
                <c:pt idx="1">
                  <c:v>670</c:v>
                </c:pt>
                <c:pt idx="2">
                  <c:v>670</c:v>
                </c:pt>
                <c:pt idx="3">
                  <c:v>1218.625</c:v>
                </c:pt>
                <c:pt idx="4">
                  <c:v>1767.25</c:v>
                </c:pt>
                <c:pt idx="5">
                  <c:v>2315.875</c:v>
                </c:pt>
                <c:pt idx="6">
                  <c:v>2864.5</c:v>
                </c:pt>
                <c:pt idx="7">
                  <c:v>3413.125</c:v>
                </c:pt>
                <c:pt idx="8">
                  <c:v>3961.75</c:v>
                </c:pt>
                <c:pt idx="9">
                  <c:v>4510.375</c:v>
                </c:pt>
                <c:pt idx="10">
                  <c:v>5059</c:v>
                </c:pt>
                <c:pt idx="11">
                  <c:v>5059</c:v>
                </c:pt>
                <c:pt idx="12">
                  <c:v>5059</c:v>
                </c:pt>
                <c:pt idx="13">
                  <c:v>5059</c:v>
                </c:pt>
                <c:pt idx="14">
                  <c:v>0</c:v>
                </c:pt>
              </c:numCache>
            </c:numRef>
          </c:xVal>
          <c:yVal>
            <c:numRef>
              <c:f>[1]Daten!$C$39:$Q$39</c:f>
              <c:numCache>
                <c:formatCode>General</c:formatCode>
                <c:ptCount val="15"/>
                <c:pt idx="0">
                  <c:v>5.3957535495568987</c:v>
                </c:pt>
                <c:pt idx="1">
                  <c:v>5.3957535495568987</c:v>
                </c:pt>
                <c:pt idx="2">
                  <c:v>5.3957535495568987</c:v>
                </c:pt>
                <c:pt idx="3">
                  <c:v>3.8247384816862038</c:v>
                </c:pt>
                <c:pt idx="4">
                  <c:v>2.9827790679763764</c:v>
                </c:pt>
                <c:pt idx="5">
                  <c:v>2.4263284774758187</c:v>
                </c:pt>
                <c:pt idx="6">
                  <c:v>2.0182735536141849</c:v>
                </c:pt>
                <c:pt idx="7">
                  <c:v>1.6995252129969303</c:v>
                </c:pt>
                <c:pt idx="8">
                  <c:v>1.4396282575807349</c:v>
                </c:pt>
                <c:pt idx="9">
                  <c:v>1.2209864946712443</c:v>
                </c:pt>
                <c:pt idx="10">
                  <c:v>1.0325881769031664</c:v>
                </c:pt>
                <c:pt idx="11">
                  <c:v>1.0325881769031664</c:v>
                </c:pt>
                <c:pt idx="12">
                  <c:v>0.86899999999999999</c:v>
                </c:pt>
                <c:pt idx="13">
                  <c:v>0.86899999999999999</c:v>
                </c:pt>
                <c:pt idx="14">
                  <c:v>0.86899999999999999</c:v>
                </c:pt>
              </c:numCache>
            </c:numRef>
          </c:yVal>
          <c:smooth val="1"/>
          <c:extLst>
            <c:ext xmlns:c16="http://schemas.microsoft.com/office/drawing/2014/chart" uri="{C3380CC4-5D6E-409C-BE32-E72D297353CC}">
              <c16:uniqueId val="{00000001-8E0C-4D71-8B3A-4C74BE8D656C}"/>
            </c:ext>
          </c:extLst>
        </c:ser>
        <c:ser>
          <c:idx val="2"/>
          <c:order val="2"/>
          <c:tx>
            <c:strRef>
              <c:f>[1]Daten!$A$43</c:f>
              <c:strCache>
                <c:ptCount val="1"/>
                <c:pt idx="0">
                  <c:v>C 15.1 Connect</c:v>
                </c:pt>
              </c:strCache>
            </c:strRef>
          </c:tx>
          <c:spPr>
            <a:ln w="25400">
              <a:solidFill>
                <a:srgbClr val="FF0000"/>
              </a:solidFill>
              <a:prstDash val="solid"/>
            </a:ln>
          </c:spPr>
          <c:marker>
            <c:symbol val="none"/>
          </c:marker>
          <c:xVal>
            <c:numRef>
              <c:f>[1]Daten!$C$43:$Q$43</c:f>
              <c:numCache>
                <c:formatCode>General</c:formatCode>
                <c:ptCount val="15"/>
                <c:pt idx="0">
                  <c:v>0</c:v>
                </c:pt>
                <c:pt idx="1">
                  <c:v>368</c:v>
                </c:pt>
                <c:pt idx="2">
                  <c:v>368</c:v>
                </c:pt>
                <c:pt idx="3">
                  <c:v>796.25</c:v>
                </c:pt>
                <c:pt idx="4">
                  <c:v>1224.5</c:v>
                </c:pt>
                <c:pt idx="5">
                  <c:v>1652.75</c:v>
                </c:pt>
                <c:pt idx="6">
                  <c:v>2081</c:v>
                </c:pt>
                <c:pt idx="7">
                  <c:v>2509.25</c:v>
                </c:pt>
                <c:pt idx="8">
                  <c:v>2937.5</c:v>
                </c:pt>
                <c:pt idx="9">
                  <c:v>3365.75</c:v>
                </c:pt>
                <c:pt idx="10">
                  <c:v>3794</c:v>
                </c:pt>
                <c:pt idx="11">
                  <c:v>3794</c:v>
                </c:pt>
                <c:pt idx="12">
                  <c:v>3794</c:v>
                </c:pt>
                <c:pt idx="13">
                  <c:v>3794</c:v>
                </c:pt>
                <c:pt idx="14">
                  <c:v>0</c:v>
                </c:pt>
              </c:numCache>
            </c:numRef>
          </c:xVal>
          <c:yVal>
            <c:numRef>
              <c:f>[1]Daten!$C$44:$Q$44</c:f>
              <c:numCache>
                <c:formatCode>General</c:formatCode>
                <c:ptCount val="15"/>
                <c:pt idx="0">
                  <c:v>8.9034653752438011</c:v>
                </c:pt>
                <c:pt idx="1">
                  <c:v>8.9034653752438011</c:v>
                </c:pt>
                <c:pt idx="2">
                  <c:v>8.9034653752438011</c:v>
                </c:pt>
                <c:pt idx="3">
                  <c:v>5.1977258222703595</c:v>
                </c:pt>
                <c:pt idx="4">
                  <c:v>3.6530624715846951</c:v>
                </c:pt>
                <c:pt idx="5">
                  <c:v>2.7450438766688752</c:v>
                </c:pt>
                <c:pt idx="6">
                  <c:v>2.1267126016614486</c:v>
                </c:pt>
                <c:pt idx="7">
                  <c:v>1.6690516281300942</c:v>
                </c:pt>
                <c:pt idx="8">
                  <c:v>1.3114718845546061</c:v>
                </c:pt>
                <c:pt idx="9">
                  <c:v>1.0212079104987675</c:v>
                </c:pt>
                <c:pt idx="10">
                  <c:v>0.77876392842360453</c:v>
                </c:pt>
                <c:pt idx="11">
                  <c:v>0.77876392842360453</c:v>
                </c:pt>
                <c:pt idx="12">
                  <c:v>0.58200000000000007</c:v>
                </c:pt>
                <c:pt idx="13">
                  <c:v>0.58200000000000007</c:v>
                </c:pt>
                <c:pt idx="14">
                  <c:v>0.58200000000000007</c:v>
                </c:pt>
              </c:numCache>
            </c:numRef>
          </c:yVal>
          <c:smooth val="1"/>
          <c:extLst>
            <c:ext xmlns:c16="http://schemas.microsoft.com/office/drawing/2014/chart" uri="{C3380CC4-5D6E-409C-BE32-E72D297353CC}">
              <c16:uniqueId val="{00000002-8E0C-4D71-8B3A-4C74BE8D656C}"/>
            </c:ext>
          </c:extLst>
        </c:ser>
        <c:ser>
          <c:idx val="3"/>
          <c:order val="3"/>
          <c:tx>
            <c:strRef>
              <c:f>[1]Daten!$A$48</c:f>
              <c:strCache>
                <c:ptCount val="1"/>
                <c:pt idx="0">
                  <c:v>C 15.2 Connect</c:v>
                </c:pt>
              </c:strCache>
            </c:strRef>
          </c:tx>
          <c:spPr>
            <a:ln w="25400">
              <a:solidFill>
                <a:srgbClr val="00B050"/>
              </a:solidFill>
              <a:prstDash val="solid"/>
            </a:ln>
          </c:spPr>
          <c:marker>
            <c:symbol val="none"/>
          </c:marker>
          <c:xVal>
            <c:numRef>
              <c:f>[1]Daten!$C$48:$Q$48</c:f>
              <c:numCache>
                <c:formatCode>General</c:formatCode>
                <c:ptCount val="15"/>
                <c:pt idx="0">
                  <c:v>0</c:v>
                </c:pt>
                <c:pt idx="1">
                  <c:v>816</c:v>
                </c:pt>
                <c:pt idx="2">
                  <c:v>816</c:v>
                </c:pt>
                <c:pt idx="3">
                  <c:v>1662.625</c:v>
                </c:pt>
                <c:pt idx="4">
                  <c:v>2509.25</c:v>
                </c:pt>
                <c:pt idx="5">
                  <c:v>3355.875</c:v>
                </c:pt>
                <c:pt idx="6">
                  <c:v>4202.5</c:v>
                </c:pt>
                <c:pt idx="7">
                  <c:v>5049.125</c:v>
                </c:pt>
                <c:pt idx="8">
                  <c:v>5895.75</c:v>
                </c:pt>
                <c:pt idx="9">
                  <c:v>6742.375</c:v>
                </c:pt>
                <c:pt idx="10">
                  <c:v>7589</c:v>
                </c:pt>
                <c:pt idx="11">
                  <c:v>7589</c:v>
                </c:pt>
                <c:pt idx="12">
                  <c:v>7589</c:v>
                </c:pt>
                <c:pt idx="13">
                  <c:v>7589</c:v>
                </c:pt>
                <c:pt idx="14">
                  <c:v>0</c:v>
                </c:pt>
              </c:numCache>
            </c:numRef>
          </c:xVal>
          <c:yVal>
            <c:numRef>
              <c:f>[1]Daten!$C$49:$Q$49</c:f>
              <c:numCache>
                <c:formatCode>General</c:formatCode>
                <c:ptCount val="15"/>
                <c:pt idx="0">
                  <c:v>8.8997815295352272</c:v>
                </c:pt>
                <c:pt idx="1">
                  <c:v>8.8997815295352272</c:v>
                </c:pt>
                <c:pt idx="2">
                  <c:v>8.8997815295352272</c:v>
                </c:pt>
                <c:pt idx="3">
                  <c:v>5.2625335894512419</c:v>
                </c:pt>
                <c:pt idx="4">
                  <c:v>3.7138328013400819</c:v>
                </c:pt>
                <c:pt idx="5">
                  <c:v>2.799255607767372</c:v>
                </c:pt>
                <c:pt idx="6">
                  <c:v>2.1741620990337895</c:v>
                </c:pt>
                <c:pt idx="7">
                  <c:v>1.70902076842343</c:v>
                </c:pt>
                <c:pt idx="8">
                  <c:v>1.3427858871876741</c:v>
                </c:pt>
                <c:pt idx="9">
                  <c:v>1.0424163104741022</c:v>
                </c:pt>
                <c:pt idx="10">
                  <c:v>0.78825824459880445</c:v>
                </c:pt>
                <c:pt idx="11">
                  <c:v>0.78825824459880445</c:v>
                </c:pt>
                <c:pt idx="12">
                  <c:v>0.57699999999999996</c:v>
                </c:pt>
                <c:pt idx="13">
                  <c:v>0.57699999999999996</c:v>
                </c:pt>
                <c:pt idx="14">
                  <c:v>0.57699999999999996</c:v>
                </c:pt>
              </c:numCache>
            </c:numRef>
          </c:yVal>
          <c:smooth val="1"/>
          <c:extLst>
            <c:ext xmlns:c16="http://schemas.microsoft.com/office/drawing/2014/chart" uri="{C3380CC4-5D6E-409C-BE32-E72D297353CC}">
              <c16:uniqueId val="{00000003-8E0C-4D71-8B3A-4C74BE8D656C}"/>
            </c:ext>
          </c:extLst>
        </c:ser>
        <c:ser>
          <c:idx val="4"/>
          <c:order val="4"/>
          <c:tx>
            <c:v>Working point</c:v>
          </c:tx>
          <c:spPr>
            <a:ln w="28575">
              <a:noFill/>
            </a:ln>
          </c:spPr>
          <c:marker>
            <c:symbol val="diamond"/>
            <c:size val="10"/>
            <c:spPr>
              <a:solidFill>
                <a:schemeClr val="tx1"/>
              </a:solidFill>
              <a:ln w="9525">
                <a:noFill/>
              </a:ln>
            </c:spPr>
          </c:marker>
          <c:xVal>
            <c:numRef>
              <c:f>'C-C Auswahl'!$P$23</c:f>
              <c:numCache>
                <c:formatCode>General</c:formatCode>
                <c:ptCount val="1"/>
                <c:pt idx="0">
                  <c:v>1739.52</c:v>
                </c:pt>
              </c:numCache>
            </c:numRef>
          </c:xVal>
          <c:yVal>
            <c:numRef>
              <c:f>'C-C Auswahl'!$P$20</c:f>
              <c:numCache>
                <c:formatCode>0.0</c:formatCode>
                <c:ptCount val="1"/>
                <c:pt idx="0">
                  <c:v>3.4787567787971461</c:v>
                </c:pt>
              </c:numCache>
            </c:numRef>
          </c:yVal>
          <c:smooth val="0"/>
          <c:extLst>
            <c:ext xmlns:c16="http://schemas.microsoft.com/office/drawing/2014/chart" uri="{C3380CC4-5D6E-409C-BE32-E72D297353CC}">
              <c16:uniqueId val="{00000004-8E0C-4D71-8B3A-4C74BE8D656C}"/>
            </c:ext>
          </c:extLst>
        </c:ser>
        <c:dLbls>
          <c:showLegendKey val="0"/>
          <c:showVal val="0"/>
          <c:showCatName val="0"/>
          <c:showSerName val="0"/>
          <c:showPercent val="0"/>
          <c:showBubbleSize val="0"/>
        </c:dLbls>
        <c:axId val="276246704"/>
        <c:axId val="276247264"/>
      </c:scatterChart>
      <c:valAx>
        <c:axId val="276246704"/>
        <c:scaling>
          <c:orientation val="minMax"/>
          <c:max val="800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0" i="0" u="none" strike="noStrike" baseline="0">
                    <a:solidFill>
                      <a:srgbClr val="000000"/>
                    </a:solidFill>
                    <a:latin typeface="Arial"/>
                    <a:ea typeface="Arial"/>
                    <a:cs typeface="Arial"/>
                  </a:defRPr>
                </a:pPr>
                <a:r>
                  <a:rPr lang="pl-PL" sz="1200"/>
                  <a:t>VD l/h</a:t>
                </a:r>
              </a:p>
            </c:rich>
          </c:tx>
          <c:layout>
            <c:manualLayout>
              <c:xMode val="edge"/>
              <c:yMode val="edge"/>
              <c:x val="0.41708886203736956"/>
              <c:y val="0.9269031733528403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76247264"/>
        <c:crosses val="autoZero"/>
        <c:crossBetween val="midCat"/>
        <c:majorUnit val="1000"/>
      </c:valAx>
      <c:valAx>
        <c:axId val="276247264"/>
        <c:scaling>
          <c:orientation val="minMax"/>
        </c:scaling>
        <c:delete val="0"/>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pl-PL" sz="1200"/>
                  <a:t>Pman bar</a:t>
                </a:r>
              </a:p>
            </c:rich>
          </c:tx>
          <c:layout>
            <c:manualLayout>
              <c:xMode val="edge"/>
              <c:yMode val="edge"/>
              <c:x val="1.0697679902714301E-2"/>
              <c:y val="0.4334035613412265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76246704"/>
        <c:crosses val="autoZero"/>
        <c:crossBetween val="midCat"/>
      </c:valAx>
      <c:spPr>
        <a:solidFill>
          <a:srgbClr val="CCCCFF"/>
        </a:solidFill>
        <a:ln w="12700">
          <a:solidFill>
            <a:srgbClr val="CCCCFF"/>
          </a:solidFill>
          <a:prstDash val="solid"/>
        </a:ln>
      </c:spPr>
    </c:plotArea>
    <c:legend>
      <c:legendPos val="r"/>
      <c:layout>
        <c:manualLayout>
          <c:xMode val="edge"/>
          <c:yMode val="edge"/>
          <c:x val="0.80705263568709362"/>
          <c:y val="0.23027983025469514"/>
          <c:w val="0.18136388958027708"/>
          <c:h val="0.5977806384995029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1" l="0.75000000000000833" r="0.75000000000000833" t="1" header="0.49212598450000411" footer="0.49212598450000411"/>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pl-PL"/>
              <a:t>Transfero TI..2.2</a:t>
            </a:r>
          </a:p>
        </c:rich>
      </c:tx>
      <c:layout>
        <c:manualLayout>
          <c:xMode val="edge"/>
          <c:yMode val="edge"/>
          <c:x val="0.42234052676188588"/>
          <c:y val="2.5066443466220282E-2"/>
        </c:manualLayout>
      </c:layout>
      <c:overlay val="0"/>
      <c:spPr>
        <a:noFill/>
        <a:ln w="25400">
          <a:noFill/>
        </a:ln>
      </c:spPr>
    </c:title>
    <c:autoTitleDeleted val="0"/>
    <c:plotArea>
      <c:layout>
        <c:manualLayout>
          <c:layoutTarget val="inner"/>
          <c:xMode val="edge"/>
          <c:yMode val="edge"/>
          <c:x val="0.12484993997599039"/>
          <c:y val="0.11417322834645777"/>
          <c:w val="0.69267707082833163"/>
          <c:h val="0.72244094488188981"/>
        </c:manualLayout>
      </c:layout>
      <c:scatterChart>
        <c:scatterStyle val="smoothMarker"/>
        <c:varyColors val="0"/>
        <c:ser>
          <c:idx val="0"/>
          <c:order val="0"/>
          <c:tx>
            <c:strRef>
              <c:f>'[2]T Daten'!$A$219</c:f>
              <c:strCache>
                <c:ptCount val="1"/>
                <c:pt idx="0">
                  <c:v>TI 62.2</c:v>
                </c:pt>
              </c:strCache>
            </c:strRef>
          </c:tx>
          <c:spPr>
            <a:ln w="25400">
              <a:solidFill>
                <a:srgbClr val="FF0000"/>
              </a:solidFill>
              <a:prstDash val="solid"/>
            </a:ln>
          </c:spPr>
          <c:marker>
            <c:symbol val="none"/>
          </c:marker>
          <c:xVal>
            <c:numRef>
              <c:f>'[2]T Daten'!$C$219:$O$219</c:f>
              <c:numCache>
                <c:formatCode>General</c:formatCode>
                <c:ptCount val="13"/>
                <c:pt idx="0">
                  <c:v>0</c:v>
                </c:pt>
                <c:pt idx="1">
                  <c:v>9500</c:v>
                </c:pt>
                <c:pt idx="2">
                  <c:v>9500</c:v>
                </c:pt>
                <c:pt idx="3">
                  <c:v>11062.5</c:v>
                </c:pt>
                <c:pt idx="4">
                  <c:v>12625</c:v>
                </c:pt>
                <c:pt idx="5">
                  <c:v>14187.5</c:v>
                </c:pt>
                <c:pt idx="6">
                  <c:v>15750</c:v>
                </c:pt>
                <c:pt idx="7">
                  <c:v>17312.5</c:v>
                </c:pt>
                <c:pt idx="8">
                  <c:v>18875</c:v>
                </c:pt>
                <c:pt idx="9">
                  <c:v>20437.5</c:v>
                </c:pt>
                <c:pt idx="10">
                  <c:v>22000</c:v>
                </c:pt>
                <c:pt idx="11">
                  <c:v>22000</c:v>
                </c:pt>
                <c:pt idx="12">
                  <c:v>0</c:v>
                </c:pt>
              </c:numCache>
            </c:numRef>
          </c:xVal>
          <c:yVal>
            <c:numRef>
              <c:f>'[2]T Daten'!$C$220:$O$220</c:f>
              <c:numCache>
                <c:formatCode>General</c:formatCode>
                <c:ptCount val="13"/>
                <c:pt idx="0">
                  <c:v>5.2393749999999999</c:v>
                </c:pt>
                <c:pt idx="1">
                  <c:v>5.2393749999999999</c:v>
                </c:pt>
                <c:pt idx="2">
                  <c:v>5.2393749999999999</c:v>
                </c:pt>
                <c:pt idx="3">
                  <c:v>5.0430371093749997</c:v>
                </c:pt>
                <c:pt idx="4">
                  <c:v>4.8149609374999995</c:v>
                </c:pt>
                <c:pt idx="5">
                  <c:v>4.5551464843750002</c:v>
                </c:pt>
                <c:pt idx="6">
                  <c:v>4.2635937500000001</c:v>
                </c:pt>
                <c:pt idx="7">
                  <c:v>3.9403027343749999</c:v>
                </c:pt>
                <c:pt idx="8">
                  <c:v>3.5852734374999997</c:v>
                </c:pt>
                <c:pt idx="9">
                  <c:v>3.198505859375</c:v>
                </c:pt>
                <c:pt idx="10">
                  <c:v>2.78</c:v>
                </c:pt>
                <c:pt idx="11">
                  <c:v>2.15</c:v>
                </c:pt>
                <c:pt idx="12">
                  <c:v>2.15</c:v>
                </c:pt>
              </c:numCache>
            </c:numRef>
          </c:yVal>
          <c:smooth val="0"/>
          <c:extLst>
            <c:ext xmlns:c16="http://schemas.microsoft.com/office/drawing/2014/chart" uri="{C3380CC4-5D6E-409C-BE32-E72D297353CC}">
              <c16:uniqueId val="{00000000-DED8-4CE3-9EB3-2C339DD2DA8A}"/>
            </c:ext>
          </c:extLst>
        </c:ser>
        <c:ser>
          <c:idx val="2"/>
          <c:order val="1"/>
          <c:tx>
            <c:strRef>
              <c:f>'[2]T Daten'!$A$224</c:f>
              <c:strCache>
                <c:ptCount val="1"/>
                <c:pt idx="0">
                  <c:v>TI 102.2</c:v>
                </c:pt>
              </c:strCache>
            </c:strRef>
          </c:tx>
          <c:spPr>
            <a:ln w="25400">
              <a:solidFill>
                <a:srgbClr val="FFFF00"/>
              </a:solidFill>
              <a:prstDash val="solid"/>
            </a:ln>
          </c:spPr>
          <c:marker>
            <c:symbol val="none"/>
          </c:marker>
          <c:xVal>
            <c:numRef>
              <c:f>'[2]T Daten'!$C$224:$O$224</c:f>
              <c:numCache>
                <c:formatCode>General</c:formatCode>
                <c:ptCount val="13"/>
                <c:pt idx="0">
                  <c:v>0</c:v>
                </c:pt>
                <c:pt idx="1">
                  <c:v>7950</c:v>
                </c:pt>
                <c:pt idx="2">
                  <c:v>7950</c:v>
                </c:pt>
                <c:pt idx="3">
                  <c:v>9956.25</c:v>
                </c:pt>
                <c:pt idx="4">
                  <c:v>11962.5</c:v>
                </c:pt>
                <c:pt idx="5">
                  <c:v>13968.75</c:v>
                </c:pt>
                <c:pt idx="6">
                  <c:v>15975</c:v>
                </c:pt>
                <c:pt idx="7">
                  <c:v>17981.25</c:v>
                </c:pt>
                <c:pt idx="8">
                  <c:v>19987.5</c:v>
                </c:pt>
                <c:pt idx="9">
                  <c:v>21993.75</c:v>
                </c:pt>
                <c:pt idx="10">
                  <c:v>24000</c:v>
                </c:pt>
                <c:pt idx="11">
                  <c:v>24000</c:v>
                </c:pt>
                <c:pt idx="12">
                  <c:v>0</c:v>
                </c:pt>
              </c:numCache>
            </c:numRef>
          </c:xVal>
          <c:yVal>
            <c:numRef>
              <c:f>'[2]T Daten'!$C$225:$O$225</c:f>
              <c:numCache>
                <c:formatCode>General</c:formatCode>
                <c:ptCount val="13"/>
                <c:pt idx="0">
                  <c:v>8.6322852359049183</c:v>
                </c:pt>
                <c:pt idx="1">
                  <c:v>8.6322852359049183</c:v>
                </c:pt>
                <c:pt idx="2">
                  <c:v>8.6322852359049183</c:v>
                </c:pt>
                <c:pt idx="3">
                  <c:v>8.3251449530583859</c:v>
                </c:pt>
                <c:pt idx="4">
                  <c:v>7.945034944045628</c:v>
                </c:pt>
                <c:pt idx="5">
                  <c:v>7.4920137187916236</c:v>
                </c:pt>
                <c:pt idx="6">
                  <c:v>6.9661305609142197</c:v>
                </c:pt>
                <c:pt idx="7">
                  <c:v>6.367428047327742</c:v>
                </c:pt>
                <c:pt idx="8">
                  <c:v>5.6959436570344817</c:v>
                </c:pt>
                <c:pt idx="9">
                  <c:v>4.9517108619100396</c:v>
                </c:pt>
                <c:pt idx="10">
                  <c:v>4.1347599007225657</c:v>
                </c:pt>
                <c:pt idx="11">
                  <c:v>2.4500000000000002</c:v>
                </c:pt>
                <c:pt idx="12">
                  <c:v>2.4500000000000002</c:v>
                </c:pt>
              </c:numCache>
            </c:numRef>
          </c:yVal>
          <c:smooth val="0"/>
          <c:extLst>
            <c:ext xmlns:c16="http://schemas.microsoft.com/office/drawing/2014/chart" uri="{C3380CC4-5D6E-409C-BE32-E72D297353CC}">
              <c16:uniqueId val="{00000001-DED8-4CE3-9EB3-2C339DD2DA8A}"/>
            </c:ext>
          </c:extLst>
        </c:ser>
        <c:ser>
          <c:idx val="3"/>
          <c:order val="2"/>
          <c:tx>
            <c:strRef>
              <c:f>'[2]T Daten'!$A$229</c:f>
              <c:strCache>
                <c:ptCount val="1"/>
                <c:pt idx="0">
                  <c:v>TI 132.2</c:v>
                </c:pt>
              </c:strCache>
            </c:strRef>
          </c:tx>
          <c:spPr>
            <a:ln w="25400">
              <a:solidFill>
                <a:srgbClr val="008000"/>
              </a:solidFill>
              <a:prstDash val="solid"/>
            </a:ln>
          </c:spPr>
          <c:marker>
            <c:symbol val="none"/>
          </c:marker>
          <c:xVal>
            <c:numRef>
              <c:f>'[2]T Daten'!$C$229:$O$229</c:f>
              <c:numCache>
                <c:formatCode>General</c:formatCode>
                <c:ptCount val="13"/>
                <c:pt idx="0">
                  <c:v>0</c:v>
                </c:pt>
                <c:pt idx="1">
                  <c:v>8550</c:v>
                </c:pt>
                <c:pt idx="2">
                  <c:v>8550</c:v>
                </c:pt>
                <c:pt idx="3">
                  <c:v>10481.25</c:v>
                </c:pt>
                <c:pt idx="4">
                  <c:v>12412.5</c:v>
                </c:pt>
                <c:pt idx="5">
                  <c:v>14343.75</c:v>
                </c:pt>
                <c:pt idx="6">
                  <c:v>16275</c:v>
                </c:pt>
                <c:pt idx="7">
                  <c:v>18206.25</c:v>
                </c:pt>
                <c:pt idx="8">
                  <c:v>20137.5</c:v>
                </c:pt>
                <c:pt idx="9">
                  <c:v>22068.75</c:v>
                </c:pt>
                <c:pt idx="10">
                  <c:v>24000</c:v>
                </c:pt>
                <c:pt idx="11">
                  <c:v>24000</c:v>
                </c:pt>
                <c:pt idx="12">
                  <c:v>0</c:v>
                </c:pt>
              </c:numCache>
            </c:numRef>
          </c:xVal>
          <c:yVal>
            <c:numRef>
              <c:f>'[2]T Daten'!$C$230:$O$230</c:f>
              <c:numCache>
                <c:formatCode>General</c:formatCode>
                <c:ptCount val="13"/>
                <c:pt idx="0">
                  <c:v>11.721279585590221</c:v>
                </c:pt>
                <c:pt idx="1">
                  <c:v>11.721279585590221</c:v>
                </c:pt>
                <c:pt idx="2">
                  <c:v>11.721279585590221</c:v>
                </c:pt>
                <c:pt idx="3">
                  <c:v>11.334468374571106</c:v>
                </c:pt>
                <c:pt idx="4">
                  <c:v>10.863272265059445</c:v>
                </c:pt>
                <c:pt idx="5">
                  <c:v>10.307691257055234</c:v>
                </c:pt>
                <c:pt idx="6">
                  <c:v>9.6677253505584719</c:v>
                </c:pt>
                <c:pt idx="7">
                  <c:v>8.9433745455691636</c:v>
                </c:pt>
                <c:pt idx="8">
                  <c:v>8.1346388420873037</c:v>
                </c:pt>
                <c:pt idx="9">
                  <c:v>7.241518240112895</c:v>
                </c:pt>
                <c:pt idx="10">
                  <c:v>6.2640127396459384</c:v>
                </c:pt>
                <c:pt idx="11">
                  <c:v>5.05</c:v>
                </c:pt>
                <c:pt idx="12">
                  <c:v>5.05</c:v>
                </c:pt>
              </c:numCache>
            </c:numRef>
          </c:yVal>
          <c:smooth val="0"/>
          <c:extLst>
            <c:ext xmlns:c16="http://schemas.microsoft.com/office/drawing/2014/chart" uri="{C3380CC4-5D6E-409C-BE32-E72D297353CC}">
              <c16:uniqueId val="{00000002-DED8-4CE3-9EB3-2C339DD2DA8A}"/>
            </c:ext>
          </c:extLst>
        </c:ser>
        <c:ser>
          <c:idx val="5"/>
          <c:order val="3"/>
          <c:tx>
            <c:strRef>
              <c:f>'[2]T Daten'!$A$234</c:f>
              <c:strCache>
                <c:ptCount val="1"/>
                <c:pt idx="0">
                  <c:v>TI 182.2</c:v>
                </c:pt>
              </c:strCache>
            </c:strRef>
          </c:tx>
          <c:spPr>
            <a:ln w="25400">
              <a:solidFill>
                <a:srgbClr val="800000"/>
              </a:solidFill>
              <a:prstDash val="solid"/>
            </a:ln>
          </c:spPr>
          <c:marker>
            <c:symbol val="none"/>
          </c:marker>
          <c:xVal>
            <c:numRef>
              <c:f>'[2]T Daten'!$C$234:$O$234</c:f>
              <c:numCache>
                <c:formatCode>General</c:formatCode>
                <c:ptCount val="13"/>
                <c:pt idx="0">
                  <c:v>0</c:v>
                </c:pt>
                <c:pt idx="1">
                  <c:v>10800</c:v>
                </c:pt>
                <c:pt idx="2">
                  <c:v>10800</c:v>
                </c:pt>
                <c:pt idx="3">
                  <c:v>12450</c:v>
                </c:pt>
                <c:pt idx="4">
                  <c:v>14100</c:v>
                </c:pt>
                <c:pt idx="5">
                  <c:v>15750</c:v>
                </c:pt>
                <c:pt idx="6">
                  <c:v>17400</c:v>
                </c:pt>
                <c:pt idx="7">
                  <c:v>19050</c:v>
                </c:pt>
                <c:pt idx="8">
                  <c:v>20700</c:v>
                </c:pt>
                <c:pt idx="9">
                  <c:v>22350</c:v>
                </c:pt>
                <c:pt idx="10">
                  <c:v>24000</c:v>
                </c:pt>
                <c:pt idx="11">
                  <c:v>24000</c:v>
                </c:pt>
                <c:pt idx="12">
                  <c:v>0</c:v>
                </c:pt>
              </c:numCache>
            </c:numRef>
          </c:xVal>
          <c:yVal>
            <c:numRef>
              <c:f>'[2]T Daten'!$C$235:$O$235</c:f>
              <c:numCache>
                <c:formatCode>General</c:formatCode>
                <c:ptCount val="13"/>
                <c:pt idx="0">
                  <c:v>15.645504464250692</c:v>
                </c:pt>
                <c:pt idx="1">
                  <c:v>15.645504464250692</c:v>
                </c:pt>
                <c:pt idx="2">
                  <c:v>15.645504464250692</c:v>
                </c:pt>
                <c:pt idx="3">
                  <c:v>15.096194493484379</c:v>
                </c:pt>
                <c:pt idx="4">
                  <c:v>14.46423407525446</c:v>
                </c:pt>
                <c:pt idx="5">
                  <c:v>13.749623209560934</c:v>
                </c:pt>
                <c:pt idx="6">
                  <c:v>12.952361896403804</c:v>
                </c:pt>
                <c:pt idx="7">
                  <c:v>12.072450135783068</c:v>
                </c:pt>
                <c:pt idx="8">
                  <c:v>11.109887927698724</c:v>
                </c:pt>
                <c:pt idx="9">
                  <c:v>10.064675272150778</c:v>
                </c:pt>
                <c:pt idx="10">
                  <c:v>8.936812169139225</c:v>
                </c:pt>
                <c:pt idx="11">
                  <c:v>5.8</c:v>
                </c:pt>
                <c:pt idx="12">
                  <c:v>5.8</c:v>
                </c:pt>
              </c:numCache>
            </c:numRef>
          </c:yVal>
          <c:smooth val="0"/>
          <c:extLst>
            <c:ext xmlns:c16="http://schemas.microsoft.com/office/drawing/2014/chart" uri="{C3380CC4-5D6E-409C-BE32-E72D297353CC}">
              <c16:uniqueId val="{00000003-DED8-4CE3-9EB3-2C339DD2DA8A}"/>
            </c:ext>
          </c:extLst>
        </c:ser>
        <c:ser>
          <c:idx val="4"/>
          <c:order val="4"/>
          <c:tx>
            <c:strRef>
              <c:f>'[2]T Daten'!$A$239</c:f>
              <c:strCache>
                <c:ptCount val="1"/>
                <c:pt idx="0">
                  <c:v>TI 212.2</c:v>
                </c:pt>
              </c:strCache>
            </c:strRef>
          </c:tx>
          <c:spPr>
            <a:ln w="38100">
              <a:solidFill>
                <a:srgbClr val="33CCCC"/>
              </a:solidFill>
              <a:prstDash val="solid"/>
            </a:ln>
          </c:spPr>
          <c:marker>
            <c:symbol val="square"/>
            <c:size val="7"/>
            <c:spPr>
              <a:noFill/>
              <a:ln w="9525">
                <a:noFill/>
              </a:ln>
            </c:spPr>
          </c:marker>
          <c:xVal>
            <c:numRef>
              <c:f>'[2]T Daten'!$C$239:$O$239</c:f>
              <c:numCache>
                <c:formatCode>General</c:formatCode>
                <c:ptCount val="13"/>
                <c:pt idx="0">
                  <c:v>0</c:v>
                </c:pt>
                <c:pt idx="1">
                  <c:v>11300</c:v>
                </c:pt>
                <c:pt idx="2">
                  <c:v>11300</c:v>
                </c:pt>
                <c:pt idx="3">
                  <c:v>12387.5</c:v>
                </c:pt>
                <c:pt idx="4">
                  <c:v>13475</c:v>
                </c:pt>
                <c:pt idx="5">
                  <c:v>14562.5</c:v>
                </c:pt>
                <c:pt idx="6">
                  <c:v>15650</c:v>
                </c:pt>
                <c:pt idx="7">
                  <c:v>16737.5</c:v>
                </c:pt>
                <c:pt idx="8">
                  <c:v>17825</c:v>
                </c:pt>
                <c:pt idx="9">
                  <c:v>18912.5</c:v>
                </c:pt>
                <c:pt idx="10">
                  <c:v>20000</c:v>
                </c:pt>
                <c:pt idx="11">
                  <c:v>20000</c:v>
                </c:pt>
                <c:pt idx="12">
                  <c:v>0</c:v>
                </c:pt>
              </c:numCache>
            </c:numRef>
          </c:xVal>
          <c:yVal>
            <c:numRef>
              <c:f>'[2]T Daten'!$C$240:$O$240</c:f>
              <c:numCache>
                <c:formatCode>General</c:formatCode>
                <c:ptCount val="13"/>
                <c:pt idx="0">
                  <c:v>19.009982902746064</c:v>
                </c:pt>
                <c:pt idx="1">
                  <c:v>19.009982902746064</c:v>
                </c:pt>
                <c:pt idx="2">
                  <c:v>19.009982902746064</c:v>
                </c:pt>
                <c:pt idx="3">
                  <c:v>18.593348460159032</c:v>
                </c:pt>
                <c:pt idx="4">
                  <c:v>18.134346617857783</c:v>
                </c:pt>
                <c:pt idx="5">
                  <c:v>17.633084713480109</c:v>
                </c:pt>
                <c:pt idx="6">
                  <c:v>17.089661450944966</c:v>
                </c:pt>
                <c:pt idx="7">
                  <c:v>16.504168169048747</c:v>
                </c:pt>
                <c:pt idx="8">
                  <c:v>15.876689850492252</c:v>
                </c:pt>
                <c:pt idx="9">
                  <c:v>15.207305937554249</c:v>
                </c:pt>
                <c:pt idx="10">
                  <c:v>14.496091000785604</c:v>
                </c:pt>
                <c:pt idx="11">
                  <c:v>12.1</c:v>
                </c:pt>
                <c:pt idx="12">
                  <c:v>12.1</c:v>
                </c:pt>
              </c:numCache>
            </c:numRef>
          </c:yVal>
          <c:smooth val="0"/>
          <c:extLst>
            <c:ext xmlns:c16="http://schemas.microsoft.com/office/drawing/2014/chart" uri="{C3380CC4-5D6E-409C-BE32-E72D297353CC}">
              <c16:uniqueId val="{00000004-DED8-4CE3-9EB3-2C339DD2DA8A}"/>
            </c:ext>
          </c:extLst>
        </c:ser>
        <c:ser>
          <c:idx val="7"/>
          <c:order val="5"/>
          <c:tx>
            <c:v>Arbeitspunkt</c:v>
          </c:tx>
          <c:spPr>
            <a:ln w="12700">
              <a:solidFill>
                <a:srgbClr val="0000FF"/>
              </a:solidFill>
              <a:prstDash val="solid"/>
            </a:ln>
          </c:spPr>
          <c:marker>
            <c:symbol val="diamond"/>
            <c:size val="10"/>
            <c:spPr>
              <a:solidFill>
                <a:srgbClr val="000000"/>
              </a:solidFill>
              <a:ln>
                <a:solidFill>
                  <a:srgbClr val="000000"/>
                </a:solidFill>
                <a:prstDash val="solid"/>
              </a:ln>
            </c:spPr>
          </c:marker>
          <c:xVal>
            <c:numRef>
              <c:f>'T Auswahl'!$P$23</c:f>
              <c:numCache>
                <c:formatCode>General</c:formatCode>
                <c:ptCount val="1"/>
                <c:pt idx="0">
                  <c:v>1739.52</c:v>
                </c:pt>
              </c:numCache>
            </c:numRef>
          </c:xVal>
          <c:yVal>
            <c:numRef>
              <c:f>'T Auswahl'!$P$20</c:f>
              <c:numCache>
                <c:formatCode>0.0</c:formatCode>
                <c:ptCount val="1"/>
                <c:pt idx="0">
                  <c:v>3.4284000000000003</c:v>
                </c:pt>
              </c:numCache>
            </c:numRef>
          </c:yVal>
          <c:smooth val="1"/>
          <c:extLst>
            <c:ext xmlns:c16="http://schemas.microsoft.com/office/drawing/2014/chart" uri="{C3380CC4-5D6E-409C-BE32-E72D297353CC}">
              <c16:uniqueId val="{00000005-DED8-4CE3-9EB3-2C339DD2DA8A}"/>
            </c:ext>
          </c:extLst>
        </c:ser>
        <c:dLbls>
          <c:showLegendKey val="0"/>
          <c:showVal val="0"/>
          <c:showCatName val="0"/>
          <c:showSerName val="0"/>
          <c:showPercent val="0"/>
          <c:showBubbleSize val="0"/>
        </c:dLbls>
        <c:axId val="354265696"/>
        <c:axId val="354266256"/>
      </c:scatterChart>
      <c:valAx>
        <c:axId val="354265696"/>
        <c:scaling>
          <c:orientation val="minMax"/>
          <c:max val="2500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0" i="0" u="none" strike="noStrike" baseline="0">
                    <a:solidFill>
                      <a:srgbClr val="000000"/>
                    </a:solidFill>
                    <a:latin typeface="Arial"/>
                    <a:ea typeface="Arial"/>
                    <a:cs typeface="Arial"/>
                  </a:defRPr>
                </a:pPr>
                <a:r>
                  <a:rPr lang="pl-PL"/>
                  <a:t>VD l/h</a:t>
                </a:r>
              </a:p>
            </c:rich>
          </c:tx>
          <c:layout>
            <c:manualLayout>
              <c:xMode val="edge"/>
              <c:yMode val="edge"/>
              <c:x val="0.44034193204840977"/>
              <c:y val="0.910369107404881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354266256"/>
        <c:crosses val="autoZero"/>
        <c:crossBetween val="midCat"/>
        <c:majorUnit val="5000"/>
      </c:valAx>
      <c:valAx>
        <c:axId val="354266256"/>
        <c:scaling>
          <c:orientation val="minMax"/>
          <c:max val="22"/>
        </c:scaling>
        <c:delete val="0"/>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pl-PL"/>
                  <a:t>Pman bar</a:t>
                </a:r>
              </a:p>
            </c:rich>
          </c:tx>
          <c:layout>
            <c:manualLayout>
              <c:xMode val="edge"/>
              <c:yMode val="edge"/>
              <c:x val="2.2155507872440416E-2"/>
              <c:y val="0.413597040527414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354265696"/>
        <c:crosses val="autoZero"/>
        <c:crossBetween val="midCat"/>
        <c:majorUnit val="2"/>
      </c:valAx>
      <c:spPr>
        <a:solidFill>
          <a:srgbClr val="CCCCFF"/>
        </a:solidFill>
        <a:ln w="12700">
          <a:solidFill>
            <a:srgbClr val="CCCCFF"/>
          </a:solidFill>
          <a:prstDash val="solid"/>
        </a:ln>
      </c:spPr>
    </c:plotArea>
    <c:legend>
      <c:legendPos val="r"/>
      <c:layout>
        <c:manualLayout>
          <c:xMode val="edge"/>
          <c:yMode val="edge"/>
          <c:x val="0.84033613445378164"/>
          <c:y val="9.4488188976377951E-2"/>
          <c:w val="0.15006002400960383"/>
          <c:h val="0.68503937007874005"/>
        </c:manualLayout>
      </c:layout>
      <c:overlay val="0"/>
      <c:spPr>
        <a:solidFill>
          <a:srgbClr val="FFFFFF"/>
        </a:solidFill>
        <a:ln w="25400">
          <a:noFill/>
        </a:ln>
      </c:spPr>
      <c:txPr>
        <a:bodyPr/>
        <a:lstStyle/>
        <a:p>
          <a:pPr>
            <a:defRPr sz="85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215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355" footer="0.4921259845000035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pl-PL"/>
              <a:t>Transfero TI..3.2</a:t>
            </a:r>
          </a:p>
        </c:rich>
      </c:tx>
      <c:layout>
        <c:manualLayout>
          <c:xMode val="edge"/>
          <c:yMode val="edge"/>
          <c:x val="0.42658981930143836"/>
          <c:y val="2.5393015852141654E-2"/>
        </c:manualLayout>
      </c:layout>
      <c:overlay val="0"/>
      <c:spPr>
        <a:noFill/>
        <a:ln w="25400">
          <a:noFill/>
        </a:ln>
      </c:spPr>
    </c:title>
    <c:autoTitleDeleted val="0"/>
    <c:plotArea>
      <c:layout>
        <c:manualLayout>
          <c:layoutTarget val="inner"/>
          <c:xMode val="edge"/>
          <c:yMode val="edge"/>
          <c:x val="0.13100961538461517"/>
          <c:y val="0.15657620041753845"/>
          <c:w val="0.69230769230769262"/>
          <c:h val="0.6471816283924936"/>
        </c:manualLayout>
      </c:layout>
      <c:scatterChart>
        <c:scatterStyle val="smoothMarker"/>
        <c:varyColors val="0"/>
        <c:ser>
          <c:idx val="0"/>
          <c:order val="0"/>
          <c:tx>
            <c:strRef>
              <c:f>'[2]T Daten'!$A$244</c:f>
              <c:strCache>
                <c:ptCount val="1"/>
                <c:pt idx="0">
                  <c:v>TI 43.2</c:v>
                </c:pt>
              </c:strCache>
            </c:strRef>
          </c:tx>
          <c:spPr>
            <a:ln w="25400">
              <a:solidFill>
                <a:srgbClr val="FF0000"/>
              </a:solidFill>
              <a:prstDash val="solid"/>
            </a:ln>
          </c:spPr>
          <c:marker>
            <c:symbol val="none"/>
          </c:marker>
          <c:xVal>
            <c:numRef>
              <c:f>'[2]T Daten'!$C$244:$O$244</c:f>
              <c:numCache>
                <c:formatCode>General</c:formatCode>
                <c:ptCount val="13"/>
                <c:pt idx="0">
                  <c:v>0</c:v>
                </c:pt>
                <c:pt idx="1">
                  <c:v>18950</c:v>
                </c:pt>
                <c:pt idx="2">
                  <c:v>18950</c:v>
                </c:pt>
                <c:pt idx="3">
                  <c:v>20331.25</c:v>
                </c:pt>
                <c:pt idx="4">
                  <c:v>21712.5</c:v>
                </c:pt>
                <c:pt idx="5">
                  <c:v>23093.75</c:v>
                </c:pt>
                <c:pt idx="6">
                  <c:v>24475</c:v>
                </c:pt>
                <c:pt idx="7">
                  <c:v>25856.25</c:v>
                </c:pt>
                <c:pt idx="8">
                  <c:v>27237.5</c:v>
                </c:pt>
                <c:pt idx="9">
                  <c:v>28618.75</c:v>
                </c:pt>
                <c:pt idx="10">
                  <c:v>30000</c:v>
                </c:pt>
                <c:pt idx="11">
                  <c:v>30000</c:v>
                </c:pt>
                <c:pt idx="12">
                  <c:v>0</c:v>
                </c:pt>
              </c:numCache>
            </c:numRef>
          </c:xVal>
          <c:yVal>
            <c:numRef>
              <c:f>'[2]T Daten'!$C$245:$O$245</c:f>
              <c:numCache>
                <c:formatCode>General</c:formatCode>
                <c:ptCount val="13"/>
                <c:pt idx="0">
                  <c:v>3.6504798907151756</c:v>
                </c:pt>
                <c:pt idx="1">
                  <c:v>3.6504798907151756</c:v>
                </c:pt>
                <c:pt idx="2">
                  <c:v>3.6504798907151756</c:v>
                </c:pt>
                <c:pt idx="3">
                  <c:v>3.5704544258789093</c:v>
                </c:pt>
                <c:pt idx="4">
                  <c:v>3.4841312105200868</c:v>
                </c:pt>
                <c:pt idx="5">
                  <c:v>3.3914597396074311</c:v>
                </c:pt>
                <c:pt idx="6">
                  <c:v>3.2923920347280671</c:v>
                </c:pt>
                <c:pt idx="7">
                  <c:v>3.186882377009133</c:v>
                </c:pt>
                <c:pt idx="8">
                  <c:v>3.0748870815187113</c:v>
                </c:pt>
                <c:pt idx="9">
                  <c:v>2.9563643048597297</c:v>
                </c:pt>
                <c:pt idx="10">
                  <c:v>2.8312738796580126</c:v>
                </c:pt>
                <c:pt idx="11">
                  <c:v>2.65</c:v>
                </c:pt>
                <c:pt idx="12">
                  <c:v>2.65</c:v>
                </c:pt>
              </c:numCache>
            </c:numRef>
          </c:yVal>
          <c:smooth val="0"/>
          <c:extLst>
            <c:ext xmlns:c16="http://schemas.microsoft.com/office/drawing/2014/chart" uri="{C3380CC4-5D6E-409C-BE32-E72D297353CC}">
              <c16:uniqueId val="{00000000-FF66-40C2-814E-254705379E9D}"/>
            </c:ext>
          </c:extLst>
        </c:ser>
        <c:ser>
          <c:idx val="1"/>
          <c:order val="1"/>
          <c:tx>
            <c:strRef>
              <c:f>'[2]T Daten'!$A$249</c:f>
              <c:strCache>
                <c:ptCount val="1"/>
                <c:pt idx="0">
                  <c:v>TI 73.2</c:v>
                </c:pt>
              </c:strCache>
            </c:strRef>
          </c:tx>
          <c:spPr>
            <a:ln w="25400">
              <a:solidFill>
                <a:srgbClr val="0000FF"/>
              </a:solidFill>
              <a:prstDash val="solid"/>
            </a:ln>
          </c:spPr>
          <c:marker>
            <c:symbol val="none"/>
          </c:marker>
          <c:xVal>
            <c:numRef>
              <c:f>'[2]T Daten'!$C$249:$O$249</c:f>
              <c:numCache>
                <c:formatCode>General</c:formatCode>
                <c:ptCount val="13"/>
                <c:pt idx="0">
                  <c:v>0</c:v>
                </c:pt>
                <c:pt idx="1">
                  <c:v>15300</c:v>
                </c:pt>
                <c:pt idx="2">
                  <c:v>15300</c:v>
                </c:pt>
                <c:pt idx="3">
                  <c:v>17762.5</c:v>
                </c:pt>
                <c:pt idx="4">
                  <c:v>20225</c:v>
                </c:pt>
                <c:pt idx="5">
                  <c:v>22687.5</c:v>
                </c:pt>
                <c:pt idx="6">
                  <c:v>25150</c:v>
                </c:pt>
                <c:pt idx="7">
                  <c:v>27612.5</c:v>
                </c:pt>
                <c:pt idx="8">
                  <c:v>30075</c:v>
                </c:pt>
                <c:pt idx="9">
                  <c:v>32537.5</c:v>
                </c:pt>
                <c:pt idx="10">
                  <c:v>35000</c:v>
                </c:pt>
                <c:pt idx="11">
                  <c:v>35000</c:v>
                </c:pt>
                <c:pt idx="12">
                  <c:v>0</c:v>
                </c:pt>
              </c:numCache>
            </c:numRef>
          </c:xVal>
          <c:yVal>
            <c:numRef>
              <c:f>'[2]T Daten'!$C$250:$O$250</c:f>
              <c:numCache>
                <c:formatCode>General</c:formatCode>
                <c:ptCount val="13"/>
                <c:pt idx="0">
                  <c:v>6.4704185143644581</c:v>
                </c:pt>
                <c:pt idx="1">
                  <c:v>6.4704185143644581</c:v>
                </c:pt>
                <c:pt idx="2">
                  <c:v>6.4704185143644581</c:v>
                </c:pt>
                <c:pt idx="3">
                  <c:v>6.2922265175776175</c:v>
                </c:pt>
                <c:pt idx="4">
                  <c:v>6.0881945975852858</c:v>
                </c:pt>
                <c:pt idx="5">
                  <c:v>5.8585942108659941</c:v>
                </c:pt>
                <c:pt idx="6">
                  <c:v>5.6036620557912835</c:v>
                </c:pt>
                <c:pt idx="7">
                  <c:v>5.3236076645186996</c:v>
                </c:pt>
                <c:pt idx="8">
                  <c:v>5.0186187765547823</c:v>
                </c:pt>
                <c:pt idx="9">
                  <c:v>4.6888652782152809</c:v>
                </c:pt>
                <c:pt idx="10">
                  <c:v>4.3345021743836121</c:v>
                </c:pt>
                <c:pt idx="11">
                  <c:v>3.85</c:v>
                </c:pt>
                <c:pt idx="12">
                  <c:v>3.85</c:v>
                </c:pt>
              </c:numCache>
            </c:numRef>
          </c:yVal>
          <c:smooth val="0"/>
          <c:extLst>
            <c:ext xmlns:c16="http://schemas.microsoft.com/office/drawing/2014/chart" uri="{C3380CC4-5D6E-409C-BE32-E72D297353CC}">
              <c16:uniqueId val="{00000001-FF66-40C2-814E-254705379E9D}"/>
            </c:ext>
          </c:extLst>
        </c:ser>
        <c:ser>
          <c:idx val="2"/>
          <c:order val="2"/>
          <c:tx>
            <c:strRef>
              <c:f>'[2]T Daten'!$A$254</c:f>
              <c:strCache>
                <c:ptCount val="1"/>
                <c:pt idx="0">
                  <c:v>TI 103.2</c:v>
                </c:pt>
              </c:strCache>
            </c:strRef>
          </c:tx>
          <c:spPr>
            <a:ln w="25400">
              <a:solidFill>
                <a:srgbClr val="FFFF00"/>
              </a:solidFill>
              <a:prstDash val="solid"/>
            </a:ln>
          </c:spPr>
          <c:marker>
            <c:symbol val="none"/>
          </c:marker>
          <c:xVal>
            <c:numRef>
              <c:f>'[2]T Daten'!$C$254:$O$254</c:f>
              <c:numCache>
                <c:formatCode>General</c:formatCode>
                <c:ptCount val="13"/>
                <c:pt idx="0">
                  <c:v>0</c:v>
                </c:pt>
                <c:pt idx="1">
                  <c:v>13600</c:v>
                </c:pt>
                <c:pt idx="2">
                  <c:v>13600</c:v>
                </c:pt>
                <c:pt idx="3">
                  <c:v>16900</c:v>
                </c:pt>
                <c:pt idx="4">
                  <c:v>20200</c:v>
                </c:pt>
                <c:pt idx="5">
                  <c:v>23500</c:v>
                </c:pt>
                <c:pt idx="6">
                  <c:v>26800</c:v>
                </c:pt>
                <c:pt idx="7">
                  <c:v>30100</c:v>
                </c:pt>
                <c:pt idx="8">
                  <c:v>33400</c:v>
                </c:pt>
                <c:pt idx="9">
                  <c:v>36700</c:v>
                </c:pt>
                <c:pt idx="10">
                  <c:v>40000</c:v>
                </c:pt>
                <c:pt idx="11">
                  <c:v>40000</c:v>
                </c:pt>
                <c:pt idx="12">
                  <c:v>0</c:v>
                </c:pt>
              </c:numCache>
            </c:numRef>
          </c:xVal>
          <c:yVal>
            <c:numRef>
              <c:f>'[2]T Daten'!$C$255:$O$255</c:f>
              <c:numCache>
                <c:formatCode>General</c:formatCode>
                <c:ptCount val="13"/>
                <c:pt idx="0">
                  <c:v>9.2706986922951327</c:v>
                </c:pt>
                <c:pt idx="1">
                  <c:v>9.2706986922951327</c:v>
                </c:pt>
                <c:pt idx="2">
                  <c:v>9.2706986922951327</c:v>
                </c:pt>
                <c:pt idx="3">
                  <c:v>8.9890161212144655</c:v>
                </c:pt>
                <c:pt idx="4">
                  <c:v>8.6466946739292023</c:v>
                </c:pt>
                <c:pt idx="5">
                  <c:v>8.2443212252291467</c:v>
                </c:pt>
                <c:pt idx="6">
                  <c:v>7.7823870961943777</c:v>
                </c:pt>
                <c:pt idx="7">
                  <c:v>7.2613142896528675</c:v>
                </c:pt>
                <c:pt idx="8">
                  <c:v>6.6814722618033713</c:v>
                </c:pt>
                <c:pt idx="9">
                  <c:v>6.0431892909267475</c:v>
                </c:pt>
                <c:pt idx="10">
                  <c:v>5.3467605361223605</c:v>
                </c:pt>
                <c:pt idx="11">
                  <c:v>4.8</c:v>
                </c:pt>
                <c:pt idx="12">
                  <c:v>4.8</c:v>
                </c:pt>
              </c:numCache>
            </c:numRef>
          </c:yVal>
          <c:smooth val="0"/>
          <c:extLst>
            <c:ext xmlns:c16="http://schemas.microsoft.com/office/drawing/2014/chart" uri="{C3380CC4-5D6E-409C-BE32-E72D297353CC}">
              <c16:uniqueId val="{00000002-FF66-40C2-814E-254705379E9D}"/>
            </c:ext>
          </c:extLst>
        </c:ser>
        <c:ser>
          <c:idx val="3"/>
          <c:order val="3"/>
          <c:tx>
            <c:strRef>
              <c:f>'[2]T Daten'!$A$259</c:f>
              <c:strCache>
                <c:ptCount val="1"/>
                <c:pt idx="0">
                  <c:v>TI 133.2</c:v>
                </c:pt>
              </c:strCache>
            </c:strRef>
          </c:tx>
          <c:spPr>
            <a:ln w="25400">
              <a:solidFill>
                <a:srgbClr val="008000"/>
              </a:solidFill>
              <a:prstDash val="solid"/>
            </a:ln>
          </c:spPr>
          <c:marker>
            <c:symbol val="none"/>
          </c:marker>
          <c:xVal>
            <c:numRef>
              <c:f>'[2]T Daten'!$C$259:$O$259</c:f>
              <c:numCache>
                <c:formatCode>General</c:formatCode>
                <c:ptCount val="13"/>
                <c:pt idx="0">
                  <c:v>0</c:v>
                </c:pt>
                <c:pt idx="1">
                  <c:v>13290</c:v>
                </c:pt>
                <c:pt idx="2">
                  <c:v>13290</c:v>
                </c:pt>
                <c:pt idx="3">
                  <c:v>16628.75</c:v>
                </c:pt>
                <c:pt idx="4">
                  <c:v>19967.5</c:v>
                </c:pt>
                <c:pt idx="5">
                  <c:v>23306.25</c:v>
                </c:pt>
                <c:pt idx="6">
                  <c:v>26645</c:v>
                </c:pt>
                <c:pt idx="7">
                  <c:v>29983.75</c:v>
                </c:pt>
                <c:pt idx="8">
                  <c:v>33322.5</c:v>
                </c:pt>
                <c:pt idx="9">
                  <c:v>36661.25</c:v>
                </c:pt>
                <c:pt idx="10">
                  <c:v>40000</c:v>
                </c:pt>
                <c:pt idx="11">
                  <c:v>40000</c:v>
                </c:pt>
                <c:pt idx="12">
                  <c:v>0</c:v>
                </c:pt>
              </c:numCache>
            </c:numRef>
          </c:xVal>
          <c:yVal>
            <c:numRef>
              <c:f>'[2]T Daten'!$C$260:$O$260</c:f>
              <c:numCache>
                <c:formatCode>General</c:formatCode>
                <c:ptCount val="13"/>
                <c:pt idx="0">
                  <c:v>11.808106456758011</c:v>
                </c:pt>
                <c:pt idx="1">
                  <c:v>11.808106456758011</c:v>
                </c:pt>
                <c:pt idx="2">
                  <c:v>11.808106456758011</c:v>
                </c:pt>
                <c:pt idx="3">
                  <c:v>11.417097554239627</c:v>
                </c:pt>
                <c:pt idx="4">
                  <c:v>10.948723108482181</c:v>
                </c:pt>
                <c:pt idx="5">
                  <c:v>10.404115759390212</c:v>
                </c:pt>
                <c:pt idx="6">
                  <c:v>9.7842158297076658</c:v>
                </c:pt>
                <c:pt idx="7">
                  <c:v>9.0898252241825972</c:v>
                </c:pt>
                <c:pt idx="8">
                  <c:v>8.3216416286296138</c:v>
                </c:pt>
                <c:pt idx="9">
                  <c:v>7.4802815424630449</c:v>
                </c:pt>
                <c:pt idx="10">
                  <c:v>6.5662965126074626</c:v>
                </c:pt>
                <c:pt idx="11">
                  <c:v>4.3</c:v>
                </c:pt>
                <c:pt idx="12">
                  <c:v>4.3</c:v>
                </c:pt>
              </c:numCache>
            </c:numRef>
          </c:yVal>
          <c:smooth val="0"/>
          <c:extLst>
            <c:ext xmlns:c16="http://schemas.microsoft.com/office/drawing/2014/chart" uri="{C3380CC4-5D6E-409C-BE32-E72D297353CC}">
              <c16:uniqueId val="{00000003-FF66-40C2-814E-254705379E9D}"/>
            </c:ext>
          </c:extLst>
        </c:ser>
        <c:ser>
          <c:idx val="6"/>
          <c:order val="4"/>
          <c:tx>
            <c:v>Arbeitspunkt</c:v>
          </c:tx>
          <c:spPr>
            <a:ln w="12700">
              <a:solidFill>
                <a:srgbClr val="008080"/>
              </a:solidFill>
              <a:prstDash val="solid"/>
            </a:ln>
          </c:spPr>
          <c:marker>
            <c:symbol val="diamond"/>
            <c:size val="10"/>
            <c:spPr>
              <a:solidFill>
                <a:srgbClr val="000000"/>
              </a:solidFill>
              <a:ln>
                <a:solidFill>
                  <a:srgbClr val="008080"/>
                </a:solidFill>
                <a:prstDash val="solid"/>
              </a:ln>
            </c:spPr>
          </c:marker>
          <c:xVal>
            <c:numRef>
              <c:f>'T Auswahl'!$P$23</c:f>
              <c:numCache>
                <c:formatCode>General</c:formatCode>
                <c:ptCount val="1"/>
                <c:pt idx="0">
                  <c:v>1739.52</c:v>
                </c:pt>
              </c:numCache>
            </c:numRef>
          </c:xVal>
          <c:yVal>
            <c:numRef>
              <c:f>'T Auswahl'!$P$20</c:f>
              <c:numCache>
                <c:formatCode>0.0</c:formatCode>
                <c:ptCount val="1"/>
                <c:pt idx="0">
                  <c:v>3.4284000000000003</c:v>
                </c:pt>
              </c:numCache>
            </c:numRef>
          </c:yVal>
          <c:smooth val="1"/>
          <c:extLst>
            <c:ext xmlns:c16="http://schemas.microsoft.com/office/drawing/2014/chart" uri="{C3380CC4-5D6E-409C-BE32-E72D297353CC}">
              <c16:uniqueId val="{00000004-FF66-40C2-814E-254705379E9D}"/>
            </c:ext>
          </c:extLst>
        </c:ser>
        <c:dLbls>
          <c:showLegendKey val="0"/>
          <c:showVal val="0"/>
          <c:showCatName val="0"/>
          <c:showSerName val="0"/>
          <c:showPercent val="0"/>
          <c:showBubbleSize val="0"/>
        </c:dLbls>
        <c:axId val="354271296"/>
        <c:axId val="354271856"/>
      </c:scatterChart>
      <c:valAx>
        <c:axId val="354271296"/>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0" i="0" u="none" strike="noStrike" baseline="0">
                    <a:solidFill>
                      <a:srgbClr val="000000"/>
                    </a:solidFill>
                    <a:latin typeface="Arial"/>
                    <a:ea typeface="Arial"/>
                    <a:cs typeface="Arial"/>
                  </a:defRPr>
                </a:pPr>
                <a:r>
                  <a:rPr lang="pl-PL"/>
                  <a:t>VD l/h</a:t>
                </a:r>
              </a:p>
            </c:rich>
          </c:tx>
          <c:layout>
            <c:manualLayout>
              <c:xMode val="edge"/>
              <c:yMode val="edge"/>
              <c:x val="0.37317938623057134"/>
              <c:y val="0.881499405476194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354271856"/>
        <c:crosses val="autoZero"/>
        <c:crossBetween val="midCat"/>
      </c:valAx>
      <c:valAx>
        <c:axId val="354271856"/>
        <c:scaling>
          <c:orientation val="minMax"/>
          <c:max val="14"/>
        </c:scaling>
        <c:delete val="0"/>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pl-PL"/>
                  <a:t>Pman bar</a:t>
                </a:r>
              </a:p>
            </c:rich>
          </c:tx>
          <c:layout>
            <c:manualLayout>
              <c:xMode val="edge"/>
              <c:yMode val="edge"/>
              <c:x val="2.0432692307692311E-2"/>
              <c:y val="0.417536534446764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354271296"/>
        <c:crosses val="autoZero"/>
        <c:crossBetween val="midCat"/>
      </c:valAx>
      <c:spPr>
        <a:solidFill>
          <a:srgbClr val="CCCCFF"/>
        </a:solidFill>
        <a:ln w="12700">
          <a:solidFill>
            <a:srgbClr val="CCCCFF"/>
          </a:solidFill>
          <a:prstDash val="solid"/>
        </a:ln>
      </c:spPr>
    </c:plotArea>
    <c:legend>
      <c:legendPos val="r"/>
      <c:layout>
        <c:manualLayout>
          <c:xMode val="edge"/>
          <c:yMode val="edge"/>
          <c:x val="0.82692307692308975"/>
          <c:y val="0.20041753653444982"/>
          <c:w val="0.1550480769230769"/>
          <c:h val="0.57620041753654438"/>
        </c:manualLayout>
      </c:layout>
      <c:overlay val="0"/>
      <c:spPr>
        <a:solidFill>
          <a:srgbClr val="FFFFFF"/>
        </a:solidFill>
        <a:ln w="25400">
          <a:noFill/>
        </a:ln>
      </c:spPr>
      <c:txPr>
        <a:bodyPr/>
        <a:lstStyle/>
        <a:p>
          <a:pPr>
            <a:defRPr sz="85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2075"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355" footer="0.4921259845000035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0" i="0" u="none" strike="noStrike" baseline="0">
                <a:solidFill>
                  <a:srgbClr val="000000"/>
                </a:solidFill>
                <a:latin typeface="Arial"/>
                <a:ea typeface="Arial"/>
                <a:cs typeface="Arial"/>
              </a:defRPr>
            </a:pPr>
            <a:r>
              <a:rPr lang="pl-PL"/>
              <a:t>Transfero TPV 19.2 P</a:t>
            </a:r>
          </a:p>
        </c:rich>
      </c:tx>
      <c:layout>
        <c:manualLayout>
          <c:xMode val="edge"/>
          <c:yMode val="edge"/>
          <c:x val="0.41418952594825192"/>
          <c:y val="3.0863148685362322E-2"/>
        </c:manualLayout>
      </c:layout>
      <c:overlay val="0"/>
      <c:spPr>
        <a:noFill/>
        <a:ln w="25400">
          <a:noFill/>
        </a:ln>
      </c:spPr>
    </c:title>
    <c:autoTitleDeleted val="0"/>
    <c:plotArea>
      <c:layout>
        <c:manualLayout>
          <c:layoutTarget val="inner"/>
          <c:xMode val="edge"/>
          <c:yMode val="edge"/>
          <c:x val="0.10589663467470796"/>
          <c:y val="0.14912312637730943"/>
          <c:w val="0.64982025823117506"/>
          <c:h val="0.66666809439268671"/>
        </c:manualLayout>
      </c:layout>
      <c:scatterChart>
        <c:scatterStyle val="smoothMarker"/>
        <c:varyColors val="0"/>
        <c:ser>
          <c:idx val="0"/>
          <c:order val="0"/>
          <c:tx>
            <c:v>TPV 19.2 P</c:v>
          </c:tx>
          <c:spPr>
            <a:ln w="25400">
              <a:solidFill>
                <a:srgbClr val="FF0000"/>
              </a:solidFill>
              <a:prstDash val="solid"/>
            </a:ln>
          </c:spPr>
          <c:marker>
            <c:symbol val="none"/>
          </c:marker>
          <c:xVal>
            <c:numRef>
              <c:f>'[2]T Daten'!$C$153:$N$153</c:f>
              <c:numCache>
                <c:formatCode>General</c:formatCode>
                <c:ptCount val="12"/>
                <c:pt idx="0">
                  <c:v>0</c:v>
                </c:pt>
                <c:pt idx="1">
                  <c:v>3367</c:v>
                </c:pt>
                <c:pt idx="2">
                  <c:v>3367</c:v>
                </c:pt>
                <c:pt idx="3">
                  <c:v>3500</c:v>
                </c:pt>
                <c:pt idx="4">
                  <c:v>3750</c:v>
                </c:pt>
                <c:pt idx="5">
                  <c:v>4000</c:v>
                </c:pt>
                <c:pt idx="6">
                  <c:v>4250</c:v>
                </c:pt>
                <c:pt idx="7">
                  <c:v>4500</c:v>
                </c:pt>
                <c:pt idx="8">
                  <c:v>4750</c:v>
                </c:pt>
                <c:pt idx="9">
                  <c:v>5000</c:v>
                </c:pt>
                <c:pt idx="10">
                  <c:v>5000</c:v>
                </c:pt>
                <c:pt idx="11">
                  <c:v>0</c:v>
                </c:pt>
              </c:numCache>
            </c:numRef>
          </c:xVal>
          <c:yVal>
            <c:numRef>
              <c:f>'[2]T Daten'!$C$154:$N$154</c:f>
              <c:numCache>
                <c:formatCode>General</c:formatCode>
                <c:ptCount val="12"/>
                <c:pt idx="0">
                  <c:v>14.2</c:v>
                </c:pt>
                <c:pt idx="1">
                  <c:v>14.2</c:v>
                </c:pt>
                <c:pt idx="2">
                  <c:v>14.201285080344256</c:v>
                </c:pt>
                <c:pt idx="3">
                  <c:v>13.81224874192878</c:v>
                </c:pt>
                <c:pt idx="4">
                  <c:v>13.043607139499027</c:v>
                </c:pt>
                <c:pt idx="5">
                  <c:v>12.226121302463238</c:v>
                </c:pt>
                <c:pt idx="6">
                  <c:v>11.359726350393373</c:v>
                </c:pt>
                <c:pt idx="7">
                  <c:v>10.444361227750591</c:v>
                </c:pt>
                <c:pt idx="8">
                  <c:v>9.4799682718140375</c:v>
                </c:pt>
                <c:pt idx="9">
                  <c:v>8.4664928502543653</c:v>
                </c:pt>
                <c:pt idx="10">
                  <c:v>8.4664928502543653</c:v>
                </c:pt>
                <c:pt idx="11">
                  <c:v>8.4664928502543653</c:v>
                </c:pt>
              </c:numCache>
            </c:numRef>
          </c:yVal>
          <c:smooth val="0"/>
          <c:extLst>
            <c:ext xmlns:c16="http://schemas.microsoft.com/office/drawing/2014/chart" uri="{C3380CC4-5D6E-409C-BE32-E72D297353CC}">
              <c16:uniqueId val="{00000000-DD80-4ED6-A1E0-84524FEE1D21}"/>
            </c:ext>
          </c:extLst>
        </c:ser>
        <c:ser>
          <c:idx val="1"/>
          <c:order val="1"/>
          <c:tx>
            <c:v>TPV 19.2-60 P</c:v>
          </c:tx>
          <c:spPr>
            <a:ln w="25400">
              <a:solidFill>
                <a:srgbClr val="0000FF"/>
              </a:solidFill>
              <a:prstDash val="solid"/>
            </a:ln>
          </c:spPr>
          <c:marker>
            <c:symbol val="none"/>
          </c:marker>
          <c:xVal>
            <c:numRef>
              <c:f>'[2]T Daten'!$C$158:$N$158</c:f>
              <c:numCache>
                <c:formatCode>General</c:formatCode>
                <c:ptCount val="12"/>
                <c:pt idx="0">
                  <c:v>0</c:v>
                </c:pt>
                <c:pt idx="1">
                  <c:v>3773</c:v>
                </c:pt>
                <c:pt idx="2">
                  <c:v>3773</c:v>
                </c:pt>
                <c:pt idx="3">
                  <c:v>4000</c:v>
                </c:pt>
                <c:pt idx="4">
                  <c:v>4250</c:v>
                </c:pt>
                <c:pt idx="5">
                  <c:v>4500</c:v>
                </c:pt>
                <c:pt idx="6">
                  <c:v>4750</c:v>
                </c:pt>
                <c:pt idx="7">
                  <c:v>5000</c:v>
                </c:pt>
                <c:pt idx="8">
                  <c:v>5000</c:v>
                </c:pt>
                <c:pt idx="9">
                  <c:v>5000</c:v>
                </c:pt>
                <c:pt idx="10">
                  <c:v>5000</c:v>
                </c:pt>
                <c:pt idx="11">
                  <c:v>0</c:v>
                </c:pt>
              </c:numCache>
            </c:numRef>
          </c:xVal>
          <c:yVal>
            <c:numRef>
              <c:f>'[2]T Daten'!$C$159:$N$159</c:f>
              <c:numCache>
                <c:formatCode>General</c:formatCode>
                <c:ptCount val="12"/>
                <c:pt idx="0">
                  <c:v>14.2</c:v>
                </c:pt>
                <c:pt idx="1">
                  <c:v>14.2</c:v>
                </c:pt>
                <c:pt idx="2">
                  <c:v>14.200281932031054</c:v>
                </c:pt>
                <c:pt idx="3">
                  <c:v>13.537040967977074</c:v>
                </c:pt>
                <c:pt idx="4">
                  <c:v>12.75505235363878</c:v>
                </c:pt>
                <c:pt idx="5">
                  <c:v>11.918995495285197</c:v>
                </c:pt>
                <c:pt idx="6">
                  <c:v>11.028835557772318</c:v>
                </c:pt>
                <c:pt idx="7">
                  <c:v>10.084539555050522</c:v>
                </c:pt>
                <c:pt idx="8">
                  <c:v>10.084539555050522</c:v>
                </c:pt>
                <c:pt idx="9">
                  <c:v>10.084539555050522</c:v>
                </c:pt>
                <c:pt idx="10">
                  <c:v>10.084539555050522</c:v>
                </c:pt>
                <c:pt idx="11">
                  <c:v>10.08</c:v>
                </c:pt>
              </c:numCache>
            </c:numRef>
          </c:yVal>
          <c:smooth val="0"/>
          <c:extLst>
            <c:ext xmlns:c16="http://schemas.microsoft.com/office/drawing/2014/chart" uri="{C3380CC4-5D6E-409C-BE32-E72D297353CC}">
              <c16:uniqueId val="{00000001-DD80-4ED6-A1E0-84524FEE1D21}"/>
            </c:ext>
          </c:extLst>
        </c:ser>
        <c:ser>
          <c:idx val="4"/>
          <c:order val="2"/>
          <c:tx>
            <c:v>Arbeitspunkt</c:v>
          </c:tx>
          <c:spPr>
            <a:ln w="12700">
              <a:solidFill>
                <a:srgbClr val="800080"/>
              </a:solidFill>
              <a:prstDash val="solid"/>
            </a:ln>
          </c:spPr>
          <c:marker>
            <c:symbol val="diamond"/>
            <c:size val="10"/>
            <c:spPr>
              <a:solidFill>
                <a:srgbClr val="000000"/>
              </a:solidFill>
              <a:ln>
                <a:solidFill>
                  <a:srgbClr val="800080"/>
                </a:solidFill>
                <a:prstDash val="solid"/>
              </a:ln>
            </c:spPr>
          </c:marker>
          <c:xVal>
            <c:numRef>
              <c:f>'T Auswahl'!$P$23</c:f>
              <c:numCache>
                <c:formatCode>General</c:formatCode>
                <c:ptCount val="1"/>
                <c:pt idx="0">
                  <c:v>1739.52</c:v>
                </c:pt>
              </c:numCache>
            </c:numRef>
          </c:xVal>
          <c:yVal>
            <c:numRef>
              <c:f>'T Auswahl'!$P$20</c:f>
              <c:numCache>
                <c:formatCode>0.0</c:formatCode>
                <c:ptCount val="1"/>
                <c:pt idx="0">
                  <c:v>3.4284000000000003</c:v>
                </c:pt>
              </c:numCache>
            </c:numRef>
          </c:yVal>
          <c:smooth val="1"/>
          <c:extLst>
            <c:ext xmlns:c16="http://schemas.microsoft.com/office/drawing/2014/chart" uri="{C3380CC4-5D6E-409C-BE32-E72D297353CC}">
              <c16:uniqueId val="{00000002-DD80-4ED6-A1E0-84524FEE1D21}"/>
            </c:ext>
          </c:extLst>
        </c:ser>
        <c:dLbls>
          <c:showLegendKey val="0"/>
          <c:showVal val="0"/>
          <c:showCatName val="0"/>
          <c:showSerName val="0"/>
          <c:showPercent val="0"/>
          <c:showBubbleSize val="0"/>
        </c:dLbls>
        <c:axId val="354721648"/>
        <c:axId val="354722208"/>
      </c:scatterChart>
      <c:valAx>
        <c:axId val="354721648"/>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125" b="0" i="0" u="none" strike="noStrike" baseline="0">
                    <a:solidFill>
                      <a:srgbClr val="000000"/>
                    </a:solidFill>
                    <a:latin typeface="Arial"/>
                    <a:ea typeface="Arial"/>
                    <a:cs typeface="Arial"/>
                  </a:defRPr>
                </a:pPr>
                <a:r>
                  <a:rPr lang="pl-PL"/>
                  <a:t>VD l/h</a:t>
                </a:r>
              </a:p>
            </c:rich>
          </c:tx>
          <c:layout>
            <c:manualLayout>
              <c:xMode val="edge"/>
              <c:yMode val="edge"/>
              <c:x val="0.40576126540139129"/>
              <c:y val="0.892827047934797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pl-PL"/>
          </a:p>
        </c:txPr>
        <c:crossAx val="354722208"/>
        <c:crossesAt val="0"/>
        <c:crossBetween val="midCat"/>
      </c:valAx>
      <c:valAx>
        <c:axId val="354722208"/>
        <c:scaling>
          <c:orientation val="minMax"/>
          <c:max val="16"/>
          <c:min val="6"/>
        </c:scaling>
        <c:delete val="0"/>
        <c:axPos val="l"/>
        <c:majorGridlines>
          <c:spPr>
            <a:ln w="3175">
              <a:solidFill>
                <a:srgbClr val="000000"/>
              </a:solidFill>
              <a:prstDash val="solid"/>
            </a:ln>
          </c:spPr>
        </c:majorGridlines>
        <c:title>
          <c:tx>
            <c:rich>
              <a:bodyPr/>
              <a:lstStyle/>
              <a:p>
                <a:pPr>
                  <a:defRPr sz="1125" b="0" i="0" u="none" strike="noStrike" baseline="0">
                    <a:solidFill>
                      <a:srgbClr val="000000"/>
                    </a:solidFill>
                    <a:latin typeface="Arial"/>
                    <a:ea typeface="Arial"/>
                    <a:cs typeface="Arial"/>
                  </a:defRPr>
                </a:pPr>
                <a:r>
                  <a:rPr lang="pl-PL"/>
                  <a:t>Pman bar</a:t>
                </a:r>
              </a:p>
            </c:rich>
          </c:tx>
          <c:layout>
            <c:manualLayout>
              <c:xMode val="edge"/>
              <c:yMode val="edge"/>
              <c:x val="2.6488909102968632E-2"/>
              <c:y val="0.4078346456692953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pl-PL"/>
          </a:p>
        </c:txPr>
        <c:crossAx val="354721648"/>
        <c:crosses val="autoZero"/>
        <c:crossBetween val="midCat"/>
        <c:minorUnit val="1"/>
      </c:valAx>
      <c:spPr>
        <a:solidFill>
          <a:srgbClr val="CCCCFF"/>
        </a:solidFill>
        <a:ln w="12700">
          <a:solidFill>
            <a:srgbClr val="CCCCFF"/>
          </a:solidFill>
          <a:prstDash val="solid"/>
        </a:ln>
      </c:spPr>
    </c:plotArea>
    <c:legend>
      <c:legendPos val="r"/>
      <c:layout>
        <c:manualLayout>
          <c:xMode val="edge"/>
          <c:yMode val="edge"/>
          <c:x val="0.7797842778678028"/>
          <c:y val="0.33552700649261408"/>
          <c:w val="0.20096294822352978"/>
          <c:h val="0.28289542754524138"/>
        </c:manualLayout>
      </c:layout>
      <c:overlay val="0"/>
      <c:spPr>
        <a:solidFill>
          <a:srgbClr val="FFFFFF"/>
        </a:solidFill>
        <a:ln w="25400">
          <a:noFill/>
        </a:ln>
      </c:spPr>
      <c:txPr>
        <a:bodyPr/>
        <a:lstStyle/>
        <a:p>
          <a:pPr>
            <a:defRPr sz="85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125"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355" footer="0.4921259845000035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a:t>Transfero TV.1 Connect - pman/qN </a:t>
            </a:r>
          </a:p>
        </c:rich>
      </c:tx>
      <c:layout>
        <c:manualLayout>
          <c:xMode val="edge"/>
          <c:yMode val="edge"/>
          <c:x val="0.39387366136195051"/>
          <c:y val="2.7149314668999742E-2"/>
        </c:manualLayout>
      </c:layout>
      <c:overlay val="0"/>
      <c:spPr>
        <a:noFill/>
        <a:ln w="25400">
          <a:noFill/>
        </a:ln>
      </c:spPr>
    </c:title>
    <c:autoTitleDeleted val="0"/>
    <c:plotArea>
      <c:layout>
        <c:manualLayout>
          <c:layoutTarget val="inner"/>
          <c:xMode val="edge"/>
          <c:yMode val="edge"/>
          <c:x val="8.3125976993110348E-2"/>
          <c:y val="0.13040760310173441"/>
          <c:w val="0.70346472368837754"/>
          <c:h val="0.73798244086723253"/>
        </c:manualLayout>
      </c:layout>
      <c:scatterChart>
        <c:scatterStyle val="smoothMarker"/>
        <c:varyColors val="0"/>
        <c:ser>
          <c:idx val="4"/>
          <c:order val="0"/>
          <c:tx>
            <c:v>Arbeitspunkt</c:v>
          </c:tx>
          <c:spPr>
            <a:ln w="28575">
              <a:noFill/>
            </a:ln>
          </c:spPr>
          <c:marker>
            <c:symbol val="diamond"/>
            <c:size val="10"/>
            <c:spPr>
              <a:solidFill>
                <a:srgbClr val="000000"/>
              </a:solidFill>
              <a:ln w="9525">
                <a:noFill/>
              </a:ln>
            </c:spPr>
          </c:marker>
          <c:xVal>
            <c:numRef>
              <c:f>'Selection pman-p0-qN'!$P$25</c:f>
              <c:numCache>
                <c:formatCode>General</c:formatCode>
                <c:ptCount val="1"/>
                <c:pt idx="0">
                  <c:v>1739.52</c:v>
                </c:pt>
              </c:numCache>
            </c:numRef>
          </c:xVal>
          <c:yVal>
            <c:numRef>
              <c:f>'Selection pman-p0-qN'!$P$22</c:f>
              <c:numCache>
                <c:formatCode>0.0</c:formatCode>
                <c:ptCount val="1"/>
                <c:pt idx="0">
                  <c:v>3.4284000000000003</c:v>
                </c:pt>
              </c:numCache>
            </c:numRef>
          </c:yVal>
          <c:smooth val="0"/>
          <c:extLst>
            <c:ext xmlns:c16="http://schemas.microsoft.com/office/drawing/2014/chart" uri="{C3380CC4-5D6E-409C-BE32-E72D297353CC}">
              <c16:uniqueId val="{00000000-DFD2-428A-9100-599B37C012B2}"/>
            </c:ext>
          </c:extLst>
        </c:ser>
        <c:ser>
          <c:idx val="0"/>
          <c:order val="1"/>
          <c:tx>
            <c:strRef>
              <c:f>Data!$A$52</c:f>
              <c:strCache>
                <c:ptCount val="1"/>
                <c:pt idx="0">
                  <c:v>TV 4.1 E</c:v>
                </c:pt>
              </c:strCache>
            </c:strRef>
          </c:tx>
          <c:spPr>
            <a:ln w="25400">
              <a:solidFill>
                <a:srgbClr val="FF0000"/>
              </a:solidFill>
              <a:prstDash val="solid"/>
            </a:ln>
          </c:spPr>
          <c:marker>
            <c:symbol val="none"/>
          </c:marker>
          <c:xVal>
            <c:numRef>
              <c:f>Data!$C$53:$X$53</c:f>
              <c:numCache>
                <c:formatCode>General</c:formatCode>
                <c:ptCount val="22"/>
                <c:pt idx="0">
                  <c:v>0</c:v>
                </c:pt>
                <c:pt idx="1">
                  <c:v>588</c:v>
                </c:pt>
                <c:pt idx="2">
                  <c:v>588</c:v>
                </c:pt>
                <c:pt idx="3">
                  <c:v>663.82749999999999</c:v>
                </c:pt>
                <c:pt idx="4">
                  <c:v>739.65499999999997</c:v>
                </c:pt>
                <c:pt idx="5">
                  <c:v>815.48249999999996</c:v>
                </c:pt>
                <c:pt idx="6">
                  <c:v>891.31</c:v>
                </c:pt>
                <c:pt idx="7">
                  <c:v>967.13749999999993</c:v>
                </c:pt>
                <c:pt idx="8">
                  <c:v>1007.1854347636288</c:v>
                </c:pt>
                <c:pt idx="9">
                  <c:v>1007.1854347636288</c:v>
                </c:pt>
                <c:pt idx="10">
                  <c:v>1007.1854347636288</c:v>
                </c:pt>
                <c:pt idx="11">
                  <c:v>1007.1854347636288</c:v>
                </c:pt>
                <c:pt idx="12">
                  <c:v>1007.1854347636288</c:v>
                </c:pt>
                <c:pt idx="13">
                  <c:v>1007.1854347636288</c:v>
                </c:pt>
                <c:pt idx="14">
                  <c:v>966.52499999999998</c:v>
                </c:pt>
                <c:pt idx="15">
                  <c:v>890.81999999999994</c:v>
                </c:pt>
                <c:pt idx="16">
                  <c:v>815.11500000000001</c:v>
                </c:pt>
                <c:pt idx="17">
                  <c:v>739.41</c:v>
                </c:pt>
                <c:pt idx="18">
                  <c:v>663.70500000000004</c:v>
                </c:pt>
                <c:pt idx="19">
                  <c:v>588</c:v>
                </c:pt>
                <c:pt idx="20">
                  <c:v>588</c:v>
                </c:pt>
                <c:pt idx="21">
                  <c:v>0</c:v>
                </c:pt>
              </c:numCache>
            </c:numRef>
          </c:xVal>
          <c:yVal>
            <c:numRef>
              <c:f>Data!$C$59:$X$59</c:f>
              <c:numCache>
                <c:formatCode>0.00</c:formatCode>
                <c:ptCount val="22"/>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2.3022226331360942</c:v>
                </c:pt>
                <c:pt idx="15">
                  <c:v>1.9556946745562129</c:v>
                </c:pt>
                <c:pt idx="16">
                  <c:v>1.6374155325443784</c:v>
                </c:pt>
                <c:pt idx="17">
                  <c:v>1.3473852071005916</c:v>
                </c:pt>
                <c:pt idx="18">
                  <c:v>1.085603698224852</c:v>
                </c:pt>
                <c:pt idx="19">
                  <c:v>1</c:v>
                </c:pt>
                <c:pt idx="20">
                  <c:v>1</c:v>
                </c:pt>
                <c:pt idx="21">
                  <c:v>1</c:v>
                </c:pt>
              </c:numCache>
            </c:numRef>
          </c:yVal>
          <c:smooth val="0"/>
          <c:extLst>
            <c:ext xmlns:c16="http://schemas.microsoft.com/office/drawing/2014/chart" uri="{C3380CC4-5D6E-409C-BE32-E72D297353CC}">
              <c16:uniqueId val="{00000001-DFD2-428A-9100-599B37C012B2}"/>
            </c:ext>
          </c:extLst>
        </c:ser>
        <c:ser>
          <c:idx val="5"/>
          <c:order val="2"/>
          <c:tx>
            <c:strRef>
              <c:f>Data!$A$62</c:f>
              <c:strCache>
                <c:ptCount val="1"/>
                <c:pt idx="0">
                  <c:v>TV 4.1 EH</c:v>
                </c:pt>
              </c:strCache>
            </c:strRef>
          </c:tx>
          <c:spPr>
            <a:ln>
              <a:solidFill>
                <a:srgbClr val="FF0000"/>
              </a:solidFill>
              <a:prstDash val="dash"/>
            </a:ln>
          </c:spPr>
          <c:marker>
            <c:symbol val="none"/>
          </c:marker>
          <c:xVal>
            <c:numRef>
              <c:f>Data!$C$63:$X$63</c:f>
              <c:numCache>
                <c:formatCode>General</c:formatCode>
                <c:ptCount val="22"/>
                <c:pt idx="0">
                  <c:v>0</c:v>
                </c:pt>
                <c:pt idx="1">
                  <c:v>600</c:v>
                </c:pt>
                <c:pt idx="2">
                  <c:v>600</c:v>
                </c:pt>
                <c:pt idx="3">
                  <c:v>878.125</c:v>
                </c:pt>
                <c:pt idx="4">
                  <c:v>1156.25</c:v>
                </c:pt>
                <c:pt idx="5">
                  <c:v>1434.375</c:v>
                </c:pt>
                <c:pt idx="6">
                  <c:v>1712.5</c:v>
                </c:pt>
                <c:pt idx="7">
                  <c:v>1990.625</c:v>
                </c:pt>
                <c:pt idx="8">
                  <c:v>2268.75</c:v>
                </c:pt>
                <c:pt idx="9">
                  <c:v>2546.875</c:v>
                </c:pt>
                <c:pt idx="10">
                  <c:v>2825</c:v>
                </c:pt>
                <c:pt idx="11">
                  <c:v>2824</c:v>
                </c:pt>
                <c:pt idx="12">
                  <c:v>2824</c:v>
                </c:pt>
                <c:pt idx="13">
                  <c:v>2268</c:v>
                </c:pt>
                <c:pt idx="14">
                  <c:v>1990</c:v>
                </c:pt>
                <c:pt idx="15">
                  <c:v>1712</c:v>
                </c:pt>
                <c:pt idx="16">
                  <c:v>1434</c:v>
                </c:pt>
                <c:pt idx="17">
                  <c:v>1156</c:v>
                </c:pt>
                <c:pt idx="18">
                  <c:v>878</c:v>
                </c:pt>
                <c:pt idx="19">
                  <c:v>600</c:v>
                </c:pt>
                <c:pt idx="20">
                  <c:v>600</c:v>
                </c:pt>
                <c:pt idx="21">
                  <c:v>0</c:v>
                </c:pt>
              </c:numCache>
            </c:numRef>
          </c:xVal>
          <c:yVal>
            <c:numRef>
              <c:f>Data!$C$69:$X$69</c:f>
              <c:numCache>
                <c:formatCode>0.00</c:formatCode>
                <c:ptCount val="22"/>
                <c:pt idx="0">
                  <c:v>2.5</c:v>
                </c:pt>
                <c:pt idx="1">
                  <c:v>2.5</c:v>
                </c:pt>
                <c:pt idx="2">
                  <c:v>2.5</c:v>
                </c:pt>
                <c:pt idx="3">
                  <c:v>2.5</c:v>
                </c:pt>
                <c:pt idx="4">
                  <c:v>2.5</c:v>
                </c:pt>
                <c:pt idx="5">
                  <c:v>2.5</c:v>
                </c:pt>
                <c:pt idx="6">
                  <c:v>2.5</c:v>
                </c:pt>
                <c:pt idx="7">
                  <c:v>2.4987611193594463</c:v>
                </c:pt>
                <c:pt idx="8">
                  <c:v>2.0455343551626659</c:v>
                </c:pt>
                <c:pt idx="9">
                  <c:v>1.5458313059130406</c:v>
                </c:pt>
                <c:pt idx="10">
                  <c:v>0.99965197161057073</c:v>
                </c:pt>
                <c:pt idx="11">
                  <c:v>1</c:v>
                </c:pt>
                <c:pt idx="12">
                  <c:v>1</c:v>
                </c:pt>
                <c:pt idx="13">
                  <c:v>1</c:v>
                </c:pt>
                <c:pt idx="14">
                  <c:v>1</c:v>
                </c:pt>
                <c:pt idx="15">
                  <c:v>1</c:v>
                </c:pt>
                <c:pt idx="16">
                  <c:v>1</c:v>
                </c:pt>
                <c:pt idx="17">
                  <c:v>1</c:v>
                </c:pt>
                <c:pt idx="18">
                  <c:v>1</c:v>
                </c:pt>
                <c:pt idx="19">
                  <c:v>1</c:v>
                </c:pt>
                <c:pt idx="20">
                  <c:v>1</c:v>
                </c:pt>
                <c:pt idx="21">
                  <c:v>1</c:v>
                </c:pt>
              </c:numCache>
            </c:numRef>
          </c:yVal>
          <c:smooth val="0"/>
          <c:extLst>
            <c:ext xmlns:c16="http://schemas.microsoft.com/office/drawing/2014/chart" uri="{C3380CC4-5D6E-409C-BE32-E72D297353CC}">
              <c16:uniqueId val="{00000002-DFD2-428A-9100-599B37C012B2}"/>
            </c:ext>
          </c:extLst>
        </c:ser>
        <c:ser>
          <c:idx val="1"/>
          <c:order val="3"/>
          <c:tx>
            <c:strRef>
              <c:f>Data!$A$82</c:f>
              <c:strCache>
                <c:ptCount val="1"/>
                <c:pt idx="0">
                  <c:v>TV 6.1 E</c:v>
                </c:pt>
              </c:strCache>
            </c:strRef>
          </c:tx>
          <c:spPr>
            <a:ln>
              <a:solidFill>
                <a:schemeClr val="accent1"/>
              </a:solidFill>
            </a:ln>
          </c:spPr>
          <c:marker>
            <c:symbol val="none"/>
          </c:marker>
          <c:xVal>
            <c:numRef>
              <c:f>Data!$C$83:$X$83</c:f>
              <c:numCache>
                <c:formatCode>General</c:formatCode>
                <c:ptCount val="22"/>
                <c:pt idx="0">
                  <c:v>0</c:v>
                </c:pt>
                <c:pt idx="1">
                  <c:v>600</c:v>
                </c:pt>
                <c:pt idx="2">
                  <c:v>600</c:v>
                </c:pt>
                <c:pt idx="3">
                  <c:v>702.75</c:v>
                </c:pt>
                <c:pt idx="4">
                  <c:v>805.5</c:v>
                </c:pt>
                <c:pt idx="5">
                  <c:v>908.25</c:v>
                </c:pt>
                <c:pt idx="6">
                  <c:v>1011</c:v>
                </c:pt>
                <c:pt idx="7">
                  <c:v>1113.75</c:v>
                </c:pt>
                <c:pt idx="8">
                  <c:v>1027.7402395547233</c:v>
                </c:pt>
                <c:pt idx="9">
                  <c:v>1027.7402395547233</c:v>
                </c:pt>
                <c:pt idx="10">
                  <c:v>1027.7402395547233</c:v>
                </c:pt>
                <c:pt idx="11">
                  <c:v>1027.7402395547233</c:v>
                </c:pt>
                <c:pt idx="12">
                  <c:v>1027.7402395547233</c:v>
                </c:pt>
                <c:pt idx="13">
                  <c:v>1215.75</c:v>
                </c:pt>
                <c:pt idx="14">
                  <c:v>1113.125</c:v>
                </c:pt>
                <c:pt idx="15">
                  <c:v>1010.5</c:v>
                </c:pt>
                <c:pt idx="16">
                  <c:v>907.875</c:v>
                </c:pt>
                <c:pt idx="17">
                  <c:v>805.25</c:v>
                </c:pt>
                <c:pt idx="18">
                  <c:v>702.625</c:v>
                </c:pt>
                <c:pt idx="19">
                  <c:v>600</c:v>
                </c:pt>
                <c:pt idx="20">
                  <c:v>600</c:v>
                </c:pt>
                <c:pt idx="21">
                  <c:v>0</c:v>
                </c:pt>
              </c:numCache>
            </c:numRef>
          </c:xVal>
          <c:yVal>
            <c:numRef>
              <c:f>Data!$C$89:$X$89</c:f>
              <c:numCache>
                <c:formatCode>0.00</c:formatCode>
                <c:ptCount val="22"/>
                <c:pt idx="0">
                  <c:v>3.5</c:v>
                </c:pt>
                <c:pt idx="1">
                  <c:v>3.5</c:v>
                </c:pt>
                <c:pt idx="2">
                  <c:v>3.5</c:v>
                </c:pt>
                <c:pt idx="3">
                  <c:v>3.5</c:v>
                </c:pt>
                <c:pt idx="4">
                  <c:v>3.5</c:v>
                </c:pt>
                <c:pt idx="5">
                  <c:v>3.5</c:v>
                </c:pt>
                <c:pt idx="6">
                  <c:v>3.5</c:v>
                </c:pt>
                <c:pt idx="7">
                  <c:v>3.5</c:v>
                </c:pt>
                <c:pt idx="8">
                  <c:v>3.5</c:v>
                </c:pt>
                <c:pt idx="9">
                  <c:v>3.5</c:v>
                </c:pt>
                <c:pt idx="10">
                  <c:v>3.5</c:v>
                </c:pt>
                <c:pt idx="11">
                  <c:v>3.5</c:v>
                </c:pt>
                <c:pt idx="12">
                  <c:v>3.5</c:v>
                </c:pt>
                <c:pt idx="13">
                  <c:v>3.498338609467456</c:v>
                </c:pt>
                <c:pt idx="14">
                  <c:v>2.9326562499999991</c:v>
                </c:pt>
                <c:pt idx="15">
                  <c:v>2.4168289940828398</c:v>
                </c:pt>
                <c:pt idx="16">
                  <c:v>1.950856841715976</c:v>
                </c:pt>
                <c:pt idx="17">
                  <c:v>1.5347397928994082</c:v>
                </c:pt>
                <c:pt idx="18">
                  <c:v>1.5</c:v>
                </c:pt>
                <c:pt idx="19">
                  <c:v>1.5</c:v>
                </c:pt>
                <c:pt idx="20">
                  <c:v>1.5</c:v>
                </c:pt>
                <c:pt idx="21">
                  <c:v>1.5</c:v>
                </c:pt>
              </c:numCache>
            </c:numRef>
          </c:yVal>
          <c:smooth val="0"/>
          <c:extLst>
            <c:ext xmlns:c16="http://schemas.microsoft.com/office/drawing/2014/chart" uri="{C3380CC4-5D6E-409C-BE32-E72D297353CC}">
              <c16:uniqueId val="{00000003-DFD2-428A-9100-599B37C012B2}"/>
            </c:ext>
          </c:extLst>
        </c:ser>
        <c:ser>
          <c:idx val="2"/>
          <c:order val="4"/>
          <c:tx>
            <c:strRef>
              <c:f>Data!$A$92</c:f>
              <c:strCache>
                <c:ptCount val="1"/>
                <c:pt idx="0">
                  <c:v>TV 6.1 EH</c:v>
                </c:pt>
              </c:strCache>
            </c:strRef>
          </c:tx>
          <c:spPr>
            <a:ln w="28575">
              <a:solidFill>
                <a:schemeClr val="accent1"/>
              </a:solidFill>
              <a:prstDash val="dash"/>
            </a:ln>
          </c:spPr>
          <c:marker>
            <c:symbol val="none"/>
          </c:marker>
          <c:xVal>
            <c:numRef>
              <c:f>Data!$C$93:$X$93</c:f>
              <c:numCache>
                <c:formatCode>General</c:formatCode>
                <c:ptCount val="22"/>
                <c:pt idx="0">
                  <c:v>0</c:v>
                </c:pt>
                <c:pt idx="1">
                  <c:v>600</c:v>
                </c:pt>
                <c:pt idx="2">
                  <c:v>600</c:v>
                </c:pt>
                <c:pt idx="3">
                  <c:v>900.75</c:v>
                </c:pt>
                <c:pt idx="4">
                  <c:v>1201.5</c:v>
                </c:pt>
                <c:pt idx="5">
                  <c:v>1502.25</c:v>
                </c:pt>
                <c:pt idx="6">
                  <c:v>1803</c:v>
                </c:pt>
                <c:pt idx="7">
                  <c:v>2103.75</c:v>
                </c:pt>
                <c:pt idx="8">
                  <c:v>2404.5</c:v>
                </c:pt>
                <c:pt idx="9">
                  <c:v>2705.25</c:v>
                </c:pt>
                <c:pt idx="10">
                  <c:v>3006</c:v>
                </c:pt>
                <c:pt idx="11">
                  <c:v>3005</c:v>
                </c:pt>
                <c:pt idx="12">
                  <c:v>3005</c:v>
                </c:pt>
                <c:pt idx="13">
                  <c:v>2403.75</c:v>
                </c:pt>
                <c:pt idx="14">
                  <c:v>2103.125</c:v>
                </c:pt>
                <c:pt idx="15">
                  <c:v>1802.5</c:v>
                </c:pt>
                <c:pt idx="16">
                  <c:v>1501.875</c:v>
                </c:pt>
                <c:pt idx="17">
                  <c:v>1201.25</c:v>
                </c:pt>
                <c:pt idx="18">
                  <c:v>900.625</c:v>
                </c:pt>
                <c:pt idx="19">
                  <c:v>600</c:v>
                </c:pt>
                <c:pt idx="20">
                  <c:v>600</c:v>
                </c:pt>
                <c:pt idx="21">
                  <c:v>0</c:v>
                </c:pt>
              </c:numCache>
            </c:numRef>
          </c:xVal>
          <c:yVal>
            <c:numRef>
              <c:f>Data!$C$99:$X$99</c:f>
              <c:numCache>
                <c:formatCode>0.00</c:formatCode>
                <c:ptCount val="22"/>
                <c:pt idx="0">
                  <c:v>3.5</c:v>
                </c:pt>
                <c:pt idx="1">
                  <c:v>3.5</c:v>
                </c:pt>
                <c:pt idx="2">
                  <c:v>3.5</c:v>
                </c:pt>
                <c:pt idx="3">
                  <c:v>3.5</c:v>
                </c:pt>
                <c:pt idx="4">
                  <c:v>3.5</c:v>
                </c:pt>
                <c:pt idx="5">
                  <c:v>3.5</c:v>
                </c:pt>
                <c:pt idx="6">
                  <c:v>3.5</c:v>
                </c:pt>
                <c:pt idx="7">
                  <c:v>3.4317104337254896</c:v>
                </c:pt>
                <c:pt idx="8">
                  <c:v>2.8828256715767724</c:v>
                </c:pt>
                <c:pt idx="9">
                  <c:v>2.2722919177762773</c:v>
                </c:pt>
                <c:pt idx="10">
                  <c:v>1.6000576676628617</c:v>
                </c:pt>
                <c:pt idx="11">
                  <c:v>1.5</c:v>
                </c:pt>
                <c:pt idx="12">
                  <c:v>1.5</c:v>
                </c:pt>
                <c:pt idx="13">
                  <c:v>1.5</c:v>
                </c:pt>
                <c:pt idx="14">
                  <c:v>1.5</c:v>
                </c:pt>
                <c:pt idx="15">
                  <c:v>1.5</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4-DFD2-428A-9100-599B37C012B2}"/>
            </c:ext>
          </c:extLst>
        </c:ser>
        <c:ser>
          <c:idx val="3"/>
          <c:order val="5"/>
          <c:tx>
            <c:strRef>
              <c:f>Data!$A$112</c:f>
              <c:strCache>
                <c:ptCount val="1"/>
                <c:pt idx="0">
                  <c:v>TV 8.1 E</c:v>
                </c:pt>
              </c:strCache>
            </c:strRef>
          </c:tx>
          <c:spPr>
            <a:ln w="28575">
              <a:solidFill>
                <a:srgbClr val="92D050"/>
              </a:solidFill>
            </a:ln>
          </c:spPr>
          <c:marker>
            <c:symbol val="none"/>
          </c:marker>
          <c:xVal>
            <c:numRef>
              <c:f>Data!$C$113:$X$113</c:f>
              <c:numCache>
                <c:formatCode>General</c:formatCode>
                <c:ptCount val="22"/>
                <c:pt idx="0">
                  <c:v>0</c:v>
                </c:pt>
                <c:pt idx="1">
                  <c:v>606</c:v>
                </c:pt>
                <c:pt idx="2">
                  <c:v>606</c:v>
                </c:pt>
                <c:pt idx="3">
                  <c:v>704.34875</c:v>
                </c:pt>
                <c:pt idx="4">
                  <c:v>802.69749999999999</c:v>
                </c:pt>
                <c:pt idx="5">
                  <c:v>901.04624999999999</c:v>
                </c:pt>
                <c:pt idx="6">
                  <c:v>999.39499999999998</c:v>
                </c:pt>
                <c:pt idx="7">
                  <c:v>1097.7437500000001</c:v>
                </c:pt>
                <c:pt idx="8">
                  <c:v>1196.0925</c:v>
                </c:pt>
                <c:pt idx="9">
                  <c:v>1294.4412500000001</c:v>
                </c:pt>
                <c:pt idx="10">
                  <c:v>1038.0176419502704</c:v>
                </c:pt>
                <c:pt idx="11">
                  <c:v>1391.78</c:v>
                </c:pt>
                <c:pt idx="12">
                  <c:v>1391.78</c:v>
                </c:pt>
                <c:pt idx="13">
                  <c:v>1195.335</c:v>
                </c:pt>
                <c:pt idx="14">
                  <c:v>1097.1125</c:v>
                </c:pt>
                <c:pt idx="15">
                  <c:v>998.89</c:v>
                </c:pt>
                <c:pt idx="16">
                  <c:v>900.66750000000002</c:v>
                </c:pt>
                <c:pt idx="17">
                  <c:v>802.44500000000005</c:v>
                </c:pt>
                <c:pt idx="18">
                  <c:v>704.22249999999997</c:v>
                </c:pt>
                <c:pt idx="19">
                  <c:v>606</c:v>
                </c:pt>
                <c:pt idx="20">
                  <c:v>606</c:v>
                </c:pt>
                <c:pt idx="21">
                  <c:v>0</c:v>
                </c:pt>
              </c:numCache>
            </c:numRef>
          </c:xVal>
          <c:yVal>
            <c:numRef>
              <c:f>Data!$C$119:$X$119</c:f>
              <c:numCache>
                <c:formatCode>0.00</c:formatCode>
                <c:ptCount val="22"/>
                <c:pt idx="0">
                  <c:v>4.5</c:v>
                </c:pt>
                <c:pt idx="1">
                  <c:v>4.5</c:v>
                </c:pt>
                <c:pt idx="2">
                  <c:v>4.5</c:v>
                </c:pt>
                <c:pt idx="3">
                  <c:v>4.5</c:v>
                </c:pt>
                <c:pt idx="4">
                  <c:v>4.5</c:v>
                </c:pt>
                <c:pt idx="5">
                  <c:v>4.5</c:v>
                </c:pt>
                <c:pt idx="6">
                  <c:v>4.5</c:v>
                </c:pt>
                <c:pt idx="7">
                  <c:v>4.5</c:v>
                </c:pt>
                <c:pt idx="8">
                  <c:v>4.5</c:v>
                </c:pt>
                <c:pt idx="9">
                  <c:v>4.5</c:v>
                </c:pt>
                <c:pt idx="10">
                  <c:v>4.5</c:v>
                </c:pt>
                <c:pt idx="11">
                  <c:v>4.4943999999999988</c:v>
                </c:pt>
                <c:pt idx="12">
                  <c:v>4.4943999999999988</c:v>
                </c:pt>
                <c:pt idx="13">
                  <c:v>3.3152005917159757</c:v>
                </c:pt>
                <c:pt idx="14">
                  <c:v>2.7927551775147923</c:v>
                </c:pt>
                <c:pt idx="15">
                  <c:v>2.3150792899408281</c:v>
                </c:pt>
                <c:pt idx="16">
                  <c:v>2</c:v>
                </c:pt>
                <c:pt idx="17">
                  <c:v>2</c:v>
                </c:pt>
                <c:pt idx="18">
                  <c:v>2</c:v>
                </c:pt>
                <c:pt idx="19">
                  <c:v>2</c:v>
                </c:pt>
                <c:pt idx="20">
                  <c:v>2</c:v>
                </c:pt>
                <c:pt idx="21">
                  <c:v>2</c:v>
                </c:pt>
              </c:numCache>
            </c:numRef>
          </c:yVal>
          <c:smooth val="0"/>
          <c:extLst>
            <c:ext xmlns:c16="http://schemas.microsoft.com/office/drawing/2014/chart" uri="{C3380CC4-5D6E-409C-BE32-E72D297353CC}">
              <c16:uniqueId val="{00000005-DFD2-428A-9100-599B37C012B2}"/>
            </c:ext>
          </c:extLst>
        </c:ser>
        <c:ser>
          <c:idx val="6"/>
          <c:order val="6"/>
          <c:tx>
            <c:strRef>
              <c:f>Data!$A$122</c:f>
              <c:strCache>
                <c:ptCount val="1"/>
                <c:pt idx="0">
                  <c:v>TV 8.1 EH</c:v>
                </c:pt>
              </c:strCache>
            </c:strRef>
          </c:tx>
          <c:spPr>
            <a:ln>
              <a:solidFill>
                <a:srgbClr val="92D050"/>
              </a:solidFill>
              <a:prstDash val="dash"/>
            </a:ln>
          </c:spPr>
          <c:marker>
            <c:symbol val="none"/>
          </c:marker>
          <c:xVal>
            <c:numRef>
              <c:f>Data!$C$123:$X$123</c:f>
              <c:numCache>
                <c:formatCode>General</c:formatCode>
                <c:ptCount val="22"/>
                <c:pt idx="0">
                  <c:v>0</c:v>
                </c:pt>
                <c:pt idx="1">
                  <c:v>606</c:v>
                </c:pt>
                <c:pt idx="2">
                  <c:v>606</c:v>
                </c:pt>
                <c:pt idx="3">
                  <c:v>922.72337500000003</c:v>
                </c:pt>
                <c:pt idx="4">
                  <c:v>1239.4467500000001</c:v>
                </c:pt>
                <c:pt idx="5">
                  <c:v>1556.1701249999999</c:v>
                </c:pt>
                <c:pt idx="6">
                  <c:v>1872.8934999999999</c:v>
                </c:pt>
                <c:pt idx="7">
                  <c:v>2189.6168750000002</c:v>
                </c:pt>
                <c:pt idx="8">
                  <c:v>2506.3402499999997</c:v>
                </c:pt>
                <c:pt idx="9">
                  <c:v>2823.0636249999998</c:v>
                </c:pt>
                <c:pt idx="10">
                  <c:v>3139.7869999999998</c:v>
                </c:pt>
                <c:pt idx="11">
                  <c:v>3138.777</c:v>
                </c:pt>
                <c:pt idx="12">
                  <c:v>3138.777</c:v>
                </c:pt>
                <c:pt idx="13">
                  <c:v>2505.5827499999996</c:v>
                </c:pt>
                <c:pt idx="14">
                  <c:v>2188.9856249999998</c:v>
                </c:pt>
                <c:pt idx="15">
                  <c:v>1872.3885</c:v>
                </c:pt>
                <c:pt idx="16">
                  <c:v>1555.7913749999998</c:v>
                </c:pt>
                <c:pt idx="17">
                  <c:v>1239.19425</c:v>
                </c:pt>
                <c:pt idx="18">
                  <c:v>922.59712500000012</c:v>
                </c:pt>
                <c:pt idx="19">
                  <c:v>606</c:v>
                </c:pt>
                <c:pt idx="20">
                  <c:v>606</c:v>
                </c:pt>
                <c:pt idx="21">
                  <c:v>0</c:v>
                </c:pt>
              </c:numCache>
            </c:numRef>
          </c:xVal>
          <c:yVal>
            <c:numRef>
              <c:f>Data!$C$129:$X$129</c:f>
              <c:numCache>
                <c:formatCode>0.00</c:formatCode>
                <c:ptCount val="22"/>
                <c:pt idx="0">
                  <c:v>4.5</c:v>
                </c:pt>
                <c:pt idx="1">
                  <c:v>4.5</c:v>
                </c:pt>
                <c:pt idx="2">
                  <c:v>4.5</c:v>
                </c:pt>
                <c:pt idx="3">
                  <c:v>4.5</c:v>
                </c:pt>
                <c:pt idx="4">
                  <c:v>4.5</c:v>
                </c:pt>
                <c:pt idx="5">
                  <c:v>4.5</c:v>
                </c:pt>
                <c:pt idx="6">
                  <c:v>4.5</c:v>
                </c:pt>
                <c:pt idx="7">
                  <c:v>4.1645348972911496</c:v>
                </c:pt>
                <c:pt idx="8">
                  <c:v>3.5149497438738386</c:v>
                </c:pt>
                <c:pt idx="9">
                  <c:v>2.7934948073395689</c:v>
                </c:pt>
                <c:pt idx="10">
                  <c:v>2.0000336987044594</c:v>
                </c:pt>
                <c:pt idx="11">
                  <c:v>2</c:v>
                </c:pt>
                <c:pt idx="12">
                  <c:v>2</c:v>
                </c:pt>
                <c:pt idx="13">
                  <c:v>2</c:v>
                </c:pt>
                <c:pt idx="14">
                  <c:v>2</c:v>
                </c:pt>
                <c:pt idx="15">
                  <c:v>2</c:v>
                </c:pt>
                <c:pt idx="16">
                  <c:v>2</c:v>
                </c:pt>
                <c:pt idx="17">
                  <c:v>2</c:v>
                </c:pt>
                <c:pt idx="18">
                  <c:v>2</c:v>
                </c:pt>
                <c:pt idx="19">
                  <c:v>2</c:v>
                </c:pt>
                <c:pt idx="20">
                  <c:v>2</c:v>
                </c:pt>
                <c:pt idx="21">
                  <c:v>2</c:v>
                </c:pt>
              </c:numCache>
            </c:numRef>
          </c:yVal>
          <c:smooth val="0"/>
          <c:extLst>
            <c:ext xmlns:c16="http://schemas.microsoft.com/office/drawing/2014/chart" uri="{C3380CC4-5D6E-409C-BE32-E72D297353CC}">
              <c16:uniqueId val="{00000006-DFD2-428A-9100-599B37C012B2}"/>
            </c:ext>
          </c:extLst>
        </c:ser>
        <c:ser>
          <c:idx val="7"/>
          <c:order val="7"/>
          <c:tx>
            <c:strRef>
              <c:f>Data!$A$142</c:f>
              <c:strCache>
                <c:ptCount val="1"/>
                <c:pt idx="0">
                  <c:v>TV 10.1 E</c:v>
                </c:pt>
              </c:strCache>
            </c:strRef>
          </c:tx>
          <c:spPr>
            <a:ln>
              <a:solidFill>
                <a:schemeClr val="accent6"/>
              </a:solidFill>
            </a:ln>
          </c:spPr>
          <c:marker>
            <c:symbol val="none"/>
          </c:marker>
          <c:xVal>
            <c:numRef>
              <c:f>Data!$C$143:$X$143</c:f>
              <c:numCache>
                <c:formatCode>General</c:formatCode>
                <c:ptCount val="22"/>
                <c:pt idx="0">
                  <c:v>0</c:v>
                </c:pt>
                <c:pt idx="1">
                  <c:v>600</c:v>
                </c:pt>
                <c:pt idx="2">
                  <c:v>600</c:v>
                </c:pt>
                <c:pt idx="3">
                  <c:v>662.625</c:v>
                </c:pt>
                <c:pt idx="4">
                  <c:v>725.25</c:v>
                </c:pt>
                <c:pt idx="5">
                  <c:v>787.875</c:v>
                </c:pt>
                <c:pt idx="6">
                  <c:v>850.5</c:v>
                </c:pt>
                <c:pt idx="7">
                  <c:v>913.125</c:v>
                </c:pt>
                <c:pt idx="8">
                  <c:v>975.75</c:v>
                </c:pt>
                <c:pt idx="9">
                  <c:v>1038.375</c:v>
                </c:pt>
                <c:pt idx="10">
                  <c:v>1100</c:v>
                </c:pt>
                <c:pt idx="11">
                  <c:v>1100</c:v>
                </c:pt>
                <c:pt idx="12">
                  <c:v>1100</c:v>
                </c:pt>
                <c:pt idx="13">
                  <c:v>1094.5</c:v>
                </c:pt>
                <c:pt idx="14">
                  <c:v>912.5</c:v>
                </c:pt>
                <c:pt idx="15">
                  <c:v>850</c:v>
                </c:pt>
                <c:pt idx="16">
                  <c:v>787.5</c:v>
                </c:pt>
                <c:pt idx="17">
                  <c:v>725</c:v>
                </c:pt>
                <c:pt idx="18">
                  <c:v>662.5</c:v>
                </c:pt>
                <c:pt idx="19">
                  <c:v>600</c:v>
                </c:pt>
                <c:pt idx="20">
                  <c:v>600</c:v>
                </c:pt>
                <c:pt idx="21">
                  <c:v>0</c:v>
                </c:pt>
              </c:numCache>
            </c:numRef>
          </c:xVal>
          <c:yVal>
            <c:numRef>
              <c:f>Data!$C$149:$X$149</c:f>
              <c:numCache>
                <c:formatCode>0.00</c:formatCode>
                <c:ptCount val="22"/>
                <c:pt idx="0">
                  <c:v>6.5</c:v>
                </c:pt>
                <c:pt idx="1">
                  <c:v>6.5</c:v>
                </c:pt>
                <c:pt idx="2">
                  <c:v>6.5</c:v>
                </c:pt>
                <c:pt idx="3">
                  <c:v>6.5</c:v>
                </c:pt>
                <c:pt idx="4">
                  <c:v>6.5</c:v>
                </c:pt>
                <c:pt idx="5">
                  <c:v>6.5</c:v>
                </c:pt>
                <c:pt idx="6">
                  <c:v>6.5</c:v>
                </c:pt>
                <c:pt idx="7">
                  <c:v>6.5</c:v>
                </c:pt>
                <c:pt idx="8">
                  <c:v>6.5</c:v>
                </c:pt>
                <c:pt idx="9">
                  <c:v>6.5</c:v>
                </c:pt>
                <c:pt idx="10">
                  <c:v>6.5</c:v>
                </c:pt>
                <c:pt idx="11">
                  <c:v>6.5</c:v>
                </c:pt>
                <c:pt idx="12">
                  <c:v>6.5</c:v>
                </c:pt>
                <c:pt idx="13">
                  <c:v>3.5</c:v>
                </c:pt>
                <c:pt idx="14">
                  <c:v>3.5</c:v>
                </c:pt>
                <c:pt idx="15">
                  <c:v>3.5</c:v>
                </c:pt>
                <c:pt idx="16">
                  <c:v>3.5</c:v>
                </c:pt>
                <c:pt idx="17">
                  <c:v>3.5</c:v>
                </c:pt>
                <c:pt idx="18">
                  <c:v>3.5</c:v>
                </c:pt>
                <c:pt idx="19">
                  <c:v>3.5</c:v>
                </c:pt>
                <c:pt idx="20">
                  <c:v>3.5</c:v>
                </c:pt>
                <c:pt idx="21">
                  <c:v>3.5</c:v>
                </c:pt>
              </c:numCache>
            </c:numRef>
          </c:yVal>
          <c:smooth val="0"/>
          <c:extLst>
            <c:ext xmlns:c16="http://schemas.microsoft.com/office/drawing/2014/chart" uri="{C3380CC4-5D6E-409C-BE32-E72D297353CC}">
              <c16:uniqueId val="{00000007-DFD2-428A-9100-599B37C012B2}"/>
            </c:ext>
          </c:extLst>
        </c:ser>
        <c:ser>
          <c:idx val="8"/>
          <c:order val="8"/>
          <c:tx>
            <c:strRef>
              <c:f>Data!$A$152</c:f>
              <c:strCache>
                <c:ptCount val="1"/>
                <c:pt idx="0">
                  <c:v>TV 10.1 EH</c:v>
                </c:pt>
              </c:strCache>
            </c:strRef>
          </c:tx>
          <c:spPr>
            <a:ln>
              <a:solidFill>
                <a:schemeClr val="accent6"/>
              </a:solidFill>
              <a:prstDash val="dash"/>
            </a:ln>
          </c:spPr>
          <c:marker>
            <c:symbol val="none"/>
          </c:marker>
          <c:xVal>
            <c:numRef>
              <c:f>Data!$C$153:$X$153</c:f>
              <c:numCache>
                <c:formatCode>General</c:formatCode>
                <c:ptCount val="22"/>
                <c:pt idx="0">
                  <c:v>0</c:v>
                </c:pt>
                <c:pt idx="1">
                  <c:v>600</c:v>
                </c:pt>
                <c:pt idx="2">
                  <c:v>600</c:v>
                </c:pt>
                <c:pt idx="3">
                  <c:v>910.5</c:v>
                </c:pt>
                <c:pt idx="4">
                  <c:v>1221</c:v>
                </c:pt>
                <c:pt idx="5">
                  <c:v>1531.5</c:v>
                </c:pt>
                <c:pt idx="6">
                  <c:v>1842</c:v>
                </c:pt>
                <c:pt idx="7">
                  <c:v>2152.5</c:v>
                </c:pt>
                <c:pt idx="8">
                  <c:v>2463</c:v>
                </c:pt>
                <c:pt idx="9">
                  <c:v>2773.5</c:v>
                </c:pt>
                <c:pt idx="10">
                  <c:v>3084</c:v>
                </c:pt>
                <c:pt idx="11">
                  <c:v>3083</c:v>
                </c:pt>
                <c:pt idx="12">
                  <c:v>3083</c:v>
                </c:pt>
                <c:pt idx="13">
                  <c:v>2462.25</c:v>
                </c:pt>
                <c:pt idx="14">
                  <c:v>2151.875</c:v>
                </c:pt>
                <c:pt idx="15">
                  <c:v>1841.5</c:v>
                </c:pt>
                <c:pt idx="16">
                  <c:v>1531.125</c:v>
                </c:pt>
                <c:pt idx="17">
                  <c:v>1220.75</c:v>
                </c:pt>
                <c:pt idx="18">
                  <c:v>910.375</c:v>
                </c:pt>
                <c:pt idx="19">
                  <c:v>600</c:v>
                </c:pt>
                <c:pt idx="20">
                  <c:v>600</c:v>
                </c:pt>
                <c:pt idx="21">
                  <c:v>0</c:v>
                </c:pt>
              </c:numCache>
            </c:numRef>
          </c:xVal>
          <c:yVal>
            <c:numRef>
              <c:f>Data!$C$159:$X$159</c:f>
              <c:numCache>
                <c:formatCode>0.00</c:formatCode>
                <c:ptCount val="22"/>
                <c:pt idx="0">
                  <c:v>6.5</c:v>
                </c:pt>
                <c:pt idx="1">
                  <c:v>6.5</c:v>
                </c:pt>
                <c:pt idx="2">
                  <c:v>6.5</c:v>
                </c:pt>
                <c:pt idx="3">
                  <c:v>6.5</c:v>
                </c:pt>
                <c:pt idx="4">
                  <c:v>6.5</c:v>
                </c:pt>
                <c:pt idx="5">
                  <c:v>6.5</c:v>
                </c:pt>
                <c:pt idx="6">
                  <c:v>6.5</c:v>
                </c:pt>
                <c:pt idx="7">
                  <c:v>6.0079487499999997</c:v>
                </c:pt>
                <c:pt idx="8">
                  <c:v>5.2561118632956561</c:v>
                </c:pt>
                <c:pt idx="9">
                  <c:v>4.4198285446460437</c:v>
                </c:pt>
                <c:pt idx="10">
                  <c:v>3.4990987940511591</c:v>
                </c:pt>
                <c:pt idx="11">
                  <c:v>3.5</c:v>
                </c:pt>
                <c:pt idx="12">
                  <c:v>3.5</c:v>
                </c:pt>
                <c:pt idx="13">
                  <c:v>3.5</c:v>
                </c:pt>
                <c:pt idx="14">
                  <c:v>3.5</c:v>
                </c:pt>
                <c:pt idx="15">
                  <c:v>3.5</c:v>
                </c:pt>
                <c:pt idx="16">
                  <c:v>3.5</c:v>
                </c:pt>
                <c:pt idx="17">
                  <c:v>3.5</c:v>
                </c:pt>
                <c:pt idx="18">
                  <c:v>3.5</c:v>
                </c:pt>
                <c:pt idx="19">
                  <c:v>3.5</c:v>
                </c:pt>
                <c:pt idx="20">
                  <c:v>3.5</c:v>
                </c:pt>
                <c:pt idx="21">
                  <c:v>3.5</c:v>
                </c:pt>
              </c:numCache>
            </c:numRef>
          </c:yVal>
          <c:smooth val="1"/>
          <c:extLst>
            <c:ext xmlns:c16="http://schemas.microsoft.com/office/drawing/2014/chart" uri="{C3380CC4-5D6E-409C-BE32-E72D297353CC}">
              <c16:uniqueId val="{00000008-DFD2-428A-9100-599B37C012B2}"/>
            </c:ext>
          </c:extLst>
        </c:ser>
        <c:ser>
          <c:idx val="9"/>
          <c:order val="9"/>
          <c:tx>
            <c:strRef>
              <c:f>Data!$A$172</c:f>
              <c:strCache>
                <c:ptCount val="1"/>
                <c:pt idx="0">
                  <c:v>TV 14.1 E</c:v>
                </c:pt>
              </c:strCache>
            </c:strRef>
          </c:tx>
          <c:spPr>
            <a:ln>
              <a:solidFill>
                <a:srgbClr val="FFFF00"/>
              </a:solidFill>
            </a:ln>
          </c:spPr>
          <c:marker>
            <c:symbol val="none"/>
          </c:marker>
          <c:xVal>
            <c:numRef>
              <c:f>Data!$C$173:$X$173</c:f>
              <c:numCache>
                <c:formatCode>General</c:formatCode>
                <c:ptCount val="22"/>
                <c:pt idx="0">
                  <c:v>0</c:v>
                </c:pt>
                <c:pt idx="1">
                  <c:v>600</c:v>
                </c:pt>
                <c:pt idx="2">
                  <c:v>600</c:v>
                </c:pt>
                <c:pt idx="3">
                  <c:v>662.625</c:v>
                </c:pt>
                <c:pt idx="4">
                  <c:v>725.25</c:v>
                </c:pt>
                <c:pt idx="5">
                  <c:v>787.875</c:v>
                </c:pt>
                <c:pt idx="6">
                  <c:v>850.5</c:v>
                </c:pt>
                <c:pt idx="7">
                  <c:v>913.125</c:v>
                </c:pt>
                <c:pt idx="8">
                  <c:v>975.75</c:v>
                </c:pt>
                <c:pt idx="9">
                  <c:v>1038.375</c:v>
                </c:pt>
                <c:pt idx="10">
                  <c:v>1100</c:v>
                </c:pt>
                <c:pt idx="11">
                  <c:v>1100</c:v>
                </c:pt>
                <c:pt idx="12">
                  <c:v>1100</c:v>
                </c:pt>
                <c:pt idx="13">
                  <c:v>1094.5</c:v>
                </c:pt>
                <c:pt idx="14">
                  <c:v>912.5</c:v>
                </c:pt>
                <c:pt idx="15">
                  <c:v>850</c:v>
                </c:pt>
                <c:pt idx="16">
                  <c:v>787.5</c:v>
                </c:pt>
                <c:pt idx="17">
                  <c:v>725</c:v>
                </c:pt>
                <c:pt idx="18">
                  <c:v>662.5</c:v>
                </c:pt>
                <c:pt idx="19">
                  <c:v>600</c:v>
                </c:pt>
                <c:pt idx="20">
                  <c:v>600</c:v>
                </c:pt>
                <c:pt idx="21">
                  <c:v>0</c:v>
                </c:pt>
              </c:numCache>
            </c:numRef>
          </c:xVal>
          <c:yVal>
            <c:numRef>
              <c:f>Data!$C$179:$X$179</c:f>
              <c:numCache>
                <c:formatCode>0.00</c:formatCode>
                <c:ptCount val="22"/>
                <c:pt idx="0">
                  <c:v>10</c:v>
                </c:pt>
                <c:pt idx="1">
                  <c:v>10</c:v>
                </c:pt>
                <c:pt idx="2">
                  <c:v>10</c:v>
                </c:pt>
                <c:pt idx="3">
                  <c:v>10</c:v>
                </c:pt>
                <c:pt idx="4">
                  <c:v>10</c:v>
                </c:pt>
                <c:pt idx="5">
                  <c:v>10</c:v>
                </c:pt>
                <c:pt idx="6">
                  <c:v>10</c:v>
                </c:pt>
                <c:pt idx="7">
                  <c:v>10</c:v>
                </c:pt>
                <c:pt idx="8">
                  <c:v>10</c:v>
                </c:pt>
                <c:pt idx="9">
                  <c:v>10</c:v>
                </c:pt>
                <c:pt idx="10">
                  <c:v>10</c:v>
                </c:pt>
                <c:pt idx="11">
                  <c:v>10</c:v>
                </c:pt>
                <c:pt idx="12">
                  <c:v>10</c:v>
                </c:pt>
                <c:pt idx="13">
                  <c:v>5.5</c:v>
                </c:pt>
                <c:pt idx="14">
                  <c:v>5.5</c:v>
                </c:pt>
                <c:pt idx="15">
                  <c:v>5.5</c:v>
                </c:pt>
                <c:pt idx="16">
                  <c:v>5.5</c:v>
                </c:pt>
                <c:pt idx="17">
                  <c:v>5.5</c:v>
                </c:pt>
                <c:pt idx="18">
                  <c:v>5.5</c:v>
                </c:pt>
                <c:pt idx="19">
                  <c:v>5.5</c:v>
                </c:pt>
                <c:pt idx="20">
                  <c:v>5.5</c:v>
                </c:pt>
                <c:pt idx="21">
                  <c:v>5.5</c:v>
                </c:pt>
              </c:numCache>
            </c:numRef>
          </c:yVal>
          <c:smooth val="0"/>
          <c:extLst>
            <c:ext xmlns:c16="http://schemas.microsoft.com/office/drawing/2014/chart" uri="{C3380CC4-5D6E-409C-BE32-E72D297353CC}">
              <c16:uniqueId val="{00000009-DFD2-428A-9100-599B37C012B2}"/>
            </c:ext>
          </c:extLst>
        </c:ser>
        <c:ser>
          <c:idx val="10"/>
          <c:order val="10"/>
          <c:tx>
            <c:strRef>
              <c:f>Data!$A$182</c:f>
              <c:strCache>
                <c:ptCount val="1"/>
                <c:pt idx="0">
                  <c:v>TV 14.1 EH</c:v>
                </c:pt>
              </c:strCache>
            </c:strRef>
          </c:tx>
          <c:spPr>
            <a:ln>
              <a:solidFill>
                <a:srgbClr val="FFFF00"/>
              </a:solidFill>
              <a:prstDash val="dash"/>
            </a:ln>
          </c:spPr>
          <c:marker>
            <c:symbol val="none"/>
          </c:marker>
          <c:xVal>
            <c:numRef>
              <c:f>Data!$C$183:$X$183</c:f>
              <c:numCache>
                <c:formatCode>General</c:formatCode>
                <c:ptCount val="22"/>
                <c:pt idx="0">
                  <c:v>0</c:v>
                </c:pt>
                <c:pt idx="1">
                  <c:v>600</c:v>
                </c:pt>
                <c:pt idx="2">
                  <c:v>600</c:v>
                </c:pt>
                <c:pt idx="3">
                  <c:v>817.25</c:v>
                </c:pt>
                <c:pt idx="4">
                  <c:v>1034.5</c:v>
                </c:pt>
                <c:pt idx="5">
                  <c:v>1251.75</c:v>
                </c:pt>
                <c:pt idx="6">
                  <c:v>1469</c:v>
                </c:pt>
                <c:pt idx="7">
                  <c:v>1686.25</c:v>
                </c:pt>
                <c:pt idx="8">
                  <c:v>1903.5</c:v>
                </c:pt>
                <c:pt idx="9">
                  <c:v>2120.75</c:v>
                </c:pt>
                <c:pt idx="10">
                  <c:v>2338</c:v>
                </c:pt>
                <c:pt idx="11">
                  <c:v>2337</c:v>
                </c:pt>
                <c:pt idx="12">
                  <c:v>2337</c:v>
                </c:pt>
                <c:pt idx="13">
                  <c:v>1902.75</c:v>
                </c:pt>
                <c:pt idx="14">
                  <c:v>1685.625</c:v>
                </c:pt>
                <c:pt idx="15">
                  <c:v>1468.5</c:v>
                </c:pt>
                <c:pt idx="16">
                  <c:v>1251.375</c:v>
                </c:pt>
                <c:pt idx="17">
                  <c:v>1034.25</c:v>
                </c:pt>
                <c:pt idx="18">
                  <c:v>817.125</c:v>
                </c:pt>
                <c:pt idx="19">
                  <c:v>600</c:v>
                </c:pt>
                <c:pt idx="20">
                  <c:v>600</c:v>
                </c:pt>
                <c:pt idx="21">
                  <c:v>0</c:v>
                </c:pt>
              </c:numCache>
            </c:numRef>
          </c:xVal>
          <c:yVal>
            <c:numRef>
              <c:f>Data!$C$189:$X$189</c:f>
              <c:numCache>
                <c:formatCode>0.00</c:formatCode>
                <c:ptCount val="22"/>
                <c:pt idx="0">
                  <c:v>10</c:v>
                </c:pt>
                <c:pt idx="1">
                  <c:v>10</c:v>
                </c:pt>
                <c:pt idx="2">
                  <c:v>10</c:v>
                </c:pt>
                <c:pt idx="3">
                  <c:v>10</c:v>
                </c:pt>
                <c:pt idx="4">
                  <c:v>10</c:v>
                </c:pt>
                <c:pt idx="5">
                  <c:v>10</c:v>
                </c:pt>
                <c:pt idx="6">
                  <c:v>10</c:v>
                </c:pt>
                <c:pt idx="7">
                  <c:v>9.7533943967928813</c:v>
                </c:pt>
                <c:pt idx="8">
                  <c:v>8.5283181873610587</c:v>
                </c:pt>
                <c:pt idx="9">
                  <c:v>7.1102571390133997</c:v>
                </c:pt>
                <c:pt idx="10">
                  <c:v>5.4992112517499034</c:v>
                </c:pt>
                <c:pt idx="11">
                  <c:v>5.5</c:v>
                </c:pt>
                <c:pt idx="12">
                  <c:v>5.5</c:v>
                </c:pt>
                <c:pt idx="13">
                  <c:v>5.5</c:v>
                </c:pt>
                <c:pt idx="14">
                  <c:v>5.5</c:v>
                </c:pt>
                <c:pt idx="15">
                  <c:v>5.5</c:v>
                </c:pt>
                <c:pt idx="16">
                  <c:v>5.5</c:v>
                </c:pt>
                <c:pt idx="17">
                  <c:v>5.5</c:v>
                </c:pt>
                <c:pt idx="18">
                  <c:v>5.5</c:v>
                </c:pt>
                <c:pt idx="19">
                  <c:v>5.5</c:v>
                </c:pt>
                <c:pt idx="20">
                  <c:v>5.5</c:v>
                </c:pt>
                <c:pt idx="21">
                  <c:v>5.5</c:v>
                </c:pt>
              </c:numCache>
            </c:numRef>
          </c:yVal>
          <c:smooth val="0"/>
          <c:extLst>
            <c:ext xmlns:c16="http://schemas.microsoft.com/office/drawing/2014/chart" uri="{C3380CC4-5D6E-409C-BE32-E72D297353CC}">
              <c16:uniqueId val="{0000000A-DFD2-428A-9100-599B37C012B2}"/>
            </c:ext>
          </c:extLst>
        </c:ser>
        <c:dLbls>
          <c:showLegendKey val="0"/>
          <c:showVal val="0"/>
          <c:showCatName val="0"/>
          <c:showSerName val="0"/>
          <c:showPercent val="0"/>
          <c:showBubbleSize val="0"/>
        </c:dLbls>
        <c:axId val="353943408"/>
        <c:axId val="353943968"/>
      </c:scatterChart>
      <c:valAx>
        <c:axId val="353943408"/>
        <c:scaling>
          <c:orientation val="minMax"/>
          <c:min val="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400" b="0" i="0" u="none" strike="noStrike" baseline="0">
                    <a:solidFill>
                      <a:srgbClr val="000000"/>
                    </a:solidFill>
                    <a:latin typeface="Arial"/>
                    <a:ea typeface="Arial"/>
                    <a:cs typeface="Arial"/>
                  </a:defRPr>
                </a:pPr>
                <a:r>
                  <a:rPr lang="pl-PL"/>
                  <a:t>qN l/h</a:t>
                </a:r>
              </a:p>
            </c:rich>
          </c:tx>
          <c:layout>
            <c:manualLayout>
              <c:xMode val="edge"/>
              <c:yMode val="edge"/>
              <c:x val="0.41914011539696788"/>
              <c:y val="0.930824876057160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3943968"/>
        <c:crosses val="autoZero"/>
        <c:crossBetween val="midCat"/>
        <c:majorUnit val="500"/>
        <c:minorUnit val="100"/>
      </c:valAx>
      <c:valAx>
        <c:axId val="353943968"/>
        <c:scaling>
          <c:orientation val="minMax"/>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pl-PL"/>
                  <a:t>Pman bar</a:t>
                </a:r>
              </a:p>
            </c:rich>
          </c:tx>
          <c:layout>
            <c:manualLayout>
              <c:xMode val="edge"/>
              <c:yMode val="edge"/>
              <c:x val="2.7107988083768027E-2"/>
              <c:y val="0.43340347039953353"/>
            </c:manualLayout>
          </c:layout>
          <c:overlay val="0"/>
          <c:spPr>
            <a:noFill/>
            <a:ln w="25400">
              <a:noFill/>
            </a:ln>
          </c:spPr>
        </c:title>
        <c:numFmt formatCode="0.0" sourceLinked="1"/>
        <c:majorTickMark val="out"/>
        <c:minorTickMark val="out"/>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3943408"/>
        <c:crosses val="autoZero"/>
        <c:crossBetween val="midCat"/>
        <c:majorUnit val="1"/>
        <c:minorUnit val="0.5"/>
      </c:valAx>
      <c:spPr>
        <a:solidFill>
          <a:srgbClr val="CCCCFF"/>
        </a:solidFill>
        <a:ln w="12700">
          <a:solidFill>
            <a:srgbClr val="CCCCFF"/>
          </a:solidFill>
          <a:prstDash val="solid"/>
        </a:ln>
      </c:spPr>
    </c:plotArea>
    <c:legend>
      <c:legendPos val="r"/>
      <c:layout>
        <c:manualLayout>
          <c:xMode val="edge"/>
          <c:yMode val="edge"/>
          <c:x val="0.83367841678018184"/>
          <c:y val="0.38714260717410343"/>
          <c:w val="7.661367487291941E-2"/>
          <c:h val="0.40841163604549435"/>
        </c:manualLayout>
      </c:layout>
      <c:overlay val="0"/>
      <c:spPr>
        <a:solidFill>
          <a:srgbClr val="FFFFFF"/>
        </a:solidFill>
        <a:ln w="25400">
          <a:noFill/>
        </a:ln>
      </c:spPr>
      <c:txPr>
        <a:bodyPr/>
        <a:lstStyle/>
        <a:p>
          <a:pPr>
            <a:defRPr sz="108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67" l="0.78740157499999996" r="0.78740157499999996" t="0.98425196899999967" header="0.49212598450000017" footer="0.49212598450000017"/>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a:t>Transfero TV.2 Connect - pman/qN </a:t>
            </a:r>
          </a:p>
        </c:rich>
      </c:tx>
      <c:layout>
        <c:manualLayout>
          <c:xMode val="edge"/>
          <c:yMode val="edge"/>
          <c:x val="0.39387366136195051"/>
          <c:y val="2.7149314668999742E-2"/>
        </c:manualLayout>
      </c:layout>
      <c:overlay val="0"/>
      <c:spPr>
        <a:noFill/>
        <a:ln w="25400">
          <a:noFill/>
        </a:ln>
      </c:spPr>
    </c:title>
    <c:autoTitleDeleted val="0"/>
    <c:plotArea>
      <c:layout>
        <c:manualLayout>
          <c:layoutTarget val="inner"/>
          <c:xMode val="edge"/>
          <c:yMode val="edge"/>
          <c:x val="8.3125976993110376E-2"/>
          <c:y val="0.13040760310173441"/>
          <c:w val="0.70346472368837765"/>
          <c:h val="0.73798244086723241"/>
        </c:manualLayout>
      </c:layout>
      <c:scatterChart>
        <c:scatterStyle val="smoothMarker"/>
        <c:varyColors val="0"/>
        <c:ser>
          <c:idx val="4"/>
          <c:order val="0"/>
          <c:tx>
            <c:v>Arbeitspunkt</c:v>
          </c:tx>
          <c:spPr>
            <a:ln w="28575">
              <a:noFill/>
            </a:ln>
          </c:spPr>
          <c:marker>
            <c:symbol val="diamond"/>
            <c:size val="10"/>
            <c:spPr>
              <a:solidFill>
                <a:srgbClr val="000000"/>
              </a:solidFill>
              <a:ln w="9525">
                <a:noFill/>
              </a:ln>
            </c:spPr>
          </c:marker>
          <c:xVal>
            <c:numRef>
              <c:f>'Selection pman-p0-qN'!$P$25</c:f>
              <c:numCache>
                <c:formatCode>General</c:formatCode>
                <c:ptCount val="1"/>
                <c:pt idx="0">
                  <c:v>1739.52</c:v>
                </c:pt>
              </c:numCache>
            </c:numRef>
          </c:xVal>
          <c:yVal>
            <c:numRef>
              <c:f>'Selection pman-p0-qN'!$P$22</c:f>
              <c:numCache>
                <c:formatCode>0.0</c:formatCode>
                <c:ptCount val="1"/>
                <c:pt idx="0">
                  <c:v>3.4284000000000003</c:v>
                </c:pt>
              </c:numCache>
            </c:numRef>
          </c:yVal>
          <c:smooth val="0"/>
          <c:extLst>
            <c:ext xmlns:c16="http://schemas.microsoft.com/office/drawing/2014/chart" uri="{C3380CC4-5D6E-409C-BE32-E72D297353CC}">
              <c16:uniqueId val="{00000000-2971-43CF-A27E-0F07DB47DA23}"/>
            </c:ext>
          </c:extLst>
        </c:ser>
        <c:ser>
          <c:idx val="0"/>
          <c:order val="1"/>
          <c:tx>
            <c:strRef>
              <c:f>Data!$A$72</c:f>
              <c:strCache>
                <c:ptCount val="1"/>
                <c:pt idx="0">
                  <c:v>TV 4.2 EH</c:v>
                </c:pt>
              </c:strCache>
            </c:strRef>
          </c:tx>
          <c:spPr>
            <a:ln w="28575">
              <a:solidFill>
                <a:srgbClr val="FF0000"/>
              </a:solidFill>
              <a:prstDash val="solid"/>
            </a:ln>
          </c:spPr>
          <c:marker>
            <c:symbol val="none"/>
          </c:marker>
          <c:xVal>
            <c:numRef>
              <c:f>Data!$C$73:$X$73</c:f>
              <c:numCache>
                <c:formatCode>General</c:formatCode>
                <c:ptCount val="22"/>
                <c:pt idx="0">
                  <c:v>0</c:v>
                </c:pt>
                <c:pt idx="1">
                  <c:v>600</c:v>
                </c:pt>
                <c:pt idx="2">
                  <c:v>600</c:v>
                </c:pt>
                <c:pt idx="3">
                  <c:v>1038.625</c:v>
                </c:pt>
                <c:pt idx="4">
                  <c:v>1477.25</c:v>
                </c:pt>
                <c:pt idx="5">
                  <c:v>1915.875</c:v>
                </c:pt>
                <c:pt idx="6">
                  <c:v>2354.5</c:v>
                </c:pt>
                <c:pt idx="7">
                  <c:v>2793.125</c:v>
                </c:pt>
                <c:pt idx="8">
                  <c:v>3231.75</c:v>
                </c:pt>
                <c:pt idx="9">
                  <c:v>3670.375</c:v>
                </c:pt>
                <c:pt idx="10">
                  <c:v>4109</c:v>
                </c:pt>
                <c:pt idx="11">
                  <c:v>4108</c:v>
                </c:pt>
                <c:pt idx="12">
                  <c:v>4108</c:v>
                </c:pt>
                <c:pt idx="13">
                  <c:v>3231</c:v>
                </c:pt>
                <c:pt idx="14">
                  <c:v>2792.5</c:v>
                </c:pt>
                <c:pt idx="15">
                  <c:v>2354</c:v>
                </c:pt>
                <c:pt idx="16">
                  <c:v>1915.5</c:v>
                </c:pt>
                <c:pt idx="17">
                  <c:v>1477</c:v>
                </c:pt>
                <c:pt idx="18">
                  <c:v>1038.5</c:v>
                </c:pt>
                <c:pt idx="19">
                  <c:v>600</c:v>
                </c:pt>
                <c:pt idx="20">
                  <c:v>600</c:v>
                </c:pt>
                <c:pt idx="21">
                  <c:v>0</c:v>
                </c:pt>
              </c:numCache>
            </c:numRef>
          </c:xVal>
          <c:yVal>
            <c:numRef>
              <c:f>Data!$C$79:$X$79</c:f>
              <c:numCache>
                <c:formatCode>0.00</c:formatCode>
                <c:ptCount val="22"/>
                <c:pt idx="0">
                  <c:v>2.5</c:v>
                </c:pt>
                <c:pt idx="1">
                  <c:v>2.5</c:v>
                </c:pt>
                <c:pt idx="2">
                  <c:v>2.5</c:v>
                </c:pt>
                <c:pt idx="3">
                  <c:v>2.5</c:v>
                </c:pt>
                <c:pt idx="4">
                  <c:v>2.5</c:v>
                </c:pt>
                <c:pt idx="5">
                  <c:v>2.5</c:v>
                </c:pt>
                <c:pt idx="6">
                  <c:v>2.5</c:v>
                </c:pt>
                <c:pt idx="7">
                  <c:v>2.5</c:v>
                </c:pt>
                <c:pt idx="8">
                  <c:v>2.3397275804041238</c:v>
                </c:pt>
                <c:pt idx="9">
                  <c:v>1.8470441940418127</c:v>
                </c:pt>
                <c:pt idx="10">
                  <c:v>1.3030795950663501</c:v>
                </c:pt>
                <c:pt idx="11">
                  <c:v>1.3021345679012342</c:v>
                </c:pt>
                <c:pt idx="12">
                  <c:v>1.3021345679012342</c:v>
                </c:pt>
                <c:pt idx="13">
                  <c:v>1</c:v>
                </c:pt>
                <c:pt idx="14">
                  <c:v>1</c:v>
                </c:pt>
                <c:pt idx="15">
                  <c:v>1</c:v>
                </c:pt>
                <c:pt idx="16">
                  <c:v>1</c:v>
                </c:pt>
                <c:pt idx="17">
                  <c:v>1</c:v>
                </c:pt>
                <c:pt idx="18">
                  <c:v>1</c:v>
                </c:pt>
                <c:pt idx="19">
                  <c:v>1</c:v>
                </c:pt>
                <c:pt idx="20">
                  <c:v>1</c:v>
                </c:pt>
                <c:pt idx="21">
                  <c:v>1</c:v>
                </c:pt>
              </c:numCache>
            </c:numRef>
          </c:yVal>
          <c:smooth val="0"/>
          <c:extLst>
            <c:ext xmlns:c16="http://schemas.microsoft.com/office/drawing/2014/chart" uri="{C3380CC4-5D6E-409C-BE32-E72D297353CC}">
              <c16:uniqueId val="{00000001-2971-43CF-A27E-0F07DB47DA23}"/>
            </c:ext>
          </c:extLst>
        </c:ser>
        <c:ser>
          <c:idx val="1"/>
          <c:order val="2"/>
          <c:tx>
            <c:strRef>
              <c:f>Data!$A$102</c:f>
              <c:strCache>
                <c:ptCount val="1"/>
                <c:pt idx="0">
                  <c:v>TV 6.2 EH</c:v>
                </c:pt>
              </c:strCache>
            </c:strRef>
          </c:tx>
          <c:spPr>
            <a:ln>
              <a:solidFill>
                <a:schemeClr val="accent1"/>
              </a:solidFill>
            </a:ln>
          </c:spPr>
          <c:marker>
            <c:symbol val="none"/>
          </c:marker>
          <c:xVal>
            <c:numRef>
              <c:f>Data!$C$103:$X$103</c:f>
              <c:numCache>
                <c:formatCode>General</c:formatCode>
                <c:ptCount val="22"/>
                <c:pt idx="0">
                  <c:v>0</c:v>
                </c:pt>
                <c:pt idx="1">
                  <c:v>600</c:v>
                </c:pt>
                <c:pt idx="2">
                  <c:v>600</c:v>
                </c:pt>
                <c:pt idx="3">
                  <c:v>1107.6875</c:v>
                </c:pt>
                <c:pt idx="4">
                  <c:v>1615.375</c:v>
                </c:pt>
                <c:pt idx="5">
                  <c:v>2123.0625</c:v>
                </c:pt>
                <c:pt idx="6">
                  <c:v>2630.75</c:v>
                </c:pt>
                <c:pt idx="7">
                  <c:v>3138.4375</c:v>
                </c:pt>
                <c:pt idx="8">
                  <c:v>3646.125</c:v>
                </c:pt>
                <c:pt idx="9">
                  <c:v>4153.8125</c:v>
                </c:pt>
                <c:pt idx="10">
                  <c:v>4661.5</c:v>
                </c:pt>
                <c:pt idx="11">
                  <c:v>4660.5</c:v>
                </c:pt>
                <c:pt idx="12">
                  <c:v>4660.5</c:v>
                </c:pt>
                <c:pt idx="13">
                  <c:v>3645.375</c:v>
                </c:pt>
                <c:pt idx="14">
                  <c:v>3137.8125</c:v>
                </c:pt>
                <c:pt idx="15">
                  <c:v>2630.25</c:v>
                </c:pt>
                <c:pt idx="16">
                  <c:v>2122.6875</c:v>
                </c:pt>
                <c:pt idx="17">
                  <c:v>1615.125</c:v>
                </c:pt>
                <c:pt idx="18">
                  <c:v>1107.5625</c:v>
                </c:pt>
                <c:pt idx="19">
                  <c:v>600</c:v>
                </c:pt>
                <c:pt idx="20">
                  <c:v>600</c:v>
                </c:pt>
                <c:pt idx="21">
                  <c:v>0</c:v>
                </c:pt>
              </c:numCache>
            </c:numRef>
          </c:xVal>
          <c:yVal>
            <c:numRef>
              <c:f>Data!$C$109:$X$109</c:f>
              <c:numCache>
                <c:formatCode>0.00</c:formatCode>
                <c:ptCount val="22"/>
                <c:pt idx="0">
                  <c:v>3.5</c:v>
                </c:pt>
                <c:pt idx="1">
                  <c:v>3.5</c:v>
                </c:pt>
                <c:pt idx="2">
                  <c:v>3.5</c:v>
                </c:pt>
                <c:pt idx="3">
                  <c:v>3.5</c:v>
                </c:pt>
                <c:pt idx="4">
                  <c:v>3.5</c:v>
                </c:pt>
                <c:pt idx="5">
                  <c:v>3.5</c:v>
                </c:pt>
                <c:pt idx="6">
                  <c:v>3.5</c:v>
                </c:pt>
                <c:pt idx="7">
                  <c:v>3.5</c:v>
                </c:pt>
                <c:pt idx="8">
                  <c:v>3.1062457737213967</c:v>
                </c:pt>
                <c:pt idx="9">
                  <c:v>2.4323509443828089</c:v>
                </c:pt>
                <c:pt idx="10">
                  <c:v>1.6766977084278216</c:v>
                </c:pt>
                <c:pt idx="11">
                  <c:v>1.6759460069444443</c:v>
                </c:pt>
                <c:pt idx="12">
                  <c:v>1.6759460069444443</c:v>
                </c:pt>
                <c:pt idx="13">
                  <c:v>1.5</c:v>
                </c:pt>
                <c:pt idx="14">
                  <c:v>1.5</c:v>
                </c:pt>
                <c:pt idx="15">
                  <c:v>1.5</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2-2971-43CF-A27E-0F07DB47DA23}"/>
            </c:ext>
          </c:extLst>
        </c:ser>
        <c:ser>
          <c:idx val="3"/>
          <c:order val="3"/>
          <c:tx>
            <c:strRef>
              <c:f>Data!$A$132</c:f>
              <c:strCache>
                <c:ptCount val="1"/>
                <c:pt idx="0">
                  <c:v>TV 8.2 EH</c:v>
                </c:pt>
              </c:strCache>
            </c:strRef>
          </c:tx>
          <c:spPr>
            <a:ln w="28575">
              <a:solidFill>
                <a:srgbClr val="92D050"/>
              </a:solidFill>
            </a:ln>
          </c:spPr>
          <c:marker>
            <c:symbol val="none"/>
          </c:marker>
          <c:xVal>
            <c:numRef>
              <c:f>Data!$C$133:$X$133</c:f>
              <c:numCache>
                <c:formatCode>General</c:formatCode>
                <c:ptCount val="22"/>
                <c:pt idx="0">
                  <c:v>0</c:v>
                </c:pt>
                <c:pt idx="1">
                  <c:v>600</c:v>
                </c:pt>
                <c:pt idx="2">
                  <c:v>600</c:v>
                </c:pt>
                <c:pt idx="3">
                  <c:v>1142.5</c:v>
                </c:pt>
                <c:pt idx="4">
                  <c:v>1685</c:v>
                </c:pt>
                <c:pt idx="5">
                  <c:v>2227.5</c:v>
                </c:pt>
                <c:pt idx="6">
                  <c:v>2770</c:v>
                </c:pt>
                <c:pt idx="7">
                  <c:v>3312.5</c:v>
                </c:pt>
                <c:pt idx="8">
                  <c:v>3855</c:v>
                </c:pt>
                <c:pt idx="9">
                  <c:v>4397.5</c:v>
                </c:pt>
                <c:pt idx="10">
                  <c:v>4940</c:v>
                </c:pt>
                <c:pt idx="11">
                  <c:v>4939</c:v>
                </c:pt>
                <c:pt idx="12">
                  <c:v>4939</c:v>
                </c:pt>
                <c:pt idx="13">
                  <c:v>3854.25</c:v>
                </c:pt>
                <c:pt idx="14">
                  <c:v>3311.875</c:v>
                </c:pt>
                <c:pt idx="15">
                  <c:v>2769.5</c:v>
                </c:pt>
                <c:pt idx="16">
                  <c:v>2227.125</c:v>
                </c:pt>
                <c:pt idx="17">
                  <c:v>1684.75</c:v>
                </c:pt>
                <c:pt idx="18">
                  <c:v>1142.375</c:v>
                </c:pt>
                <c:pt idx="19">
                  <c:v>600</c:v>
                </c:pt>
                <c:pt idx="20">
                  <c:v>600</c:v>
                </c:pt>
                <c:pt idx="21">
                  <c:v>0</c:v>
                </c:pt>
              </c:numCache>
            </c:numRef>
          </c:xVal>
          <c:yVal>
            <c:numRef>
              <c:f>Data!$C$139:$X$139</c:f>
              <c:numCache>
                <c:formatCode>0.00</c:formatCode>
                <c:ptCount val="22"/>
                <c:pt idx="0">
                  <c:v>4.5</c:v>
                </c:pt>
                <c:pt idx="1">
                  <c:v>4.5</c:v>
                </c:pt>
                <c:pt idx="2">
                  <c:v>4.5</c:v>
                </c:pt>
                <c:pt idx="3">
                  <c:v>4.5</c:v>
                </c:pt>
                <c:pt idx="4">
                  <c:v>4.5</c:v>
                </c:pt>
                <c:pt idx="5">
                  <c:v>4.5</c:v>
                </c:pt>
                <c:pt idx="6">
                  <c:v>4.5</c:v>
                </c:pt>
                <c:pt idx="7">
                  <c:v>4.3694998734242736</c:v>
                </c:pt>
                <c:pt idx="8">
                  <c:v>3.669004518766616</c:v>
                </c:pt>
                <c:pt idx="9">
                  <c:v>2.8792996713885581</c:v>
                </c:pt>
                <c:pt idx="10">
                  <c:v>2.0004343389239909</c:v>
                </c:pt>
                <c:pt idx="11">
                  <c:v>2</c:v>
                </c:pt>
                <c:pt idx="12">
                  <c:v>2</c:v>
                </c:pt>
                <c:pt idx="13">
                  <c:v>2</c:v>
                </c:pt>
                <c:pt idx="14">
                  <c:v>2</c:v>
                </c:pt>
                <c:pt idx="15">
                  <c:v>2</c:v>
                </c:pt>
                <c:pt idx="16">
                  <c:v>2</c:v>
                </c:pt>
                <c:pt idx="17">
                  <c:v>2</c:v>
                </c:pt>
                <c:pt idx="18">
                  <c:v>2</c:v>
                </c:pt>
                <c:pt idx="19">
                  <c:v>2</c:v>
                </c:pt>
                <c:pt idx="20">
                  <c:v>2</c:v>
                </c:pt>
                <c:pt idx="21">
                  <c:v>2</c:v>
                </c:pt>
              </c:numCache>
            </c:numRef>
          </c:yVal>
          <c:smooth val="0"/>
          <c:extLst>
            <c:ext xmlns:c16="http://schemas.microsoft.com/office/drawing/2014/chart" uri="{C3380CC4-5D6E-409C-BE32-E72D297353CC}">
              <c16:uniqueId val="{00000003-2971-43CF-A27E-0F07DB47DA23}"/>
            </c:ext>
          </c:extLst>
        </c:ser>
        <c:ser>
          <c:idx val="7"/>
          <c:order val="4"/>
          <c:tx>
            <c:strRef>
              <c:f>Data!$A$162</c:f>
              <c:strCache>
                <c:ptCount val="1"/>
                <c:pt idx="0">
                  <c:v>TV 10.2 EH</c:v>
                </c:pt>
              </c:strCache>
            </c:strRef>
          </c:tx>
          <c:spPr>
            <a:ln>
              <a:solidFill>
                <a:schemeClr val="accent6"/>
              </a:solidFill>
            </a:ln>
          </c:spPr>
          <c:marker>
            <c:symbol val="none"/>
          </c:marker>
          <c:xVal>
            <c:numRef>
              <c:f>Data!$C$163:$X$163</c:f>
              <c:numCache>
                <c:formatCode>General</c:formatCode>
                <c:ptCount val="22"/>
                <c:pt idx="0">
                  <c:v>0</c:v>
                </c:pt>
                <c:pt idx="1">
                  <c:v>600</c:v>
                </c:pt>
                <c:pt idx="2">
                  <c:v>600</c:v>
                </c:pt>
                <c:pt idx="3">
                  <c:v>1142.875</c:v>
                </c:pt>
                <c:pt idx="4">
                  <c:v>1685.75</c:v>
                </c:pt>
                <c:pt idx="5">
                  <c:v>2228.625</c:v>
                </c:pt>
                <c:pt idx="6">
                  <c:v>2771.5</c:v>
                </c:pt>
                <c:pt idx="7">
                  <c:v>3314.375</c:v>
                </c:pt>
                <c:pt idx="8">
                  <c:v>3857.25</c:v>
                </c:pt>
                <c:pt idx="9">
                  <c:v>4400.125</c:v>
                </c:pt>
                <c:pt idx="10">
                  <c:v>4943</c:v>
                </c:pt>
                <c:pt idx="11">
                  <c:v>4942</c:v>
                </c:pt>
                <c:pt idx="12">
                  <c:v>4942</c:v>
                </c:pt>
                <c:pt idx="13">
                  <c:v>3856.5</c:v>
                </c:pt>
                <c:pt idx="14">
                  <c:v>3313.75</c:v>
                </c:pt>
                <c:pt idx="15">
                  <c:v>2771</c:v>
                </c:pt>
                <c:pt idx="16">
                  <c:v>2228.25</c:v>
                </c:pt>
                <c:pt idx="17">
                  <c:v>1685.5</c:v>
                </c:pt>
                <c:pt idx="18">
                  <c:v>1142.75</c:v>
                </c:pt>
                <c:pt idx="19">
                  <c:v>600</c:v>
                </c:pt>
                <c:pt idx="20">
                  <c:v>600</c:v>
                </c:pt>
                <c:pt idx="21">
                  <c:v>0</c:v>
                </c:pt>
              </c:numCache>
            </c:numRef>
          </c:xVal>
          <c:yVal>
            <c:numRef>
              <c:f>Data!$C$169:$X$169</c:f>
              <c:numCache>
                <c:formatCode>0.00</c:formatCode>
                <c:ptCount val="22"/>
                <c:pt idx="0">
                  <c:v>6.5</c:v>
                </c:pt>
                <c:pt idx="1">
                  <c:v>6.5</c:v>
                </c:pt>
                <c:pt idx="2">
                  <c:v>6.5</c:v>
                </c:pt>
                <c:pt idx="3">
                  <c:v>6.5</c:v>
                </c:pt>
                <c:pt idx="4">
                  <c:v>6.5</c:v>
                </c:pt>
                <c:pt idx="5">
                  <c:v>6.5</c:v>
                </c:pt>
                <c:pt idx="6">
                  <c:v>6.5</c:v>
                </c:pt>
                <c:pt idx="7">
                  <c:v>6.2542981944059504</c:v>
                </c:pt>
                <c:pt idx="8">
                  <c:v>5.4436497364144829</c:v>
                </c:pt>
                <c:pt idx="9">
                  <c:v>4.5267106877947763</c:v>
                </c:pt>
                <c:pt idx="10">
                  <c:v>3.5034810485468335</c:v>
                </c:pt>
                <c:pt idx="11">
                  <c:v>3.5</c:v>
                </c:pt>
                <c:pt idx="12">
                  <c:v>3.5</c:v>
                </c:pt>
                <c:pt idx="13">
                  <c:v>3.5</c:v>
                </c:pt>
                <c:pt idx="14">
                  <c:v>3.5</c:v>
                </c:pt>
                <c:pt idx="15">
                  <c:v>3.5</c:v>
                </c:pt>
                <c:pt idx="16">
                  <c:v>3.5</c:v>
                </c:pt>
                <c:pt idx="17">
                  <c:v>3.5</c:v>
                </c:pt>
                <c:pt idx="18">
                  <c:v>3.5</c:v>
                </c:pt>
                <c:pt idx="19">
                  <c:v>3.5</c:v>
                </c:pt>
                <c:pt idx="20">
                  <c:v>3.5</c:v>
                </c:pt>
                <c:pt idx="21">
                  <c:v>3.5</c:v>
                </c:pt>
              </c:numCache>
            </c:numRef>
          </c:yVal>
          <c:smooth val="0"/>
          <c:extLst>
            <c:ext xmlns:c16="http://schemas.microsoft.com/office/drawing/2014/chart" uri="{C3380CC4-5D6E-409C-BE32-E72D297353CC}">
              <c16:uniqueId val="{00000004-2971-43CF-A27E-0F07DB47DA23}"/>
            </c:ext>
          </c:extLst>
        </c:ser>
        <c:ser>
          <c:idx val="9"/>
          <c:order val="5"/>
          <c:tx>
            <c:strRef>
              <c:f>Data!$A$192</c:f>
              <c:strCache>
                <c:ptCount val="1"/>
                <c:pt idx="0">
                  <c:v>TV 14.2 EH</c:v>
                </c:pt>
              </c:strCache>
            </c:strRef>
          </c:tx>
          <c:spPr>
            <a:ln>
              <a:solidFill>
                <a:srgbClr val="FFFF00"/>
              </a:solidFill>
            </a:ln>
          </c:spPr>
          <c:marker>
            <c:symbol val="none"/>
          </c:marker>
          <c:xVal>
            <c:numRef>
              <c:f>Data!$C$193:$X$193</c:f>
              <c:numCache>
                <c:formatCode>General</c:formatCode>
                <c:ptCount val="22"/>
                <c:pt idx="0">
                  <c:v>0</c:v>
                </c:pt>
                <c:pt idx="1">
                  <c:v>600</c:v>
                </c:pt>
                <c:pt idx="2">
                  <c:v>600</c:v>
                </c:pt>
                <c:pt idx="3">
                  <c:v>1065.25</c:v>
                </c:pt>
                <c:pt idx="4">
                  <c:v>1530.5</c:v>
                </c:pt>
                <c:pt idx="5">
                  <c:v>1995.75</c:v>
                </c:pt>
                <c:pt idx="6">
                  <c:v>2461</c:v>
                </c:pt>
                <c:pt idx="7">
                  <c:v>2926.25</c:v>
                </c:pt>
                <c:pt idx="8">
                  <c:v>3391.5</c:v>
                </c:pt>
                <c:pt idx="9">
                  <c:v>3856.75</c:v>
                </c:pt>
                <c:pt idx="10">
                  <c:v>4322</c:v>
                </c:pt>
                <c:pt idx="11">
                  <c:v>4321</c:v>
                </c:pt>
                <c:pt idx="12">
                  <c:v>4321</c:v>
                </c:pt>
                <c:pt idx="13">
                  <c:v>3390.75</c:v>
                </c:pt>
                <c:pt idx="14">
                  <c:v>2925.625</c:v>
                </c:pt>
                <c:pt idx="15">
                  <c:v>2460.5</c:v>
                </c:pt>
                <c:pt idx="16">
                  <c:v>1995.375</c:v>
                </c:pt>
                <c:pt idx="17">
                  <c:v>1530.25</c:v>
                </c:pt>
                <c:pt idx="18">
                  <c:v>1065.125</c:v>
                </c:pt>
                <c:pt idx="19">
                  <c:v>600</c:v>
                </c:pt>
                <c:pt idx="20">
                  <c:v>600</c:v>
                </c:pt>
                <c:pt idx="21">
                  <c:v>0</c:v>
                </c:pt>
              </c:numCache>
            </c:numRef>
          </c:xVal>
          <c:yVal>
            <c:numRef>
              <c:f>Data!$C$199:$X$199</c:f>
              <c:numCache>
                <c:formatCode>0.00</c:formatCode>
                <c:ptCount val="22"/>
                <c:pt idx="0">
                  <c:v>10</c:v>
                </c:pt>
                <c:pt idx="1">
                  <c:v>10</c:v>
                </c:pt>
                <c:pt idx="2">
                  <c:v>10</c:v>
                </c:pt>
                <c:pt idx="3">
                  <c:v>10</c:v>
                </c:pt>
                <c:pt idx="4">
                  <c:v>10</c:v>
                </c:pt>
                <c:pt idx="5">
                  <c:v>10</c:v>
                </c:pt>
                <c:pt idx="6">
                  <c:v>10</c:v>
                </c:pt>
                <c:pt idx="7">
                  <c:v>10</c:v>
                </c:pt>
                <c:pt idx="8">
                  <c:v>9.0072527638888893</c:v>
                </c:pt>
                <c:pt idx="9">
                  <c:v>7.3873266161882913</c:v>
                </c:pt>
                <c:pt idx="10">
                  <c:v>5.4997142814169662</c:v>
                </c:pt>
                <c:pt idx="11">
                  <c:v>5.5</c:v>
                </c:pt>
                <c:pt idx="12">
                  <c:v>5.5</c:v>
                </c:pt>
                <c:pt idx="13">
                  <c:v>5.5</c:v>
                </c:pt>
                <c:pt idx="14">
                  <c:v>5.5</c:v>
                </c:pt>
                <c:pt idx="15">
                  <c:v>5.5</c:v>
                </c:pt>
                <c:pt idx="16">
                  <c:v>5.5</c:v>
                </c:pt>
                <c:pt idx="17">
                  <c:v>5.5</c:v>
                </c:pt>
                <c:pt idx="18">
                  <c:v>5.5</c:v>
                </c:pt>
                <c:pt idx="19">
                  <c:v>5.5</c:v>
                </c:pt>
                <c:pt idx="20">
                  <c:v>5.5</c:v>
                </c:pt>
                <c:pt idx="21">
                  <c:v>5.5</c:v>
                </c:pt>
              </c:numCache>
            </c:numRef>
          </c:yVal>
          <c:smooth val="0"/>
          <c:extLst>
            <c:ext xmlns:c16="http://schemas.microsoft.com/office/drawing/2014/chart" uri="{C3380CC4-5D6E-409C-BE32-E72D297353CC}">
              <c16:uniqueId val="{00000005-2971-43CF-A27E-0F07DB47DA23}"/>
            </c:ext>
          </c:extLst>
        </c:ser>
        <c:dLbls>
          <c:showLegendKey val="0"/>
          <c:showVal val="0"/>
          <c:showCatName val="0"/>
          <c:showSerName val="0"/>
          <c:showPercent val="0"/>
          <c:showBubbleSize val="0"/>
        </c:dLbls>
        <c:axId val="354723888"/>
        <c:axId val="353944528"/>
      </c:scatterChart>
      <c:valAx>
        <c:axId val="354723888"/>
        <c:scaling>
          <c:orientation val="minMax"/>
          <c:min val="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400" b="0" i="0" u="none" strike="noStrike" baseline="0">
                    <a:solidFill>
                      <a:srgbClr val="000000"/>
                    </a:solidFill>
                    <a:latin typeface="Arial"/>
                    <a:ea typeface="Arial"/>
                    <a:cs typeface="Arial"/>
                  </a:defRPr>
                </a:pPr>
                <a:r>
                  <a:rPr lang="pl-PL"/>
                  <a:t>qN l/h</a:t>
                </a:r>
              </a:p>
            </c:rich>
          </c:tx>
          <c:layout>
            <c:manualLayout>
              <c:xMode val="edge"/>
              <c:yMode val="edge"/>
              <c:x val="0.41914011539696788"/>
              <c:y val="0.930824876057160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3944528"/>
        <c:crosses val="autoZero"/>
        <c:crossBetween val="midCat"/>
        <c:majorUnit val="500"/>
        <c:minorUnit val="100"/>
      </c:valAx>
      <c:valAx>
        <c:axId val="353944528"/>
        <c:scaling>
          <c:orientation val="minMax"/>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pl-PL"/>
                  <a:t>Pman bar</a:t>
                </a:r>
              </a:p>
            </c:rich>
          </c:tx>
          <c:layout>
            <c:manualLayout>
              <c:xMode val="edge"/>
              <c:yMode val="edge"/>
              <c:x val="2.7107988083768027E-2"/>
              <c:y val="0.43340347039953353"/>
            </c:manualLayout>
          </c:layout>
          <c:overlay val="0"/>
          <c:spPr>
            <a:noFill/>
            <a:ln w="25400">
              <a:noFill/>
            </a:ln>
          </c:spPr>
        </c:title>
        <c:numFmt formatCode="0.0" sourceLinked="1"/>
        <c:majorTickMark val="out"/>
        <c:minorTickMark val="out"/>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4723888"/>
        <c:crosses val="autoZero"/>
        <c:crossBetween val="midCat"/>
        <c:majorUnit val="1"/>
        <c:minorUnit val="0.5"/>
      </c:valAx>
      <c:spPr>
        <a:solidFill>
          <a:srgbClr val="CCCCFF"/>
        </a:solidFill>
        <a:ln w="12700">
          <a:solidFill>
            <a:srgbClr val="CCCCFF"/>
          </a:solidFill>
          <a:prstDash val="solid"/>
        </a:ln>
      </c:spPr>
    </c:plotArea>
    <c:legend>
      <c:legendPos val="r"/>
      <c:layout>
        <c:manualLayout>
          <c:xMode val="edge"/>
          <c:yMode val="edge"/>
          <c:x val="0.83367841678018184"/>
          <c:y val="0.38714260717410343"/>
          <c:w val="7.661367487291941E-2"/>
          <c:h val="0.40841163604549435"/>
        </c:manualLayout>
      </c:layout>
      <c:overlay val="0"/>
      <c:spPr>
        <a:solidFill>
          <a:srgbClr val="FFFFFF"/>
        </a:solidFill>
        <a:ln w="25400">
          <a:noFill/>
        </a:ln>
      </c:spPr>
      <c:txPr>
        <a:bodyPr/>
        <a:lstStyle/>
        <a:p>
          <a:pPr>
            <a:defRPr sz="108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022" footer="0.4921259845000002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a:t>Transfero TV.1 Connect - p0/qN </a:t>
            </a:r>
          </a:p>
        </c:rich>
      </c:tx>
      <c:layout>
        <c:manualLayout>
          <c:xMode val="edge"/>
          <c:yMode val="edge"/>
          <c:x val="0.39387366136195051"/>
          <c:y val="2.7149314668999742E-2"/>
        </c:manualLayout>
      </c:layout>
      <c:overlay val="0"/>
      <c:spPr>
        <a:noFill/>
        <a:ln w="25400">
          <a:noFill/>
        </a:ln>
      </c:spPr>
    </c:title>
    <c:autoTitleDeleted val="0"/>
    <c:plotArea>
      <c:layout>
        <c:manualLayout>
          <c:layoutTarget val="inner"/>
          <c:xMode val="edge"/>
          <c:yMode val="edge"/>
          <c:x val="8.3125976993110376E-2"/>
          <c:y val="0.13040760310173441"/>
          <c:w val="0.70346472368837765"/>
          <c:h val="0.73798244086723241"/>
        </c:manualLayout>
      </c:layout>
      <c:scatterChart>
        <c:scatterStyle val="smoothMarker"/>
        <c:varyColors val="0"/>
        <c:ser>
          <c:idx val="4"/>
          <c:order val="0"/>
          <c:tx>
            <c:v>Arbeitspunkt</c:v>
          </c:tx>
          <c:spPr>
            <a:ln w="28575">
              <a:noFill/>
            </a:ln>
          </c:spPr>
          <c:marker>
            <c:symbol val="diamond"/>
            <c:size val="10"/>
            <c:spPr>
              <a:solidFill>
                <a:srgbClr val="000000"/>
              </a:solidFill>
              <a:ln w="9525">
                <a:noFill/>
              </a:ln>
            </c:spPr>
          </c:marker>
          <c:xVal>
            <c:numRef>
              <c:f>'Selection pman-p0-qN'!$P$25</c:f>
              <c:numCache>
                <c:formatCode>General</c:formatCode>
                <c:ptCount val="1"/>
                <c:pt idx="0">
                  <c:v>1739.52</c:v>
                </c:pt>
              </c:numCache>
            </c:numRef>
          </c:xVal>
          <c:yVal>
            <c:numRef>
              <c:f>'Selection pman-p0-qN'!$P$22</c:f>
              <c:numCache>
                <c:formatCode>0.0</c:formatCode>
                <c:ptCount val="1"/>
                <c:pt idx="0">
                  <c:v>3.4284000000000003</c:v>
                </c:pt>
              </c:numCache>
            </c:numRef>
          </c:yVal>
          <c:smooth val="0"/>
          <c:extLst>
            <c:ext xmlns:c16="http://schemas.microsoft.com/office/drawing/2014/chart" uri="{C3380CC4-5D6E-409C-BE32-E72D297353CC}">
              <c16:uniqueId val="{00000000-8F97-4817-924F-AD6FC7837199}"/>
            </c:ext>
          </c:extLst>
        </c:ser>
        <c:ser>
          <c:idx val="0"/>
          <c:order val="1"/>
          <c:tx>
            <c:strRef>
              <c:f>Data!$A$52</c:f>
              <c:strCache>
                <c:ptCount val="1"/>
                <c:pt idx="0">
                  <c:v>TV 4.1 E</c:v>
                </c:pt>
              </c:strCache>
            </c:strRef>
          </c:tx>
          <c:spPr>
            <a:ln w="25400">
              <a:solidFill>
                <a:srgbClr val="FF0000"/>
              </a:solidFill>
              <a:prstDash val="solid"/>
            </a:ln>
          </c:spPr>
          <c:marker>
            <c:symbol val="none"/>
          </c:marker>
          <c:xVal>
            <c:numRef>
              <c:f>Data!$C$53:$X$53</c:f>
              <c:numCache>
                <c:formatCode>General</c:formatCode>
                <c:ptCount val="22"/>
                <c:pt idx="0">
                  <c:v>0</c:v>
                </c:pt>
                <c:pt idx="1">
                  <c:v>588</c:v>
                </c:pt>
                <c:pt idx="2">
                  <c:v>588</c:v>
                </c:pt>
                <c:pt idx="3">
                  <c:v>663.82749999999999</c:v>
                </c:pt>
                <c:pt idx="4">
                  <c:v>739.65499999999997</c:v>
                </c:pt>
                <c:pt idx="5">
                  <c:v>815.48249999999996</c:v>
                </c:pt>
                <c:pt idx="6">
                  <c:v>891.31</c:v>
                </c:pt>
                <c:pt idx="7">
                  <c:v>967.13749999999993</c:v>
                </c:pt>
                <c:pt idx="8">
                  <c:v>1007.1854347636288</c:v>
                </c:pt>
                <c:pt idx="9">
                  <c:v>1007.1854347636288</c:v>
                </c:pt>
                <c:pt idx="10">
                  <c:v>1007.1854347636288</c:v>
                </c:pt>
                <c:pt idx="11">
                  <c:v>1007.1854347636288</c:v>
                </c:pt>
                <c:pt idx="12">
                  <c:v>1007.1854347636288</c:v>
                </c:pt>
                <c:pt idx="13">
                  <c:v>1007.1854347636288</c:v>
                </c:pt>
                <c:pt idx="14">
                  <c:v>966.52499999999998</c:v>
                </c:pt>
                <c:pt idx="15">
                  <c:v>890.81999999999994</c:v>
                </c:pt>
                <c:pt idx="16">
                  <c:v>815.11500000000001</c:v>
                </c:pt>
                <c:pt idx="17">
                  <c:v>739.41</c:v>
                </c:pt>
                <c:pt idx="18">
                  <c:v>663.70500000000004</c:v>
                </c:pt>
                <c:pt idx="19">
                  <c:v>588</c:v>
                </c:pt>
                <c:pt idx="20">
                  <c:v>588</c:v>
                </c:pt>
                <c:pt idx="21">
                  <c:v>0</c:v>
                </c:pt>
              </c:numCache>
            </c:numRef>
          </c:xVal>
          <c:yVal>
            <c:numRef>
              <c:f>Data!$C$60:$X$60</c:f>
              <c:numCache>
                <c:formatCode>0.00</c:formatCode>
                <c:ptCount val="22"/>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1.8022226331360942</c:v>
                </c:pt>
                <c:pt idx="15">
                  <c:v>1.4556946745562129</c:v>
                </c:pt>
                <c:pt idx="16">
                  <c:v>1.1374155325443784</c:v>
                </c:pt>
                <c:pt idx="17">
                  <c:v>0.84738520710059162</c:v>
                </c:pt>
                <c:pt idx="18">
                  <c:v>0.58560369822485203</c:v>
                </c:pt>
                <c:pt idx="19">
                  <c:v>0.5</c:v>
                </c:pt>
                <c:pt idx="20">
                  <c:v>0.5</c:v>
                </c:pt>
                <c:pt idx="21">
                  <c:v>0.5</c:v>
                </c:pt>
              </c:numCache>
            </c:numRef>
          </c:yVal>
          <c:smooth val="0"/>
          <c:extLst>
            <c:ext xmlns:c16="http://schemas.microsoft.com/office/drawing/2014/chart" uri="{C3380CC4-5D6E-409C-BE32-E72D297353CC}">
              <c16:uniqueId val="{00000001-8F97-4817-924F-AD6FC7837199}"/>
            </c:ext>
          </c:extLst>
        </c:ser>
        <c:ser>
          <c:idx val="5"/>
          <c:order val="2"/>
          <c:tx>
            <c:strRef>
              <c:f>Data!$A$62</c:f>
              <c:strCache>
                <c:ptCount val="1"/>
                <c:pt idx="0">
                  <c:v>TV 4.1 EH</c:v>
                </c:pt>
              </c:strCache>
            </c:strRef>
          </c:tx>
          <c:spPr>
            <a:ln>
              <a:solidFill>
                <a:srgbClr val="FF0000"/>
              </a:solidFill>
              <a:prstDash val="dash"/>
            </a:ln>
          </c:spPr>
          <c:marker>
            <c:symbol val="none"/>
          </c:marker>
          <c:xVal>
            <c:numRef>
              <c:f>Data!$C$63:$X$63</c:f>
              <c:numCache>
                <c:formatCode>General</c:formatCode>
                <c:ptCount val="22"/>
                <c:pt idx="0">
                  <c:v>0</c:v>
                </c:pt>
                <c:pt idx="1">
                  <c:v>600</c:v>
                </c:pt>
                <c:pt idx="2">
                  <c:v>600</c:v>
                </c:pt>
                <c:pt idx="3">
                  <c:v>878.125</c:v>
                </c:pt>
                <c:pt idx="4">
                  <c:v>1156.25</c:v>
                </c:pt>
                <c:pt idx="5">
                  <c:v>1434.375</c:v>
                </c:pt>
                <c:pt idx="6">
                  <c:v>1712.5</c:v>
                </c:pt>
                <c:pt idx="7">
                  <c:v>1990.625</c:v>
                </c:pt>
                <c:pt idx="8">
                  <c:v>2268.75</c:v>
                </c:pt>
                <c:pt idx="9">
                  <c:v>2546.875</c:v>
                </c:pt>
                <c:pt idx="10">
                  <c:v>2825</c:v>
                </c:pt>
                <c:pt idx="11">
                  <c:v>2824</c:v>
                </c:pt>
                <c:pt idx="12">
                  <c:v>2824</c:v>
                </c:pt>
                <c:pt idx="13">
                  <c:v>2268</c:v>
                </c:pt>
                <c:pt idx="14">
                  <c:v>1990</c:v>
                </c:pt>
                <c:pt idx="15">
                  <c:v>1712</c:v>
                </c:pt>
                <c:pt idx="16">
                  <c:v>1434</c:v>
                </c:pt>
                <c:pt idx="17">
                  <c:v>1156</c:v>
                </c:pt>
                <c:pt idx="18">
                  <c:v>878</c:v>
                </c:pt>
                <c:pt idx="19">
                  <c:v>600</c:v>
                </c:pt>
                <c:pt idx="20">
                  <c:v>600</c:v>
                </c:pt>
                <c:pt idx="21">
                  <c:v>0</c:v>
                </c:pt>
              </c:numCache>
            </c:numRef>
          </c:xVal>
          <c:yVal>
            <c:numRef>
              <c:f>Data!$C$70:$X$70</c:f>
              <c:numCache>
                <c:formatCode>0.00</c:formatCode>
                <c:ptCount val="22"/>
                <c:pt idx="0">
                  <c:v>2</c:v>
                </c:pt>
                <c:pt idx="1">
                  <c:v>2</c:v>
                </c:pt>
                <c:pt idx="2">
                  <c:v>2</c:v>
                </c:pt>
                <c:pt idx="3">
                  <c:v>2</c:v>
                </c:pt>
                <c:pt idx="4">
                  <c:v>2</c:v>
                </c:pt>
                <c:pt idx="5">
                  <c:v>2</c:v>
                </c:pt>
                <c:pt idx="6">
                  <c:v>2</c:v>
                </c:pt>
                <c:pt idx="7">
                  <c:v>1.9987611193594463</c:v>
                </c:pt>
                <c:pt idx="8">
                  <c:v>1.5455343551626659</c:v>
                </c:pt>
                <c:pt idx="9">
                  <c:v>1.0458313059130406</c:v>
                </c:pt>
                <c:pt idx="10">
                  <c:v>0.49965197161057073</c:v>
                </c:pt>
                <c:pt idx="11">
                  <c:v>0.5</c:v>
                </c:pt>
                <c:pt idx="12">
                  <c:v>0.5</c:v>
                </c:pt>
                <c:pt idx="13">
                  <c:v>0.5</c:v>
                </c:pt>
                <c:pt idx="14">
                  <c:v>0.5</c:v>
                </c:pt>
                <c:pt idx="15">
                  <c:v>0.5</c:v>
                </c:pt>
                <c:pt idx="16">
                  <c:v>0.5</c:v>
                </c:pt>
                <c:pt idx="17">
                  <c:v>0.5</c:v>
                </c:pt>
                <c:pt idx="18">
                  <c:v>0.5</c:v>
                </c:pt>
                <c:pt idx="19">
                  <c:v>0.5</c:v>
                </c:pt>
                <c:pt idx="20">
                  <c:v>0.5</c:v>
                </c:pt>
                <c:pt idx="21">
                  <c:v>0.5</c:v>
                </c:pt>
              </c:numCache>
            </c:numRef>
          </c:yVal>
          <c:smooth val="0"/>
          <c:extLst>
            <c:ext xmlns:c16="http://schemas.microsoft.com/office/drawing/2014/chart" uri="{C3380CC4-5D6E-409C-BE32-E72D297353CC}">
              <c16:uniqueId val="{00000002-8F97-4817-924F-AD6FC7837199}"/>
            </c:ext>
          </c:extLst>
        </c:ser>
        <c:ser>
          <c:idx val="1"/>
          <c:order val="3"/>
          <c:tx>
            <c:strRef>
              <c:f>Data!$A$82</c:f>
              <c:strCache>
                <c:ptCount val="1"/>
                <c:pt idx="0">
                  <c:v>TV 6.1 E</c:v>
                </c:pt>
              </c:strCache>
            </c:strRef>
          </c:tx>
          <c:spPr>
            <a:ln>
              <a:solidFill>
                <a:schemeClr val="accent1"/>
              </a:solidFill>
            </a:ln>
          </c:spPr>
          <c:marker>
            <c:symbol val="none"/>
          </c:marker>
          <c:xVal>
            <c:numRef>
              <c:f>Data!$C$83:$X$83</c:f>
              <c:numCache>
                <c:formatCode>General</c:formatCode>
                <c:ptCount val="22"/>
                <c:pt idx="0">
                  <c:v>0</c:v>
                </c:pt>
                <c:pt idx="1">
                  <c:v>600</c:v>
                </c:pt>
                <c:pt idx="2">
                  <c:v>600</c:v>
                </c:pt>
                <c:pt idx="3">
                  <c:v>702.75</c:v>
                </c:pt>
                <c:pt idx="4">
                  <c:v>805.5</c:v>
                </c:pt>
                <c:pt idx="5">
                  <c:v>908.25</c:v>
                </c:pt>
                <c:pt idx="6">
                  <c:v>1011</c:v>
                </c:pt>
                <c:pt idx="7">
                  <c:v>1113.75</c:v>
                </c:pt>
                <c:pt idx="8">
                  <c:v>1027.7402395547233</c:v>
                </c:pt>
                <c:pt idx="9">
                  <c:v>1027.7402395547233</c:v>
                </c:pt>
                <c:pt idx="10">
                  <c:v>1027.7402395547233</c:v>
                </c:pt>
                <c:pt idx="11">
                  <c:v>1027.7402395547233</c:v>
                </c:pt>
                <c:pt idx="12">
                  <c:v>1027.7402395547233</c:v>
                </c:pt>
                <c:pt idx="13">
                  <c:v>1215.75</c:v>
                </c:pt>
                <c:pt idx="14">
                  <c:v>1113.125</c:v>
                </c:pt>
                <c:pt idx="15">
                  <c:v>1010.5</c:v>
                </c:pt>
                <c:pt idx="16">
                  <c:v>907.875</c:v>
                </c:pt>
                <c:pt idx="17">
                  <c:v>805.25</c:v>
                </c:pt>
                <c:pt idx="18">
                  <c:v>702.625</c:v>
                </c:pt>
                <c:pt idx="19">
                  <c:v>600</c:v>
                </c:pt>
                <c:pt idx="20">
                  <c:v>600</c:v>
                </c:pt>
                <c:pt idx="21">
                  <c:v>0</c:v>
                </c:pt>
              </c:numCache>
            </c:numRef>
          </c:xVal>
          <c:yVal>
            <c:numRef>
              <c:f>Data!$C$90:$X$90</c:f>
              <c:numCache>
                <c:formatCode>0.00</c:formatCode>
                <c:ptCount val="22"/>
                <c:pt idx="0">
                  <c:v>3</c:v>
                </c:pt>
                <c:pt idx="1">
                  <c:v>3</c:v>
                </c:pt>
                <c:pt idx="2">
                  <c:v>3</c:v>
                </c:pt>
                <c:pt idx="3">
                  <c:v>3</c:v>
                </c:pt>
                <c:pt idx="4">
                  <c:v>3</c:v>
                </c:pt>
                <c:pt idx="5">
                  <c:v>3</c:v>
                </c:pt>
                <c:pt idx="6">
                  <c:v>3</c:v>
                </c:pt>
                <c:pt idx="7">
                  <c:v>3</c:v>
                </c:pt>
                <c:pt idx="8">
                  <c:v>3</c:v>
                </c:pt>
                <c:pt idx="9">
                  <c:v>3</c:v>
                </c:pt>
                <c:pt idx="10">
                  <c:v>3</c:v>
                </c:pt>
                <c:pt idx="11">
                  <c:v>3</c:v>
                </c:pt>
                <c:pt idx="12">
                  <c:v>3</c:v>
                </c:pt>
                <c:pt idx="13">
                  <c:v>2.998338609467456</c:v>
                </c:pt>
                <c:pt idx="14">
                  <c:v>2.4326562499999991</c:v>
                </c:pt>
                <c:pt idx="15">
                  <c:v>1.9168289940828398</c:v>
                </c:pt>
                <c:pt idx="16">
                  <c:v>1.450856841715976</c:v>
                </c:pt>
                <c:pt idx="17">
                  <c:v>1.0347397928994082</c:v>
                </c:pt>
                <c:pt idx="18">
                  <c:v>1</c:v>
                </c:pt>
                <c:pt idx="19">
                  <c:v>1</c:v>
                </c:pt>
                <c:pt idx="20">
                  <c:v>1</c:v>
                </c:pt>
                <c:pt idx="21">
                  <c:v>1</c:v>
                </c:pt>
              </c:numCache>
            </c:numRef>
          </c:yVal>
          <c:smooth val="0"/>
          <c:extLst>
            <c:ext xmlns:c16="http://schemas.microsoft.com/office/drawing/2014/chart" uri="{C3380CC4-5D6E-409C-BE32-E72D297353CC}">
              <c16:uniqueId val="{00000003-8F97-4817-924F-AD6FC7837199}"/>
            </c:ext>
          </c:extLst>
        </c:ser>
        <c:ser>
          <c:idx val="2"/>
          <c:order val="4"/>
          <c:tx>
            <c:strRef>
              <c:f>Data!$A$92</c:f>
              <c:strCache>
                <c:ptCount val="1"/>
                <c:pt idx="0">
                  <c:v>TV 6.1 EH</c:v>
                </c:pt>
              </c:strCache>
            </c:strRef>
          </c:tx>
          <c:spPr>
            <a:ln w="28575">
              <a:solidFill>
                <a:schemeClr val="accent1"/>
              </a:solidFill>
              <a:prstDash val="dash"/>
            </a:ln>
          </c:spPr>
          <c:marker>
            <c:symbol val="none"/>
          </c:marker>
          <c:xVal>
            <c:numRef>
              <c:f>Data!$C$93:$X$93</c:f>
              <c:numCache>
                <c:formatCode>General</c:formatCode>
                <c:ptCount val="22"/>
                <c:pt idx="0">
                  <c:v>0</c:v>
                </c:pt>
                <c:pt idx="1">
                  <c:v>600</c:v>
                </c:pt>
                <c:pt idx="2">
                  <c:v>600</c:v>
                </c:pt>
                <c:pt idx="3">
                  <c:v>900.75</c:v>
                </c:pt>
                <c:pt idx="4">
                  <c:v>1201.5</c:v>
                </c:pt>
                <c:pt idx="5">
                  <c:v>1502.25</c:v>
                </c:pt>
                <c:pt idx="6">
                  <c:v>1803</c:v>
                </c:pt>
                <c:pt idx="7">
                  <c:v>2103.75</c:v>
                </c:pt>
                <c:pt idx="8">
                  <c:v>2404.5</c:v>
                </c:pt>
                <c:pt idx="9">
                  <c:v>2705.25</c:v>
                </c:pt>
                <c:pt idx="10">
                  <c:v>3006</c:v>
                </c:pt>
                <c:pt idx="11">
                  <c:v>3005</c:v>
                </c:pt>
                <c:pt idx="12">
                  <c:v>3005</c:v>
                </c:pt>
                <c:pt idx="13">
                  <c:v>2403.75</c:v>
                </c:pt>
                <c:pt idx="14">
                  <c:v>2103.125</c:v>
                </c:pt>
                <c:pt idx="15">
                  <c:v>1802.5</c:v>
                </c:pt>
                <c:pt idx="16">
                  <c:v>1501.875</c:v>
                </c:pt>
                <c:pt idx="17">
                  <c:v>1201.25</c:v>
                </c:pt>
                <c:pt idx="18">
                  <c:v>900.625</c:v>
                </c:pt>
                <c:pt idx="19">
                  <c:v>600</c:v>
                </c:pt>
                <c:pt idx="20">
                  <c:v>600</c:v>
                </c:pt>
                <c:pt idx="21">
                  <c:v>0</c:v>
                </c:pt>
              </c:numCache>
            </c:numRef>
          </c:xVal>
          <c:yVal>
            <c:numRef>
              <c:f>Data!$C$100:$X$100</c:f>
              <c:numCache>
                <c:formatCode>0.00</c:formatCode>
                <c:ptCount val="22"/>
                <c:pt idx="0">
                  <c:v>3</c:v>
                </c:pt>
                <c:pt idx="1">
                  <c:v>3</c:v>
                </c:pt>
                <c:pt idx="2">
                  <c:v>3</c:v>
                </c:pt>
                <c:pt idx="3">
                  <c:v>3</c:v>
                </c:pt>
                <c:pt idx="4">
                  <c:v>3</c:v>
                </c:pt>
                <c:pt idx="5">
                  <c:v>3</c:v>
                </c:pt>
                <c:pt idx="6">
                  <c:v>3</c:v>
                </c:pt>
                <c:pt idx="7">
                  <c:v>2.9317104337254896</c:v>
                </c:pt>
                <c:pt idx="8">
                  <c:v>2.3828256715767724</c:v>
                </c:pt>
                <c:pt idx="9">
                  <c:v>1.7722919177762773</c:v>
                </c:pt>
                <c:pt idx="10">
                  <c:v>1.1000576676628617</c:v>
                </c:pt>
                <c:pt idx="11">
                  <c:v>1</c:v>
                </c:pt>
                <c:pt idx="12">
                  <c:v>1</c:v>
                </c:pt>
                <c:pt idx="13">
                  <c:v>1</c:v>
                </c:pt>
                <c:pt idx="14">
                  <c:v>1</c:v>
                </c:pt>
                <c:pt idx="15">
                  <c:v>1</c:v>
                </c:pt>
                <c:pt idx="16">
                  <c:v>1</c:v>
                </c:pt>
                <c:pt idx="17">
                  <c:v>1</c:v>
                </c:pt>
                <c:pt idx="18">
                  <c:v>1</c:v>
                </c:pt>
                <c:pt idx="19">
                  <c:v>1</c:v>
                </c:pt>
                <c:pt idx="20">
                  <c:v>1</c:v>
                </c:pt>
                <c:pt idx="21">
                  <c:v>1</c:v>
                </c:pt>
              </c:numCache>
            </c:numRef>
          </c:yVal>
          <c:smooth val="0"/>
          <c:extLst>
            <c:ext xmlns:c16="http://schemas.microsoft.com/office/drawing/2014/chart" uri="{C3380CC4-5D6E-409C-BE32-E72D297353CC}">
              <c16:uniqueId val="{00000004-8F97-4817-924F-AD6FC7837199}"/>
            </c:ext>
          </c:extLst>
        </c:ser>
        <c:ser>
          <c:idx val="3"/>
          <c:order val="5"/>
          <c:tx>
            <c:strRef>
              <c:f>Data!$A$112</c:f>
              <c:strCache>
                <c:ptCount val="1"/>
                <c:pt idx="0">
                  <c:v>TV 8.1 E</c:v>
                </c:pt>
              </c:strCache>
            </c:strRef>
          </c:tx>
          <c:spPr>
            <a:ln w="28575">
              <a:solidFill>
                <a:srgbClr val="92D050"/>
              </a:solidFill>
            </a:ln>
          </c:spPr>
          <c:marker>
            <c:symbol val="none"/>
          </c:marker>
          <c:xVal>
            <c:numRef>
              <c:f>Data!$C$113:$X$113</c:f>
              <c:numCache>
                <c:formatCode>General</c:formatCode>
                <c:ptCount val="22"/>
                <c:pt idx="0">
                  <c:v>0</c:v>
                </c:pt>
                <c:pt idx="1">
                  <c:v>606</c:v>
                </c:pt>
                <c:pt idx="2">
                  <c:v>606</c:v>
                </c:pt>
                <c:pt idx="3">
                  <c:v>704.34875</c:v>
                </c:pt>
                <c:pt idx="4">
                  <c:v>802.69749999999999</c:v>
                </c:pt>
                <c:pt idx="5">
                  <c:v>901.04624999999999</c:v>
                </c:pt>
                <c:pt idx="6">
                  <c:v>999.39499999999998</c:v>
                </c:pt>
                <c:pt idx="7">
                  <c:v>1097.7437500000001</c:v>
                </c:pt>
                <c:pt idx="8">
                  <c:v>1196.0925</c:v>
                </c:pt>
                <c:pt idx="9">
                  <c:v>1294.4412500000001</c:v>
                </c:pt>
                <c:pt idx="10">
                  <c:v>1038.0176419502704</c:v>
                </c:pt>
                <c:pt idx="11">
                  <c:v>1391.78</c:v>
                </c:pt>
                <c:pt idx="12">
                  <c:v>1391.78</c:v>
                </c:pt>
                <c:pt idx="13">
                  <c:v>1195.335</c:v>
                </c:pt>
                <c:pt idx="14">
                  <c:v>1097.1125</c:v>
                </c:pt>
                <c:pt idx="15">
                  <c:v>998.89</c:v>
                </c:pt>
                <c:pt idx="16">
                  <c:v>900.66750000000002</c:v>
                </c:pt>
                <c:pt idx="17">
                  <c:v>802.44500000000005</c:v>
                </c:pt>
                <c:pt idx="18">
                  <c:v>704.22249999999997</c:v>
                </c:pt>
                <c:pt idx="19">
                  <c:v>606</c:v>
                </c:pt>
                <c:pt idx="20">
                  <c:v>606</c:v>
                </c:pt>
                <c:pt idx="21">
                  <c:v>0</c:v>
                </c:pt>
              </c:numCache>
            </c:numRef>
          </c:xVal>
          <c:yVal>
            <c:numRef>
              <c:f>Data!$C$120:$X$120</c:f>
              <c:numCache>
                <c:formatCode>0.00</c:formatCode>
                <c:ptCount val="22"/>
                <c:pt idx="0">
                  <c:v>4</c:v>
                </c:pt>
                <c:pt idx="1">
                  <c:v>4</c:v>
                </c:pt>
                <c:pt idx="2">
                  <c:v>4</c:v>
                </c:pt>
                <c:pt idx="3">
                  <c:v>4</c:v>
                </c:pt>
                <c:pt idx="4">
                  <c:v>4</c:v>
                </c:pt>
                <c:pt idx="5">
                  <c:v>4</c:v>
                </c:pt>
                <c:pt idx="6">
                  <c:v>4</c:v>
                </c:pt>
                <c:pt idx="7">
                  <c:v>4</c:v>
                </c:pt>
                <c:pt idx="8">
                  <c:v>4</c:v>
                </c:pt>
                <c:pt idx="9">
                  <c:v>4</c:v>
                </c:pt>
                <c:pt idx="10">
                  <c:v>4</c:v>
                </c:pt>
                <c:pt idx="11">
                  <c:v>3.9943999999999988</c:v>
                </c:pt>
                <c:pt idx="12">
                  <c:v>3.9943999999999988</c:v>
                </c:pt>
                <c:pt idx="13">
                  <c:v>2.8152005917159757</c:v>
                </c:pt>
                <c:pt idx="14">
                  <c:v>2.2927551775147923</c:v>
                </c:pt>
                <c:pt idx="15">
                  <c:v>1.8150792899408281</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5-8F97-4817-924F-AD6FC7837199}"/>
            </c:ext>
          </c:extLst>
        </c:ser>
        <c:ser>
          <c:idx val="6"/>
          <c:order val="6"/>
          <c:tx>
            <c:strRef>
              <c:f>Data!$A$122</c:f>
              <c:strCache>
                <c:ptCount val="1"/>
                <c:pt idx="0">
                  <c:v>TV 8.1 EH</c:v>
                </c:pt>
              </c:strCache>
            </c:strRef>
          </c:tx>
          <c:spPr>
            <a:ln>
              <a:solidFill>
                <a:srgbClr val="92D050"/>
              </a:solidFill>
              <a:prstDash val="dash"/>
            </a:ln>
          </c:spPr>
          <c:marker>
            <c:symbol val="none"/>
          </c:marker>
          <c:xVal>
            <c:numRef>
              <c:f>Data!$C$123:$X$123</c:f>
              <c:numCache>
                <c:formatCode>General</c:formatCode>
                <c:ptCount val="22"/>
                <c:pt idx="0">
                  <c:v>0</c:v>
                </c:pt>
                <c:pt idx="1">
                  <c:v>606</c:v>
                </c:pt>
                <c:pt idx="2">
                  <c:v>606</c:v>
                </c:pt>
                <c:pt idx="3">
                  <c:v>922.72337500000003</c:v>
                </c:pt>
                <c:pt idx="4">
                  <c:v>1239.4467500000001</c:v>
                </c:pt>
                <c:pt idx="5">
                  <c:v>1556.1701249999999</c:v>
                </c:pt>
                <c:pt idx="6">
                  <c:v>1872.8934999999999</c:v>
                </c:pt>
                <c:pt idx="7">
                  <c:v>2189.6168750000002</c:v>
                </c:pt>
                <c:pt idx="8">
                  <c:v>2506.3402499999997</c:v>
                </c:pt>
                <c:pt idx="9">
                  <c:v>2823.0636249999998</c:v>
                </c:pt>
                <c:pt idx="10">
                  <c:v>3139.7869999999998</c:v>
                </c:pt>
                <c:pt idx="11">
                  <c:v>3138.777</c:v>
                </c:pt>
                <c:pt idx="12">
                  <c:v>3138.777</c:v>
                </c:pt>
                <c:pt idx="13">
                  <c:v>2505.5827499999996</c:v>
                </c:pt>
                <c:pt idx="14">
                  <c:v>2188.9856249999998</c:v>
                </c:pt>
                <c:pt idx="15">
                  <c:v>1872.3885</c:v>
                </c:pt>
                <c:pt idx="16">
                  <c:v>1555.7913749999998</c:v>
                </c:pt>
                <c:pt idx="17">
                  <c:v>1239.19425</c:v>
                </c:pt>
                <c:pt idx="18">
                  <c:v>922.59712500000012</c:v>
                </c:pt>
                <c:pt idx="19">
                  <c:v>606</c:v>
                </c:pt>
                <c:pt idx="20">
                  <c:v>606</c:v>
                </c:pt>
                <c:pt idx="21">
                  <c:v>0</c:v>
                </c:pt>
              </c:numCache>
            </c:numRef>
          </c:xVal>
          <c:yVal>
            <c:numRef>
              <c:f>Data!$C$130:$X$130</c:f>
              <c:numCache>
                <c:formatCode>0.00</c:formatCode>
                <c:ptCount val="22"/>
                <c:pt idx="0">
                  <c:v>4</c:v>
                </c:pt>
                <c:pt idx="1">
                  <c:v>4</c:v>
                </c:pt>
                <c:pt idx="2">
                  <c:v>4</c:v>
                </c:pt>
                <c:pt idx="3">
                  <c:v>4</c:v>
                </c:pt>
                <c:pt idx="4">
                  <c:v>4</c:v>
                </c:pt>
                <c:pt idx="5">
                  <c:v>4</c:v>
                </c:pt>
                <c:pt idx="6">
                  <c:v>4</c:v>
                </c:pt>
                <c:pt idx="7">
                  <c:v>3.6645348972911496</c:v>
                </c:pt>
                <c:pt idx="8">
                  <c:v>3.0149497438738386</c:v>
                </c:pt>
                <c:pt idx="9">
                  <c:v>2.2934948073395689</c:v>
                </c:pt>
                <c:pt idx="10">
                  <c:v>1.5000336987044594</c:v>
                </c:pt>
                <c:pt idx="11">
                  <c:v>1.5</c:v>
                </c:pt>
                <c:pt idx="12">
                  <c:v>1.5</c:v>
                </c:pt>
                <c:pt idx="13">
                  <c:v>1.5</c:v>
                </c:pt>
                <c:pt idx="14">
                  <c:v>1.5</c:v>
                </c:pt>
                <c:pt idx="15">
                  <c:v>1.5</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6-8F97-4817-924F-AD6FC7837199}"/>
            </c:ext>
          </c:extLst>
        </c:ser>
        <c:ser>
          <c:idx val="7"/>
          <c:order val="7"/>
          <c:tx>
            <c:strRef>
              <c:f>Data!$A$142</c:f>
              <c:strCache>
                <c:ptCount val="1"/>
                <c:pt idx="0">
                  <c:v>TV 10.1 E</c:v>
                </c:pt>
              </c:strCache>
            </c:strRef>
          </c:tx>
          <c:spPr>
            <a:ln>
              <a:solidFill>
                <a:schemeClr val="accent6"/>
              </a:solidFill>
            </a:ln>
          </c:spPr>
          <c:marker>
            <c:symbol val="none"/>
          </c:marker>
          <c:xVal>
            <c:numRef>
              <c:f>Data!$C$143:$X$143</c:f>
              <c:numCache>
                <c:formatCode>General</c:formatCode>
                <c:ptCount val="22"/>
                <c:pt idx="0">
                  <c:v>0</c:v>
                </c:pt>
                <c:pt idx="1">
                  <c:v>600</c:v>
                </c:pt>
                <c:pt idx="2">
                  <c:v>600</c:v>
                </c:pt>
                <c:pt idx="3">
                  <c:v>662.625</c:v>
                </c:pt>
                <c:pt idx="4">
                  <c:v>725.25</c:v>
                </c:pt>
                <c:pt idx="5">
                  <c:v>787.875</c:v>
                </c:pt>
                <c:pt idx="6">
                  <c:v>850.5</c:v>
                </c:pt>
                <c:pt idx="7">
                  <c:v>913.125</c:v>
                </c:pt>
                <c:pt idx="8">
                  <c:v>975.75</c:v>
                </c:pt>
                <c:pt idx="9">
                  <c:v>1038.375</c:v>
                </c:pt>
                <c:pt idx="10">
                  <c:v>1100</c:v>
                </c:pt>
                <c:pt idx="11">
                  <c:v>1100</c:v>
                </c:pt>
                <c:pt idx="12">
                  <c:v>1100</c:v>
                </c:pt>
                <c:pt idx="13">
                  <c:v>1094.5</c:v>
                </c:pt>
                <c:pt idx="14">
                  <c:v>912.5</c:v>
                </c:pt>
                <c:pt idx="15">
                  <c:v>850</c:v>
                </c:pt>
                <c:pt idx="16">
                  <c:v>787.5</c:v>
                </c:pt>
                <c:pt idx="17">
                  <c:v>725</c:v>
                </c:pt>
                <c:pt idx="18">
                  <c:v>662.5</c:v>
                </c:pt>
                <c:pt idx="19">
                  <c:v>600</c:v>
                </c:pt>
                <c:pt idx="20">
                  <c:v>600</c:v>
                </c:pt>
                <c:pt idx="21">
                  <c:v>0</c:v>
                </c:pt>
              </c:numCache>
            </c:numRef>
          </c:xVal>
          <c:yVal>
            <c:numRef>
              <c:f>Data!$C$150:$X$150</c:f>
              <c:numCache>
                <c:formatCode>0.00</c:formatCode>
                <c:ptCount val="22"/>
                <c:pt idx="0">
                  <c:v>6</c:v>
                </c:pt>
                <c:pt idx="1">
                  <c:v>6</c:v>
                </c:pt>
                <c:pt idx="2">
                  <c:v>6</c:v>
                </c:pt>
                <c:pt idx="3">
                  <c:v>6</c:v>
                </c:pt>
                <c:pt idx="4">
                  <c:v>6</c:v>
                </c:pt>
                <c:pt idx="5">
                  <c:v>6</c:v>
                </c:pt>
                <c:pt idx="6">
                  <c:v>6</c:v>
                </c:pt>
                <c:pt idx="7">
                  <c:v>6</c:v>
                </c:pt>
                <c:pt idx="8">
                  <c:v>6</c:v>
                </c:pt>
                <c:pt idx="9">
                  <c:v>6</c:v>
                </c:pt>
                <c:pt idx="10">
                  <c:v>6</c:v>
                </c:pt>
                <c:pt idx="11">
                  <c:v>6</c:v>
                </c:pt>
                <c:pt idx="12">
                  <c:v>6</c:v>
                </c:pt>
                <c:pt idx="13">
                  <c:v>3</c:v>
                </c:pt>
                <c:pt idx="14">
                  <c:v>3</c:v>
                </c:pt>
                <c:pt idx="15">
                  <c:v>3</c:v>
                </c:pt>
                <c:pt idx="16">
                  <c:v>3</c:v>
                </c:pt>
                <c:pt idx="17">
                  <c:v>3</c:v>
                </c:pt>
                <c:pt idx="18">
                  <c:v>3</c:v>
                </c:pt>
                <c:pt idx="19">
                  <c:v>3</c:v>
                </c:pt>
                <c:pt idx="20">
                  <c:v>3</c:v>
                </c:pt>
                <c:pt idx="21">
                  <c:v>3</c:v>
                </c:pt>
              </c:numCache>
            </c:numRef>
          </c:yVal>
          <c:smooth val="0"/>
          <c:extLst>
            <c:ext xmlns:c16="http://schemas.microsoft.com/office/drawing/2014/chart" uri="{C3380CC4-5D6E-409C-BE32-E72D297353CC}">
              <c16:uniqueId val="{00000007-8F97-4817-924F-AD6FC7837199}"/>
            </c:ext>
          </c:extLst>
        </c:ser>
        <c:ser>
          <c:idx val="8"/>
          <c:order val="8"/>
          <c:tx>
            <c:strRef>
              <c:f>Data!$A$152</c:f>
              <c:strCache>
                <c:ptCount val="1"/>
                <c:pt idx="0">
                  <c:v>TV 10.1 EH</c:v>
                </c:pt>
              </c:strCache>
            </c:strRef>
          </c:tx>
          <c:spPr>
            <a:ln>
              <a:solidFill>
                <a:schemeClr val="accent6"/>
              </a:solidFill>
              <a:prstDash val="dash"/>
            </a:ln>
          </c:spPr>
          <c:marker>
            <c:symbol val="none"/>
          </c:marker>
          <c:xVal>
            <c:numRef>
              <c:f>Data!$C$153:$X$153</c:f>
              <c:numCache>
                <c:formatCode>General</c:formatCode>
                <c:ptCount val="22"/>
                <c:pt idx="0">
                  <c:v>0</c:v>
                </c:pt>
                <c:pt idx="1">
                  <c:v>600</c:v>
                </c:pt>
                <c:pt idx="2">
                  <c:v>600</c:v>
                </c:pt>
                <c:pt idx="3">
                  <c:v>910.5</c:v>
                </c:pt>
                <c:pt idx="4">
                  <c:v>1221</c:v>
                </c:pt>
                <c:pt idx="5">
                  <c:v>1531.5</c:v>
                </c:pt>
                <c:pt idx="6">
                  <c:v>1842</c:v>
                </c:pt>
                <c:pt idx="7">
                  <c:v>2152.5</c:v>
                </c:pt>
                <c:pt idx="8">
                  <c:v>2463</c:v>
                </c:pt>
                <c:pt idx="9">
                  <c:v>2773.5</c:v>
                </c:pt>
                <c:pt idx="10">
                  <c:v>3084</c:v>
                </c:pt>
                <c:pt idx="11">
                  <c:v>3083</c:v>
                </c:pt>
                <c:pt idx="12">
                  <c:v>3083</c:v>
                </c:pt>
                <c:pt idx="13">
                  <c:v>2462.25</c:v>
                </c:pt>
                <c:pt idx="14">
                  <c:v>2151.875</c:v>
                </c:pt>
                <c:pt idx="15">
                  <c:v>1841.5</c:v>
                </c:pt>
                <c:pt idx="16">
                  <c:v>1531.125</c:v>
                </c:pt>
                <c:pt idx="17">
                  <c:v>1220.75</c:v>
                </c:pt>
                <c:pt idx="18">
                  <c:v>910.375</c:v>
                </c:pt>
                <c:pt idx="19">
                  <c:v>600</c:v>
                </c:pt>
                <c:pt idx="20">
                  <c:v>600</c:v>
                </c:pt>
                <c:pt idx="21">
                  <c:v>0</c:v>
                </c:pt>
              </c:numCache>
            </c:numRef>
          </c:xVal>
          <c:yVal>
            <c:numRef>
              <c:f>Data!$C$160:$X$160</c:f>
              <c:numCache>
                <c:formatCode>0.00</c:formatCode>
                <c:ptCount val="22"/>
                <c:pt idx="0">
                  <c:v>6</c:v>
                </c:pt>
                <c:pt idx="1">
                  <c:v>6</c:v>
                </c:pt>
                <c:pt idx="2">
                  <c:v>6</c:v>
                </c:pt>
                <c:pt idx="3">
                  <c:v>6</c:v>
                </c:pt>
                <c:pt idx="4">
                  <c:v>6</c:v>
                </c:pt>
                <c:pt idx="5">
                  <c:v>6</c:v>
                </c:pt>
                <c:pt idx="6">
                  <c:v>6</c:v>
                </c:pt>
                <c:pt idx="7">
                  <c:v>5.5079487499999997</c:v>
                </c:pt>
                <c:pt idx="8">
                  <c:v>4.7561118632956561</c:v>
                </c:pt>
                <c:pt idx="9">
                  <c:v>3.9198285446460437</c:v>
                </c:pt>
                <c:pt idx="10">
                  <c:v>2.9990987940511591</c:v>
                </c:pt>
                <c:pt idx="11">
                  <c:v>3</c:v>
                </c:pt>
                <c:pt idx="12">
                  <c:v>3</c:v>
                </c:pt>
                <c:pt idx="13">
                  <c:v>3</c:v>
                </c:pt>
                <c:pt idx="14">
                  <c:v>3</c:v>
                </c:pt>
                <c:pt idx="15">
                  <c:v>3</c:v>
                </c:pt>
                <c:pt idx="16">
                  <c:v>3</c:v>
                </c:pt>
                <c:pt idx="17">
                  <c:v>3</c:v>
                </c:pt>
                <c:pt idx="18">
                  <c:v>3</c:v>
                </c:pt>
                <c:pt idx="19">
                  <c:v>3</c:v>
                </c:pt>
                <c:pt idx="20">
                  <c:v>3</c:v>
                </c:pt>
                <c:pt idx="21">
                  <c:v>3</c:v>
                </c:pt>
              </c:numCache>
            </c:numRef>
          </c:yVal>
          <c:smooth val="1"/>
          <c:extLst>
            <c:ext xmlns:c16="http://schemas.microsoft.com/office/drawing/2014/chart" uri="{C3380CC4-5D6E-409C-BE32-E72D297353CC}">
              <c16:uniqueId val="{00000008-8F97-4817-924F-AD6FC7837199}"/>
            </c:ext>
          </c:extLst>
        </c:ser>
        <c:ser>
          <c:idx val="9"/>
          <c:order val="9"/>
          <c:tx>
            <c:strRef>
              <c:f>Data!$A$172</c:f>
              <c:strCache>
                <c:ptCount val="1"/>
                <c:pt idx="0">
                  <c:v>TV 14.1 E</c:v>
                </c:pt>
              </c:strCache>
            </c:strRef>
          </c:tx>
          <c:spPr>
            <a:ln>
              <a:solidFill>
                <a:srgbClr val="FFFF00"/>
              </a:solidFill>
            </a:ln>
          </c:spPr>
          <c:marker>
            <c:symbol val="none"/>
          </c:marker>
          <c:xVal>
            <c:numRef>
              <c:f>Data!$C$173:$X$173</c:f>
              <c:numCache>
                <c:formatCode>General</c:formatCode>
                <c:ptCount val="22"/>
                <c:pt idx="0">
                  <c:v>0</c:v>
                </c:pt>
                <c:pt idx="1">
                  <c:v>600</c:v>
                </c:pt>
                <c:pt idx="2">
                  <c:v>600</c:v>
                </c:pt>
                <c:pt idx="3">
                  <c:v>662.625</c:v>
                </c:pt>
                <c:pt idx="4">
                  <c:v>725.25</c:v>
                </c:pt>
                <c:pt idx="5">
                  <c:v>787.875</c:v>
                </c:pt>
                <c:pt idx="6">
                  <c:v>850.5</c:v>
                </c:pt>
                <c:pt idx="7">
                  <c:v>913.125</c:v>
                </c:pt>
                <c:pt idx="8">
                  <c:v>975.75</c:v>
                </c:pt>
                <c:pt idx="9">
                  <c:v>1038.375</c:v>
                </c:pt>
                <c:pt idx="10">
                  <c:v>1100</c:v>
                </c:pt>
                <c:pt idx="11">
                  <c:v>1100</c:v>
                </c:pt>
                <c:pt idx="12">
                  <c:v>1100</c:v>
                </c:pt>
                <c:pt idx="13">
                  <c:v>1094.5</c:v>
                </c:pt>
                <c:pt idx="14">
                  <c:v>912.5</c:v>
                </c:pt>
                <c:pt idx="15">
                  <c:v>850</c:v>
                </c:pt>
                <c:pt idx="16">
                  <c:v>787.5</c:v>
                </c:pt>
                <c:pt idx="17">
                  <c:v>725</c:v>
                </c:pt>
                <c:pt idx="18">
                  <c:v>662.5</c:v>
                </c:pt>
                <c:pt idx="19">
                  <c:v>600</c:v>
                </c:pt>
                <c:pt idx="20">
                  <c:v>600</c:v>
                </c:pt>
                <c:pt idx="21">
                  <c:v>0</c:v>
                </c:pt>
              </c:numCache>
            </c:numRef>
          </c:xVal>
          <c:yVal>
            <c:numRef>
              <c:f>Data!$C$180:$X$180</c:f>
              <c:numCache>
                <c:formatCode>0.00</c:formatCode>
                <c:ptCount val="22"/>
                <c:pt idx="0">
                  <c:v>9.5</c:v>
                </c:pt>
                <c:pt idx="1">
                  <c:v>9.5</c:v>
                </c:pt>
                <c:pt idx="2">
                  <c:v>9.5</c:v>
                </c:pt>
                <c:pt idx="3">
                  <c:v>9.5</c:v>
                </c:pt>
                <c:pt idx="4">
                  <c:v>9.5</c:v>
                </c:pt>
                <c:pt idx="5">
                  <c:v>9.5</c:v>
                </c:pt>
                <c:pt idx="6">
                  <c:v>9.5</c:v>
                </c:pt>
                <c:pt idx="7">
                  <c:v>9.5</c:v>
                </c:pt>
                <c:pt idx="8">
                  <c:v>9.5</c:v>
                </c:pt>
                <c:pt idx="9">
                  <c:v>9.5</c:v>
                </c:pt>
                <c:pt idx="10">
                  <c:v>9.5</c:v>
                </c:pt>
                <c:pt idx="11">
                  <c:v>9.5</c:v>
                </c:pt>
                <c:pt idx="12">
                  <c:v>9.5</c:v>
                </c:pt>
                <c:pt idx="13">
                  <c:v>5</c:v>
                </c:pt>
                <c:pt idx="14">
                  <c:v>5</c:v>
                </c:pt>
                <c:pt idx="15">
                  <c:v>5</c:v>
                </c:pt>
                <c:pt idx="16">
                  <c:v>5</c:v>
                </c:pt>
                <c:pt idx="17">
                  <c:v>5</c:v>
                </c:pt>
                <c:pt idx="18">
                  <c:v>5</c:v>
                </c:pt>
                <c:pt idx="19">
                  <c:v>5</c:v>
                </c:pt>
                <c:pt idx="20">
                  <c:v>5</c:v>
                </c:pt>
                <c:pt idx="21">
                  <c:v>5</c:v>
                </c:pt>
              </c:numCache>
            </c:numRef>
          </c:yVal>
          <c:smooth val="0"/>
          <c:extLst>
            <c:ext xmlns:c16="http://schemas.microsoft.com/office/drawing/2014/chart" uri="{C3380CC4-5D6E-409C-BE32-E72D297353CC}">
              <c16:uniqueId val="{00000009-8F97-4817-924F-AD6FC7837199}"/>
            </c:ext>
          </c:extLst>
        </c:ser>
        <c:ser>
          <c:idx val="10"/>
          <c:order val="10"/>
          <c:tx>
            <c:strRef>
              <c:f>Data!$A$182</c:f>
              <c:strCache>
                <c:ptCount val="1"/>
                <c:pt idx="0">
                  <c:v>TV 14.1 EH</c:v>
                </c:pt>
              </c:strCache>
            </c:strRef>
          </c:tx>
          <c:spPr>
            <a:ln>
              <a:solidFill>
                <a:srgbClr val="FFFF00"/>
              </a:solidFill>
              <a:prstDash val="dash"/>
            </a:ln>
          </c:spPr>
          <c:marker>
            <c:symbol val="none"/>
          </c:marker>
          <c:xVal>
            <c:numRef>
              <c:f>Data!$C$183:$X$183</c:f>
              <c:numCache>
                <c:formatCode>General</c:formatCode>
                <c:ptCount val="22"/>
                <c:pt idx="0">
                  <c:v>0</c:v>
                </c:pt>
                <c:pt idx="1">
                  <c:v>600</c:v>
                </c:pt>
                <c:pt idx="2">
                  <c:v>600</c:v>
                </c:pt>
                <c:pt idx="3">
                  <c:v>817.25</c:v>
                </c:pt>
                <c:pt idx="4">
                  <c:v>1034.5</c:v>
                </c:pt>
                <c:pt idx="5">
                  <c:v>1251.75</c:v>
                </c:pt>
                <c:pt idx="6">
                  <c:v>1469</c:v>
                </c:pt>
                <c:pt idx="7">
                  <c:v>1686.25</c:v>
                </c:pt>
                <c:pt idx="8">
                  <c:v>1903.5</c:v>
                </c:pt>
                <c:pt idx="9">
                  <c:v>2120.75</c:v>
                </c:pt>
                <c:pt idx="10">
                  <c:v>2338</c:v>
                </c:pt>
                <c:pt idx="11">
                  <c:v>2337</c:v>
                </c:pt>
                <c:pt idx="12">
                  <c:v>2337</c:v>
                </c:pt>
                <c:pt idx="13">
                  <c:v>1902.75</c:v>
                </c:pt>
                <c:pt idx="14">
                  <c:v>1685.625</c:v>
                </c:pt>
                <c:pt idx="15">
                  <c:v>1468.5</c:v>
                </c:pt>
                <c:pt idx="16">
                  <c:v>1251.375</c:v>
                </c:pt>
                <c:pt idx="17">
                  <c:v>1034.25</c:v>
                </c:pt>
                <c:pt idx="18">
                  <c:v>817.125</c:v>
                </c:pt>
                <c:pt idx="19">
                  <c:v>600</c:v>
                </c:pt>
                <c:pt idx="20">
                  <c:v>600</c:v>
                </c:pt>
                <c:pt idx="21">
                  <c:v>0</c:v>
                </c:pt>
              </c:numCache>
            </c:numRef>
          </c:xVal>
          <c:yVal>
            <c:numRef>
              <c:f>Data!$C$190:$X$190</c:f>
              <c:numCache>
                <c:formatCode>0.00</c:formatCode>
                <c:ptCount val="22"/>
                <c:pt idx="0">
                  <c:v>9.5</c:v>
                </c:pt>
                <c:pt idx="1">
                  <c:v>9.5</c:v>
                </c:pt>
                <c:pt idx="2">
                  <c:v>9.5</c:v>
                </c:pt>
                <c:pt idx="3">
                  <c:v>9.5</c:v>
                </c:pt>
                <c:pt idx="4">
                  <c:v>9.5</c:v>
                </c:pt>
                <c:pt idx="5">
                  <c:v>9.5</c:v>
                </c:pt>
                <c:pt idx="6">
                  <c:v>9.5</c:v>
                </c:pt>
                <c:pt idx="7">
                  <c:v>9.2533943967928813</c:v>
                </c:pt>
                <c:pt idx="8">
                  <c:v>8.0283181873610587</c:v>
                </c:pt>
                <c:pt idx="9">
                  <c:v>6.6102571390133997</c:v>
                </c:pt>
                <c:pt idx="10">
                  <c:v>4.9992112517499034</c:v>
                </c:pt>
                <c:pt idx="11">
                  <c:v>5</c:v>
                </c:pt>
                <c:pt idx="12">
                  <c:v>5</c:v>
                </c:pt>
                <c:pt idx="13">
                  <c:v>5</c:v>
                </c:pt>
                <c:pt idx="14">
                  <c:v>5</c:v>
                </c:pt>
                <c:pt idx="15">
                  <c:v>5</c:v>
                </c:pt>
                <c:pt idx="16">
                  <c:v>5</c:v>
                </c:pt>
                <c:pt idx="17">
                  <c:v>5</c:v>
                </c:pt>
                <c:pt idx="18">
                  <c:v>5</c:v>
                </c:pt>
                <c:pt idx="19">
                  <c:v>5</c:v>
                </c:pt>
                <c:pt idx="20">
                  <c:v>5</c:v>
                </c:pt>
                <c:pt idx="21">
                  <c:v>5</c:v>
                </c:pt>
              </c:numCache>
            </c:numRef>
          </c:yVal>
          <c:smooth val="0"/>
          <c:extLst>
            <c:ext xmlns:c16="http://schemas.microsoft.com/office/drawing/2014/chart" uri="{C3380CC4-5D6E-409C-BE32-E72D297353CC}">
              <c16:uniqueId val="{0000000A-8F97-4817-924F-AD6FC7837199}"/>
            </c:ext>
          </c:extLst>
        </c:ser>
        <c:dLbls>
          <c:showLegendKey val="0"/>
          <c:showVal val="0"/>
          <c:showCatName val="0"/>
          <c:showSerName val="0"/>
          <c:showPercent val="0"/>
          <c:showBubbleSize val="0"/>
        </c:dLbls>
        <c:axId val="356036096"/>
        <c:axId val="356036656"/>
      </c:scatterChart>
      <c:valAx>
        <c:axId val="356036096"/>
        <c:scaling>
          <c:orientation val="minMax"/>
          <c:min val="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400" b="0" i="0" u="none" strike="noStrike" baseline="0">
                    <a:solidFill>
                      <a:srgbClr val="000000"/>
                    </a:solidFill>
                    <a:latin typeface="Arial"/>
                    <a:ea typeface="Arial"/>
                    <a:cs typeface="Arial"/>
                  </a:defRPr>
                </a:pPr>
                <a:r>
                  <a:rPr lang="pl-PL"/>
                  <a:t>qN l/h</a:t>
                </a:r>
              </a:p>
            </c:rich>
          </c:tx>
          <c:layout>
            <c:manualLayout>
              <c:xMode val="edge"/>
              <c:yMode val="edge"/>
              <c:x val="0.41914011539696788"/>
              <c:y val="0.930824876057160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6036656"/>
        <c:crosses val="autoZero"/>
        <c:crossBetween val="midCat"/>
        <c:majorUnit val="500"/>
        <c:minorUnit val="100"/>
      </c:valAx>
      <c:valAx>
        <c:axId val="356036656"/>
        <c:scaling>
          <c:orientation val="minMax"/>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pl-PL"/>
                  <a:t>p0 bar</a:t>
                </a:r>
              </a:p>
            </c:rich>
          </c:tx>
          <c:layout>
            <c:manualLayout>
              <c:xMode val="edge"/>
              <c:yMode val="edge"/>
              <c:x val="2.7107988083768027E-2"/>
              <c:y val="0.43340347039953353"/>
            </c:manualLayout>
          </c:layout>
          <c:overlay val="0"/>
          <c:spPr>
            <a:noFill/>
            <a:ln w="25400">
              <a:noFill/>
            </a:ln>
          </c:spPr>
        </c:title>
        <c:numFmt formatCode="0.0" sourceLinked="1"/>
        <c:majorTickMark val="out"/>
        <c:minorTickMark val="out"/>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6036096"/>
        <c:crosses val="autoZero"/>
        <c:crossBetween val="midCat"/>
        <c:majorUnit val="1"/>
        <c:minorUnit val="0.5"/>
      </c:valAx>
      <c:spPr>
        <a:solidFill>
          <a:srgbClr val="CCCCFF"/>
        </a:solidFill>
        <a:ln w="12700">
          <a:solidFill>
            <a:srgbClr val="CCCCFF"/>
          </a:solidFill>
          <a:prstDash val="solid"/>
        </a:ln>
      </c:spPr>
    </c:plotArea>
    <c:legend>
      <c:legendPos val="r"/>
      <c:layout>
        <c:manualLayout>
          <c:xMode val="edge"/>
          <c:yMode val="edge"/>
          <c:x val="0.83367841678018184"/>
          <c:y val="0.38714260717410343"/>
          <c:w val="7.661367487291941E-2"/>
          <c:h val="0.40841163604549435"/>
        </c:manualLayout>
      </c:layout>
      <c:overlay val="0"/>
      <c:spPr>
        <a:solidFill>
          <a:srgbClr val="FFFFFF"/>
        </a:solidFill>
        <a:ln w="25400">
          <a:noFill/>
        </a:ln>
      </c:spPr>
      <c:txPr>
        <a:bodyPr/>
        <a:lstStyle/>
        <a:p>
          <a:pPr>
            <a:defRPr sz="108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022" footer="0.4921259845000002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a:t>Transfero TV.2 Connect - p0/qN </a:t>
            </a:r>
          </a:p>
        </c:rich>
      </c:tx>
      <c:layout>
        <c:manualLayout>
          <c:xMode val="edge"/>
          <c:yMode val="edge"/>
          <c:x val="0.39387366136195051"/>
          <c:y val="2.7149373318626453E-2"/>
        </c:manualLayout>
      </c:layout>
      <c:overlay val="0"/>
      <c:spPr>
        <a:noFill/>
        <a:ln w="25400">
          <a:noFill/>
        </a:ln>
      </c:spPr>
    </c:title>
    <c:autoTitleDeleted val="0"/>
    <c:plotArea>
      <c:layout>
        <c:manualLayout>
          <c:layoutTarget val="inner"/>
          <c:xMode val="edge"/>
          <c:yMode val="edge"/>
          <c:x val="8.3125976993110404E-2"/>
          <c:y val="0.13040760310173441"/>
          <c:w val="0.70346472368837765"/>
          <c:h val="0.7379824408672323"/>
        </c:manualLayout>
      </c:layout>
      <c:scatterChart>
        <c:scatterStyle val="smoothMarker"/>
        <c:varyColors val="0"/>
        <c:ser>
          <c:idx val="4"/>
          <c:order val="0"/>
          <c:tx>
            <c:v>Arbeitspunkt</c:v>
          </c:tx>
          <c:spPr>
            <a:ln w="28575">
              <a:noFill/>
            </a:ln>
          </c:spPr>
          <c:marker>
            <c:symbol val="diamond"/>
            <c:size val="10"/>
            <c:spPr>
              <a:solidFill>
                <a:srgbClr val="000000"/>
              </a:solidFill>
              <a:ln w="9525">
                <a:noFill/>
              </a:ln>
            </c:spPr>
          </c:marker>
          <c:xVal>
            <c:numRef>
              <c:f>'Selection pman-p0-qN'!$P$25</c:f>
              <c:numCache>
                <c:formatCode>General</c:formatCode>
                <c:ptCount val="1"/>
                <c:pt idx="0">
                  <c:v>1739.52</c:v>
                </c:pt>
              </c:numCache>
            </c:numRef>
          </c:xVal>
          <c:yVal>
            <c:numRef>
              <c:f>'Selection pman-p0-qN'!$P$22</c:f>
              <c:numCache>
                <c:formatCode>0.0</c:formatCode>
                <c:ptCount val="1"/>
                <c:pt idx="0">
                  <c:v>3.4284000000000003</c:v>
                </c:pt>
              </c:numCache>
            </c:numRef>
          </c:yVal>
          <c:smooth val="0"/>
          <c:extLst>
            <c:ext xmlns:c16="http://schemas.microsoft.com/office/drawing/2014/chart" uri="{C3380CC4-5D6E-409C-BE32-E72D297353CC}">
              <c16:uniqueId val="{00000000-1F9A-4401-A3C2-FCB68B8A4688}"/>
            </c:ext>
          </c:extLst>
        </c:ser>
        <c:ser>
          <c:idx val="0"/>
          <c:order val="1"/>
          <c:tx>
            <c:strRef>
              <c:f>Data!$A$72</c:f>
              <c:strCache>
                <c:ptCount val="1"/>
                <c:pt idx="0">
                  <c:v>TV 4.2 EH</c:v>
                </c:pt>
              </c:strCache>
            </c:strRef>
          </c:tx>
          <c:spPr>
            <a:ln w="28575">
              <a:solidFill>
                <a:srgbClr val="FF0000"/>
              </a:solidFill>
              <a:prstDash val="solid"/>
            </a:ln>
          </c:spPr>
          <c:marker>
            <c:symbol val="none"/>
          </c:marker>
          <c:xVal>
            <c:numRef>
              <c:f>Data!$C$73:$X$73</c:f>
              <c:numCache>
                <c:formatCode>General</c:formatCode>
                <c:ptCount val="22"/>
                <c:pt idx="0">
                  <c:v>0</c:v>
                </c:pt>
                <c:pt idx="1">
                  <c:v>600</c:v>
                </c:pt>
                <c:pt idx="2">
                  <c:v>600</c:v>
                </c:pt>
                <c:pt idx="3">
                  <c:v>1038.625</c:v>
                </c:pt>
                <c:pt idx="4">
                  <c:v>1477.25</c:v>
                </c:pt>
                <c:pt idx="5">
                  <c:v>1915.875</c:v>
                </c:pt>
                <c:pt idx="6">
                  <c:v>2354.5</c:v>
                </c:pt>
                <c:pt idx="7">
                  <c:v>2793.125</c:v>
                </c:pt>
                <c:pt idx="8">
                  <c:v>3231.75</c:v>
                </c:pt>
                <c:pt idx="9">
                  <c:v>3670.375</c:v>
                </c:pt>
                <c:pt idx="10">
                  <c:v>4109</c:v>
                </c:pt>
                <c:pt idx="11">
                  <c:v>4108</c:v>
                </c:pt>
                <c:pt idx="12">
                  <c:v>4108</c:v>
                </c:pt>
                <c:pt idx="13">
                  <c:v>3231</c:v>
                </c:pt>
                <c:pt idx="14">
                  <c:v>2792.5</c:v>
                </c:pt>
                <c:pt idx="15">
                  <c:v>2354</c:v>
                </c:pt>
                <c:pt idx="16">
                  <c:v>1915.5</c:v>
                </c:pt>
                <c:pt idx="17">
                  <c:v>1477</c:v>
                </c:pt>
                <c:pt idx="18">
                  <c:v>1038.5</c:v>
                </c:pt>
                <c:pt idx="19">
                  <c:v>600</c:v>
                </c:pt>
                <c:pt idx="20">
                  <c:v>600</c:v>
                </c:pt>
                <c:pt idx="21">
                  <c:v>0</c:v>
                </c:pt>
              </c:numCache>
            </c:numRef>
          </c:xVal>
          <c:yVal>
            <c:numRef>
              <c:f>Data!$C$80:$X$80</c:f>
              <c:numCache>
                <c:formatCode>0.00</c:formatCode>
                <c:ptCount val="22"/>
                <c:pt idx="0">
                  <c:v>2</c:v>
                </c:pt>
                <c:pt idx="1">
                  <c:v>2</c:v>
                </c:pt>
                <c:pt idx="2">
                  <c:v>2</c:v>
                </c:pt>
                <c:pt idx="3">
                  <c:v>2</c:v>
                </c:pt>
                <c:pt idx="4">
                  <c:v>2</c:v>
                </c:pt>
                <c:pt idx="5">
                  <c:v>2</c:v>
                </c:pt>
                <c:pt idx="6">
                  <c:v>2</c:v>
                </c:pt>
                <c:pt idx="7">
                  <c:v>2</c:v>
                </c:pt>
                <c:pt idx="8">
                  <c:v>1.8397275804041238</c:v>
                </c:pt>
                <c:pt idx="9">
                  <c:v>1.3470441940418127</c:v>
                </c:pt>
                <c:pt idx="10">
                  <c:v>0.80307959506635007</c:v>
                </c:pt>
                <c:pt idx="11">
                  <c:v>0.80213456790123416</c:v>
                </c:pt>
                <c:pt idx="12">
                  <c:v>0.80213456790123416</c:v>
                </c:pt>
                <c:pt idx="13">
                  <c:v>0.5</c:v>
                </c:pt>
                <c:pt idx="14">
                  <c:v>0.5</c:v>
                </c:pt>
                <c:pt idx="15">
                  <c:v>0.5</c:v>
                </c:pt>
                <c:pt idx="16">
                  <c:v>0.5</c:v>
                </c:pt>
                <c:pt idx="17">
                  <c:v>0.5</c:v>
                </c:pt>
                <c:pt idx="18">
                  <c:v>0.5</c:v>
                </c:pt>
                <c:pt idx="19">
                  <c:v>0.5</c:v>
                </c:pt>
                <c:pt idx="20">
                  <c:v>0.5</c:v>
                </c:pt>
                <c:pt idx="21">
                  <c:v>0.5</c:v>
                </c:pt>
              </c:numCache>
            </c:numRef>
          </c:yVal>
          <c:smooth val="0"/>
          <c:extLst>
            <c:ext xmlns:c16="http://schemas.microsoft.com/office/drawing/2014/chart" uri="{C3380CC4-5D6E-409C-BE32-E72D297353CC}">
              <c16:uniqueId val="{00000001-1F9A-4401-A3C2-FCB68B8A4688}"/>
            </c:ext>
          </c:extLst>
        </c:ser>
        <c:ser>
          <c:idx val="1"/>
          <c:order val="2"/>
          <c:tx>
            <c:strRef>
              <c:f>Data!$A$102</c:f>
              <c:strCache>
                <c:ptCount val="1"/>
                <c:pt idx="0">
                  <c:v>TV 6.2 EH</c:v>
                </c:pt>
              </c:strCache>
            </c:strRef>
          </c:tx>
          <c:spPr>
            <a:ln>
              <a:solidFill>
                <a:schemeClr val="accent1"/>
              </a:solidFill>
            </a:ln>
          </c:spPr>
          <c:marker>
            <c:symbol val="none"/>
          </c:marker>
          <c:xVal>
            <c:numRef>
              <c:f>Data!$C$103:$X$103</c:f>
              <c:numCache>
                <c:formatCode>General</c:formatCode>
                <c:ptCount val="22"/>
                <c:pt idx="0">
                  <c:v>0</c:v>
                </c:pt>
                <c:pt idx="1">
                  <c:v>600</c:v>
                </c:pt>
                <c:pt idx="2">
                  <c:v>600</c:v>
                </c:pt>
                <c:pt idx="3">
                  <c:v>1107.6875</c:v>
                </c:pt>
                <c:pt idx="4">
                  <c:v>1615.375</c:v>
                </c:pt>
                <c:pt idx="5">
                  <c:v>2123.0625</c:v>
                </c:pt>
                <c:pt idx="6">
                  <c:v>2630.75</c:v>
                </c:pt>
                <c:pt idx="7">
                  <c:v>3138.4375</c:v>
                </c:pt>
                <c:pt idx="8">
                  <c:v>3646.125</c:v>
                </c:pt>
                <c:pt idx="9">
                  <c:v>4153.8125</c:v>
                </c:pt>
                <c:pt idx="10">
                  <c:v>4661.5</c:v>
                </c:pt>
                <c:pt idx="11">
                  <c:v>4660.5</c:v>
                </c:pt>
                <c:pt idx="12">
                  <c:v>4660.5</c:v>
                </c:pt>
                <c:pt idx="13">
                  <c:v>3645.375</c:v>
                </c:pt>
                <c:pt idx="14">
                  <c:v>3137.8125</c:v>
                </c:pt>
                <c:pt idx="15">
                  <c:v>2630.25</c:v>
                </c:pt>
                <c:pt idx="16">
                  <c:v>2122.6875</c:v>
                </c:pt>
                <c:pt idx="17">
                  <c:v>1615.125</c:v>
                </c:pt>
                <c:pt idx="18">
                  <c:v>1107.5625</c:v>
                </c:pt>
                <c:pt idx="19">
                  <c:v>600</c:v>
                </c:pt>
                <c:pt idx="20">
                  <c:v>600</c:v>
                </c:pt>
                <c:pt idx="21">
                  <c:v>0</c:v>
                </c:pt>
              </c:numCache>
            </c:numRef>
          </c:xVal>
          <c:yVal>
            <c:numRef>
              <c:f>Data!$C$110:$X$110</c:f>
              <c:numCache>
                <c:formatCode>0.00</c:formatCode>
                <c:ptCount val="22"/>
                <c:pt idx="0">
                  <c:v>3</c:v>
                </c:pt>
                <c:pt idx="1">
                  <c:v>3</c:v>
                </c:pt>
                <c:pt idx="2">
                  <c:v>3</c:v>
                </c:pt>
                <c:pt idx="3">
                  <c:v>3</c:v>
                </c:pt>
                <c:pt idx="4">
                  <c:v>3</c:v>
                </c:pt>
                <c:pt idx="5">
                  <c:v>3</c:v>
                </c:pt>
                <c:pt idx="6">
                  <c:v>3</c:v>
                </c:pt>
                <c:pt idx="7">
                  <c:v>3</c:v>
                </c:pt>
                <c:pt idx="8">
                  <c:v>2.6062457737213967</c:v>
                </c:pt>
                <c:pt idx="9">
                  <c:v>1.9323509443828089</c:v>
                </c:pt>
                <c:pt idx="10">
                  <c:v>1.1766977084278216</c:v>
                </c:pt>
                <c:pt idx="11">
                  <c:v>1.1759460069444443</c:v>
                </c:pt>
                <c:pt idx="12">
                  <c:v>1.1759460069444443</c:v>
                </c:pt>
                <c:pt idx="13">
                  <c:v>1</c:v>
                </c:pt>
                <c:pt idx="14">
                  <c:v>1</c:v>
                </c:pt>
                <c:pt idx="15">
                  <c:v>1</c:v>
                </c:pt>
                <c:pt idx="16">
                  <c:v>1</c:v>
                </c:pt>
                <c:pt idx="17">
                  <c:v>1</c:v>
                </c:pt>
                <c:pt idx="18">
                  <c:v>1</c:v>
                </c:pt>
                <c:pt idx="19">
                  <c:v>1</c:v>
                </c:pt>
                <c:pt idx="20">
                  <c:v>1</c:v>
                </c:pt>
                <c:pt idx="21">
                  <c:v>1</c:v>
                </c:pt>
              </c:numCache>
            </c:numRef>
          </c:yVal>
          <c:smooth val="0"/>
          <c:extLst>
            <c:ext xmlns:c16="http://schemas.microsoft.com/office/drawing/2014/chart" uri="{C3380CC4-5D6E-409C-BE32-E72D297353CC}">
              <c16:uniqueId val="{00000002-1F9A-4401-A3C2-FCB68B8A4688}"/>
            </c:ext>
          </c:extLst>
        </c:ser>
        <c:ser>
          <c:idx val="3"/>
          <c:order val="3"/>
          <c:tx>
            <c:strRef>
              <c:f>Data!$A$132</c:f>
              <c:strCache>
                <c:ptCount val="1"/>
                <c:pt idx="0">
                  <c:v>TV 8.2 EH</c:v>
                </c:pt>
              </c:strCache>
            </c:strRef>
          </c:tx>
          <c:spPr>
            <a:ln w="28575">
              <a:solidFill>
                <a:srgbClr val="92D050"/>
              </a:solidFill>
            </a:ln>
          </c:spPr>
          <c:marker>
            <c:symbol val="none"/>
          </c:marker>
          <c:xVal>
            <c:numRef>
              <c:f>Data!$C$133:$X$133</c:f>
              <c:numCache>
                <c:formatCode>General</c:formatCode>
                <c:ptCount val="22"/>
                <c:pt idx="0">
                  <c:v>0</c:v>
                </c:pt>
                <c:pt idx="1">
                  <c:v>600</c:v>
                </c:pt>
                <c:pt idx="2">
                  <c:v>600</c:v>
                </c:pt>
                <c:pt idx="3">
                  <c:v>1142.5</c:v>
                </c:pt>
                <c:pt idx="4">
                  <c:v>1685</c:v>
                </c:pt>
                <c:pt idx="5">
                  <c:v>2227.5</c:v>
                </c:pt>
                <c:pt idx="6">
                  <c:v>2770</c:v>
                </c:pt>
                <c:pt idx="7">
                  <c:v>3312.5</c:v>
                </c:pt>
                <c:pt idx="8">
                  <c:v>3855</c:v>
                </c:pt>
                <c:pt idx="9">
                  <c:v>4397.5</c:v>
                </c:pt>
                <c:pt idx="10">
                  <c:v>4940</c:v>
                </c:pt>
                <c:pt idx="11">
                  <c:v>4939</c:v>
                </c:pt>
                <c:pt idx="12">
                  <c:v>4939</c:v>
                </c:pt>
                <c:pt idx="13">
                  <c:v>3854.25</c:v>
                </c:pt>
                <c:pt idx="14">
                  <c:v>3311.875</c:v>
                </c:pt>
                <c:pt idx="15">
                  <c:v>2769.5</c:v>
                </c:pt>
                <c:pt idx="16">
                  <c:v>2227.125</c:v>
                </c:pt>
                <c:pt idx="17">
                  <c:v>1684.75</c:v>
                </c:pt>
                <c:pt idx="18">
                  <c:v>1142.375</c:v>
                </c:pt>
                <c:pt idx="19">
                  <c:v>600</c:v>
                </c:pt>
                <c:pt idx="20">
                  <c:v>600</c:v>
                </c:pt>
                <c:pt idx="21">
                  <c:v>0</c:v>
                </c:pt>
              </c:numCache>
            </c:numRef>
          </c:xVal>
          <c:yVal>
            <c:numRef>
              <c:f>Data!$C$140:$X$140</c:f>
              <c:numCache>
                <c:formatCode>0.00</c:formatCode>
                <c:ptCount val="22"/>
                <c:pt idx="0">
                  <c:v>4</c:v>
                </c:pt>
                <c:pt idx="1">
                  <c:v>4</c:v>
                </c:pt>
                <c:pt idx="2">
                  <c:v>4</c:v>
                </c:pt>
                <c:pt idx="3">
                  <c:v>4</c:v>
                </c:pt>
                <c:pt idx="4">
                  <c:v>4</c:v>
                </c:pt>
                <c:pt idx="5">
                  <c:v>4</c:v>
                </c:pt>
                <c:pt idx="6">
                  <c:v>4</c:v>
                </c:pt>
                <c:pt idx="7">
                  <c:v>3.8694998734242736</c:v>
                </c:pt>
                <c:pt idx="8">
                  <c:v>3.169004518766616</c:v>
                </c:pt>
                <c:pt idx="9">
                  <c:v>2.3792996713885581</c:v>
                </c:pt>
                <c:pt idx="10">
                  <c:v>1.5004343389239909</c:v>
                </c:pt>
                <c:pt idx="11">
                  <c:v>1.5</c:v>
                </c:pt>
                <c:pt idx="12">
                  <c:v>1.5</c:v>
                </c:pt>
                <c:pt idx="13">
                  <c:v>1.5</c:v>
                </c:pt>
                <c:pt idx="14">
                  <c:v>1.5</c:v>
                </c:pt>
                <c:pt idx="15">
                  <c:v>1.5</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3-1F9A-4401-A3C2-FCB68B8A4688}"/>
            </c:ext>
          </c:extLst>
        </c:ser>
        <c:ser>
          <c:idx val="7"/>
          <c:order val="4"/>
          <c:tx>
            <c:strRef>
              <c:f>Data!$A$162</c:f>
              <c:strCache>
                <c:ptCount val="1"/>
                <c:pt idx="0">
                  <c:v>TV 10.2 EH</c:v>
                </c:pt>
              </c:strCache>
            </c:strRef>
          </c:tx>
          <c:spPr>
            <a:ln>
              <a:solidFill>
                <a:schemeClr val="accent6"/>
              </a:solidFill>
            </a:ln>
          </c:spPr>
          <c:marker>
            <c:symbol val="none"/>
          </c:marker>
          <c:xVal>
            <c:numRef>
              <c:f>Data!$C$163:$X$163</c:f>
              <c:numCache>
                <c:formatCode>General</c:formatCode>
                <c:ptCount val="22"/>
                <c:pt idx="0">
                  <c:v>0</c:v>
                </c:pt>
                <c:pt idx="1">
                  <c:v>600</c:v>
                </c:pt>
                <c:pt idx="2">
                  <c:v>600</c:v>
                </c:pt>
                <c:pt idx="3">
                  <c:v>1142.875</c:v>
                </c:pt>
                <c:pt idx="4">
                  <c:v>1685.75</c:v>
                </c:pt>
                <c:pt idx="5">
                  <c:v>2228.625</c:v>
                </c:pt>
                <c:pt idx="6">
                  <c:v>2771.5</c:v>
                </c:pt>
                <c:pt idx="7">
                  <c:v>3314.375</c:v>
                </c:pt>
                <c:pt idx="8">
                  <c:v>3857.25</c:v>
                </c:pt>
                <c:pt idx="9">
                  <c:v>4400.125</c:v>
                </c:pt>
                <c:pt idx="10">
                  <c:v>4943</c:v>
                </c:pt>
                <c:pt idx="11">
                  <c:v>4942</c:v>
                </c:pt>
                <c:pt idx="12">
                  <c:v>4942</c:v>
                </c:pt>
                <c:pt idx="13">
                  <c:v>3856.5</c:v>
                </c:pt>
                <c:pt idx="14">
                  <c:v>3313.75</c:v>
                </c:pt>
                <c:pt idx="15">
                  <c:v>2771</c:v>
                </c:pt>
                <c:pt idx="16">
                  <c:v>2228.25</c:v>
                </c:pt>
                <c:pt idx="17">
                  <c:v>1685.5</c:v>
                </c:pt>
                <c:pt idx="18">
                  <c:v>1142.75</c:v>
                </c:pt>
                <c:pt idx="19">
                  <c:v>600</c:v>
                </c:pt>
                <c:pt idx="20">
                  <c:v>600</c:v>
                </c:pt>
                <c:pt idx="21">
                  <c:v>0</c:v>
                </c:pt>
              </c:numCache>
            </c:numRef>
          </c:xVal>
          <c:yVal>
            <c:numRef>
              <c:f>Data!$C$170:$X$170</c:f>
              <c:numCache>
                <c:formatCode>0.00</c:formatCode>
                <c:ptCount val="22"/>
                <c:pt idx="0">
                  <c:v>6</c:v>
                </c:pt>
                <c:pt idx="1">
                  <c:v>6</c:v>
                </c:pt>
                <c:pt idx="2">
                  <c:v>6</c:v>
                </c:pt>
                <c:pt idx="3">
                  <c:v>6</c:v>
                </c:pt>
                <c:pt idx="4">
                  <c:v>6</c:v>
                </c:pt>
                <c:pt idx="5">
                  <c:v>6</c:v>
                </c:pt>
                <c:pt idx="6">
                  <c:v>6</c:v>
                </c:pt>
                <c:pt idx="7">
                  <c:v>5.7542981944059504</c:v>
                </c:pt>
                <c:pt idx="8">
                  <c:v>4.9436497364144829</c:v>
                </c:pt>
                <c:pt idx="9">
                  <c:v>4.0267106877947763</c:v>
                </c:pt>
                <c:pt idx="10">
                  <c:v>3.0034810485468335</c:v>
                </c:pt>
                <c:pt idx="11">
                  <c:v>3</c:v>
                </c:pt>
                <c:pt idx="12">
                  <c:v>3</c:v>
                </c:pt>
                <c:pt idx="13">
                  <c:v>3</c:v>
                </c:pt>
                <c:pt idx="14">
                  <c:v>3</c:v>
                </c:pt>
                <c:pt idx="15">
                  <c:v>3</c:v>
                </c:pt>
                <c:pt idx="16">
                  <c:v>3</c:v>
                </c:pt>
                <c:pt idx="17">
                  <c:v>3</c:v>
                </c:pt>
                <c:pt idx="18">
                  <c:v>3</c:v>
                </c:pt>
                <c:pt idx="19">
                  <c:v>3</c:v>
                </c:pt>
                <c:pt idx="20">
                  <c:v>3</c:v>
                </c:pt>
                <c:pt idx="21">
                  <c:v>3</c:v>
                </c:pt>
              </c:numCache>
            </c:numRef>
          </c:yVal>
          <c:smooth val="0"/>
          <c:extLst>
            <c:ext xmlns:c16="http://schemas.microsoft.com/office/drawing/2014/chart" uri="{C3380CC4-5D6E-409C-BE32-E72D297353CC}">
              <c16:uniqueId val="{00000004-1F9A-4401-A3C2-FCB68B8A4688}"/>
            </c:ext>
          </c:extLst>
        </c:ser>
        <c:ser>
          <c:idx val="9"/>
          <c:order val="5"/>
          <c:tx>
            <c:strRef>
              <c:f>Data!$A$192</c:f>
              <c:strCache>
                <c:ptCount val="1"/>
                <c:pt idx="0">
                  <c:v>TV 14.2 EH</c:v>
                </c:pt>
              </c:strCache>
            </c:strRef>
          </c:tx>
          <c:spPr>
            <a:ln>
              <a:solidFill>
                <a:srgbClr val="FFFF00"/>
              </a:solidFill>
            </a:ln>
          </c:spPr>
          <c:marker>
            <c:symbol val="none"/>
          </c:marker>
          <c:xVal>
            <c:numRef>
              <c:f>Data!$C$193:$X$193</c:f>
              <c:numCache>
                <c:formatCode>General</c:formatCode>
                <c:ptCount val="22"/>
                <c:pt idx="0">
                  <c:v>0</c:v>
                </c:pt>
                <c:pt idx="1">
                  <c:v>600</c:v>
                </c:pt>
                <c:pt idx="2">
                  <c:v>600</c:v>
                </c:pt>
                <c:pt idx="3">
                  <c:v>1065.25</c:v>
                </c:pt>
                <c:pt idx="4">
                  <c:v>1530.5</c:v>
                </c:pt>
                <c:pt idx="5">
                  <c:v>1995.75</c:v>
                </c:pt>
                <c:pt idx="6">
                  <c:v>2461</c:v>
                </c:pt>
                <c:pt idx="7">
                  <c:v>2926.25</c:v>
                </c:pt>
                <c:pt idx="8">
                  <c:v>3391.5</c:v>
                </c:pt>
                <c:pt idx="9">
                  <c:v>3856.75</c:v>
                </c:pt>
                <c:pt idx="10">
                  <c:v>4322</c:v>
                </c:pt>
                <c:pt idx="11">
                  <c:v>4321</c:v>
                </c:pt>
                <c:pt idx="12">
                  <c:v>4321</c:v>
                </c:pt>
                <c:pt idx="13">
                  <c:v>3390.75</c:v>
                </c:pt>
                <c:pt idx="14">
                  <c:v>2925.625</c:v>
                </c:pt>
                <c:pt idx="15">
                  <c:v>2460.5</c:v>
                </c:pt>
                <c:pt idx="16">
                  <c:v>1995.375</c:v>
                </c:pt>
                <c:pt idx="17">
                  <c:v>1530.25</c:v>
                </c:pt>
                <c:pt idx="18">
                  <c:v>1065.125</c:v>
                </c:pt>
                <c:pt idx="19">
                  <c:v>600</c:v>
                </c:pt>
                <c:pt idx="20">
                  <c:v>600</c:v>
                </c:pt>
                <c:pt idx="21">
                  <c:v>0</c:v>
                </c:pt>
              </c:numCache>
            </c:numRef>
          </c:xVal>
          <c:yVal>
            <c:numRef>
              <c:f>Data!$C$200:$X$200</c:f>
              <c:numCache>
                <c:formatCode>0.00</c:formatCode>
                <c:ptCount val="22"/>
                <c:pt idx="0">
                  <c:v>9.5</c:v>
                </c:pt>
                <c:pt idx="1">
                  <c:v>9.5</c:v>
                </c:pt>
                <c:pt idx="2">
                  <c:v>9.5</c:v>
                </c:pt>
                <c:pt idx="3">
                  <c:v>9.5</c:v>
                </c:pt>
                <c:pt idx="4">
                  <c:v>9.5</c:v>
                </c:pt>
                <c:pt idx="5">
                  <c:v>9.5</c:v>
                </c:pt>
                <c:pt idx="6">
                  <c:v>9.5</c:v>
                </c:pt>
                <c:pt idx="7">
                  <c:v>9.5</c:v>
                </c:pt>
                <c:pt idx="8">
                  <c:v>8.5072527638888893</c:v>
                </c:pt>
                <c:pt idx="9">
                  <c:v>6.8873266161882913</c:v>
                </c:pt>
                <c:pt idx="10">
                  <c:v>4.9997142814169662</c:v>
                </c:pt>
                <c:pt idx="11">
                  <c:v>5</c:v>
                </c:pt>
                <c:pt idx="12">
                  <c:v>5</c:v>
                </c:pt>
                <c:pt idx="13">
                  <c:v>5</c:v>
                </c:pt>
                <c:pt idx="14">
                  <c:v>5</c:v>
                </c:pt>
                <c:pt idx="15">
                  <c:v>5</c:v>
                </c:pt>
                <c:pt idx="16">
                  <c:v>5</c:v>
                </c:pt>
                <c:pt idx="17">
                  <c:v>5</c:v>
                </c:pt>
                <c:pt idx="18">
                  <c:v>5</c:v>
                </c:pt>
                <c:pt idx="19">
                  <c:v>5</c:v>
                </c:pt>
                <c:pt idx="20">
                  <c:v>5</c:v>
                </c:pt>
                <c:pt idx="21">
                  <c:v>5</c:v>
                </c:pt>
              </c:numCache>
            </c:numRef>
          </c:yVal>
          <c:smooth val="0"/>
          <c:extLst>
            <c:ext xmlns:c16="http://schemas.microsoft.com/office/drawing/2014/chart" uri="{C3380CC4-5D6E-409C-BE32-E72D297353CC}">
              <c16:uniqueId val="{00000005-1F9A-4401-A3C2-FCB68B8A4688}"/>
            </c:ext>
          </c:extLst>
        </c:ser>
        <c:dLbls>
          <c:showLegendKey val="0"/>
          <c:showVal val="0"/>
          <c:showCatName val="0"/>
          <c:showSerName val="0"/>
          <c:showPercent val="0"/>
          <c:showBubbleSize val="0"/>
        </c:dLbls>
        <c:axId val="356040576"/>
        <c:axId val="356041136"/>
      </c:scatterChart>
      <c:valAx>
        <c:axId val="356040576"/>
        <c:scaling>
          <c:orientation val="minMax"/>
          <c:min val="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400" b="0" i="0" u="none" strike="noStrike" baseline="0">
                    <a:solidFill>
                      <a:srgbClr val="000000"/>
                    </a:solidFill>
                    <a:latin typeface="Arial"/>
                    <a:ea typeface="Arial"/>
                    <a:cs typeface="Arial"/>
                  </a:defRPr>
                </a:pPr>
                <a:r>
                  <a:rPr lang="pl-PL"/>
                  <a:t>qN l/h</a:t>
                </a:r>
              </a:p>
            </c:rich>
          </c:tx>
          <c:layout>
            <c:manualLayout>
              <c:xMode val="edge"/>
              <c:yMode val="edge"/>
              <c:x val="0.41914011539696788"/>
              <c:y val="0.930824860484672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6041136"/>
        <c:crosses val="autoZero"/>
        <c:crossBetween val="midCat"/>
        <c:majorUnit val="500"/>
        <c:minorUnit val="100"/>
      </c:valAx>
      <c:valAx>
        <c:axId val="356041136"/>
        <c:scaling>
          <c:orientation val="minMax"/>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pl-PL"/>
                  <a:t>p0 bar</a:t>
                </a:r>
              </a:p>
            </c:rich>
          </c:tx>
          <c:layout>
            <c:manualLayout>
              <c:xMode val="edge"/>
              <c:yMode val="edge"/>
              <c:x val="2.7107988083768027E-2"/>
              <c:y val="0.43340344592848246"/>
            </c:manualLayout>
          </c:layout>
          <c:overlay val="0"/>
          <c:spPr>
            <a:noFill/>
            <a:ln w="25400">
              <a:noFill/>
            </a:ln>
          </c:spPr>
        </c:title>
        <c:numFmt formatCode="0.0" sourceLinked="1"/>
        <c:majorTickMark val="out"/>
        <c:minorTickMark val="out"/>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6040576"/>
        <c:crosses val="autoZero"/>
        <c:crossBetween val="midCat"/>
        <c:majorUnit val="1"/>
        <c:minorUnit val="0.5"/>
      </c:valAx>
      <c:spPr>
        <a:solidFill>
          <a:srgbClr val="CCCCFF"/>
        </a:solidFill>
        <a:ln w="12700">
          <a:solidFill>
            <a:srgbClr val="CCCCFF"/>
          </a:solidFill>
          <a:prstDash val="solid"/>
        </a:ln>
      </c:spPr>
    </c:plotArea>
    <c:legend>
      <c:legendPos val="r"/>
      <c:layout>
        <c:manualLayout>
          <c:xMode val="edge"/>
          <c:yMode val="edge"/>
          <c:x val="0.83367841678018184"/>
          <c:y val="0.38714267512677442"/>
          <c:w val="7.661367487291941E-2"/>
          <c:h val="0.40841161845060631"/>
        </c:manualLayout>
      </c:layout>
      <c:overlay val="0"/>
      <c:spPr>
        <a:solidFill>
          <a:srgbClr val="FFFFFF"/>
        </a:solidFill>
        <a:ln w="25400">
          <a:noFill/>
        </a:ln>
      </c:spPr>
      <c:txPr>
        <a:bodyPr/>
        <a:lstStyle/>
        <a:p>
          <a:pPr>
            <a:defRPr sz="108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028" footer="0.49212598450000028"/>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a:t>Transfero TV.1 Connect - pman/Q </a:t>
            </a:r>
          </a:p>
        </c:rich>
      </c:tx>
      <c:layout>
        <c:manualLayout>
          <c:xMode val="edge"/>
          <c:yMode val="edge"/>
          <c:x val="0.39387366136195051"/>
          <c:y val="2.7149314668999742E-2"/>
        </c:manualLayout>
      </c:layout>
      <c:overlay val="0"/>
      <c:spPr>
        <a:noFill/>
        <a:ln w="25400">
          <a:noFill/>
        </a:ln>
      </c:spPr>
    </c:title>
    <c:autoTitleDeleted val="0"/>
    <c:plotArea>
      <c:layout>
        <c:manualLayout>
          <c:layoutTarget val="inner"/>
          <c:xMode val="edge"/>
          <c:yMode val="edge"/>
          <c:x val="8.3125976993110404E-2"/>
          <c:y val="0.13040760310173441"/>
          <c:w val="0.70346472368837765"/>
          <c:h val="0.7379824408672323"/>
        </c:manualLayout>
      </c:layout>
      <c:scatterChart>
        <c:scatterStyle val="smoothMarker"/>
        <c:varyColors val="0"/>
        <c:ser>
          <c:idx val="4"/>
          <c:order val="0"/>
          <c:tx>
            <c:v>Arbeitspunkt</c:v>
          </c:tx>
          <c:spPr>
            <a:ln w="28575">
              <a:noFill/>
            </a:ln>
          </c:spPr>
          <c:marker>
            <c:symbol val="diamond"/>
            <c:size val="10"/>
            <c:spPr>
              <a:solidFill>
                <a:srgbClr val="000000"/>
              </a:solidFill>
              <a:ln w="9525">
                <a:noFill/>
              </a:ln>
            </c:spPr>
          </c:marker>
          <c:xVal>
            <c:numRef>
              <c:f>'Selection pman-p0-Q'!$P$15</c:f>
              <c:numCache>
                <c:formatCode>General</c:formatCode>
                <c:ptCount val="1"/>
                <c:pt idx="0">
                  <c:v>1000</c:v>
                </c:pt>
              </c:numCache>
            </c:numRef>
          </c:xVal>
          <c:yVal>
            <c:numRef>
              <c:f>'Selection pman-p0-Q'!$P$22</c:f>
              <c:numCache>
                <c:formatCode>0.0</c:formatCode>
                <c:ptCount val="1"/>
                <c:pt idx="0">
                  <c:v>1.8284000000000005</c:v>
                </c:pt>
              </c:numCache>
            </c:numRef>
          </c:yVal>
          <c:smooth val="0"/>
          <c:extLst>
            <c:ext xmlns:c16="http://schemas.microsoft.com/office/drawing/2014/chart" uri="{C3380CC4-5D6E-409C-BE32-E72D297353CC}">
              <c16:uniqueId val="{00000000-0547-432F-8820-DAB7D8146634}"/>
            </c:ext>
          </c:extLst>
        </c:ser>
        <c:ser>
          <c:idx val="0"/>
          <c:order val="1"/>
          <c:tx>
            <c:strRef>
              <c:f>Data!$A$52</c:f>
              <c:strCache>
                <c:ptCount val="1"/>
                <c:pt idx="0">
                  <c:v>TV 4.1 E</c:v>
                </c:pt>
              </c:strCache>
            </c:strRef>
          </c:tx>
          <c:spPr>
            <a:ln w="25400">
              <a:solidFill>
                <a:srgbClr val="FF0000"/>
              </a:solidFill>
              <a:prstDash val="solid"/>
            </a:ln>
          </c:spPr>
          <c:marker>
            <c:symbol val="none"/>
          </c:marker>
          <c:xVal>
            <c:numRef>
              <c:f>Data!$C$54:$X$54</c:f>
              <c:numCache>
                <c:formatCode>0</c:formatCode>
                <c:ptCount val="22"/>
                <c:pt idx="0">
                  <c:v>0</c:v>
                </c:pt>
                <c:pt idx="1">
                  <c:v>1531.25</c:v>
                </c:pt>
                <c:pt idx="2">
                  <c:v>1531.25</c:v>
                </c:pt>
                <c:pt idx="3">
                  <c:v>1728.7174479166665</c:v>
                </c:pt>
                <c:pt idx="4">
                  <c:v>1926.1848958333333</c:v>
                </c:pt>
                <c:pt idx="5">
                  <c:v>2123.65234375</c:v>
                </c:pt>
                <c:pt idx="6">
                  <c:v>2321.1197916666665</c:v>
                </c:pt>
                <c:pt idx="7">
                  <c:v>2518.587239583333</c:v>
                </c:pt>
                <c:pt idx="8">
                  <c:v>2622.8787363636166</c:v>
                </c:pt>
                <c:pt idx="9">
                  <c:v>2622.8787363636166</c:v>
                </c:pt>
                <c:pt idx="10">
                  <c:v>2622.8787363636166</c:v>
                </c:pt>
                <c:pt idx="11">
                  <c:v>2622.8787363636166</c:v>
                </c:pt>
                <c:pt idx="12">
                  <c:v>2622.8787363636166</c:v>
                </c:pt>
                <c:pt idx="13">
                  <c:v>2622.8787363636166</c:v>
                </c:pt>
                <c:pt idx="14">
                  <c:v>2516.9921875</c:v>
                </c:pt>
                <c:pt idx="15">
                  <c:v>2319.84375</c:v>
                </c:pt>
                <c:pt idx="16">
                  <c:v>2122.6953125</c:v>
                </c:pt>
                <c:pt idx="17">
                  <c:v>1925.5468749999998</c:v>
                </c:pt>
                <c:pt idx="18">
                  <c:v>1728.3984375</c:v>
                </c:pt>
                <c:pt idx="19">
                  <c:v>1531.25</c:v>
                </c:pt>
                <c:pt idx="20">
                  <c:v>1531.25</c:v>
                </c:pt>
                <c:pt idx="21">
                  <c:v>0</c:v>
                </c:pt>
              </c:numCache>
            </c:numRef>
          </c:xVal>
          <c:yVal>
            <c:numRef>
              <c:f>Data!$C$59:$X$59</c:f>
              <c:numCache>
                <c:formatCode>0.00</c:formatCode>
                <c:ptCount val="22"/>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2.3022226331360942</c:v>
                </c:pt>
                <c:pt idx="15">
                  <c:v>1.9556946745562129</c:v>
                </c:pt>
                <c:pt idx="16">
                  <c:v>1.6374155325443784</c:v>
                </c:pt>
                <c:pt idx="17">
                  <c:v>1.3473852071005916</c:v>
                </c:pt>
                <c:pt idx="18">
                  <c:v>1.085603698224852</c:v>
                </c:pt>
                <c:pt idx="19">
                  <c:v>1</c:v>
                </c:pt>
                <c:pt idx="20">
                  <c:v>1</c:v>
                </c:pt>
                <c:pt idx="21">
                  <c:v>1</c:v>
                </c:pt>
              </c:numCache>
            </c:numRef>
          </c:yVal>
          <c:smooth val="0"/>
          <c:extLst>
            <c:ext xmlns:c16="http://schemas.microsoft.com/office/drawing/2014/chart" uri="{C3380CC4-5D6E-409C-BE32-E72D297353CC}">
              <c16:uniqueId val="{00000001-0547-432F-8820-DAB7D8146634}"/>
            </c:ext>
          </c:extLst>
        </c:ser>
        <c:ser>
          <c:idx val="5"/>
          <c:order val="2"/>
          <c:tx>
            <c:strRef>
              <c:f>Data!$A$62</c:f>
              <c:strCache>
                <c:ptCount val="1"/>
                <c:pt idx="0">
                  <c:v>TV 4.1 EH</c:v>
                </c:pt>
              </c:strCache>
            </c:strRef>
          </c:tx>
          <c:spPr>
            <a:ln>
              <a:solidFill>
                <a:srgbClr val="FF0000"/>
              </a:solidFill>
              <a:prstDash val="dash"/>
            </a:ln>
          </c:spPr>
          <c:marker>
            <c:symbol val="none"/>
          </c:marker>
          <c:xVal>
            <c:numRef>
              <c:f>Data!$C$64:$X$64</c:f>
              <c:numCache>
                <c:formatCode>0</c:formatCode>
                <c:ptCount val="22"/>
                <c:pt idx="0">
                  <c:v>0</c:v>
                </c:pt>
                <c:pt idx="1">
                  <c:v>1562.5</c:v>
                </c:pt>
                <c:pt idx="2">
                  <c:v>1562.5</c:v>
                </c:pt>
                <c:pt idx="3">
                  <c:v>2286.7838541666665</c:v>
                </c:pt>
                <c:pt idx="4">
                  <c:v>3011.0677083333335</c:v>
                </c:pt>
                <c:pt idx="5">
                  <c:v>3735.3515625</c:v>
                </c:pt>
                <c:pt idx="6">
                  <c:v>4459.635416666667</c:v>
                </c:pt>
                <c:pt idx="7">
                  <c:v>5183.919270833333</c:v>
                </c:pt>
                <c:pt idx="8">
                  <c:v>5908.203125</c:v>
                </c:pt>
                <c:pt idx="9">
                  <c:v>6632.486979166667</c:v>
                </c:pt>
                <c:pt idx="10">
                  <c:v>7356.770833333333</c:v>
                </c:pt>
                <c:pt idx="11">
                  <c:v>7354.1666666666661</c:v>
                </c:pt>
                <c:pt idx="12">
                  <c:v>7354.1666666666661</c:v>
                </c:pt>
                <c:pt idx="13">
                  <c:v>5906.25</c:v>
                </c:pt>
                <c:pt idx="14">
                  <c:v>5182.291666666667</c:v>
                </c:pt>
                <c:pt idx="15">
                  <c:v>4458.333333333333</c:v>
                </c:pt>
                <c:pt idx="16">
                  <c:v>3734.375</c:v>
                </c:pt>
                <c:pt idx="17">
                  <c:v>3010.4166666666665</c:v>
                </c:pt>
                <c:pt idx="18">
                  <c:v>2286.4583333333335</c:v>
                </c:pt>
                <c:pt idx="19">
                  <c:v>1562.5</c:v>
                </c:pt>
                <c:pt idx="20">
                  <c:v>1562.5</c:v>
                </c:pt>
                <c:pt idx="21">
                  <c:v>0</c:v>
                </c:pt>
              </c:numCache>
            </c:numRef>
          </c:xVal>
          <c:yVal>
            <c:numRef>
              <c:f>Data!$C$69:$X$69</c:f>
              <c:numCache>
                <c:formatCode>0.00</c:formatCode>
                <c:ptCount val="22"/>
                <c:pt idx="0">
                  <c:v>2.5</c:v>
                </c:pt>
                <c:pt idx="1">
                  <c:v>2.5</c:v>
                </c:pt>
                <c:pt idx="2">
                  <c:v>2.5</c:v>
                </c:pt>
                <c:pt idx="3">
                  <c:v>2.5</c:v>
                </c:pt>
                <c:pt idx="4">
                  <c:v>2.5</c:v>
                </c:pt>
                <c:pt idx="5">
                  <c:v>2.5</c:v>
                </c:pt>
                <c:pt idx="6">
                  <c:v>2.5</c:v>
                </c:pt>
                <c:pt idx="7">
                  <c:v>2.4987611193594463</c:v>
                </c:pt>
                <c:pt idx="8">
                  <c:v>2.0455343551626659</c:v>
                </c:pt>
                <c:pt idx="9">
                  <c:v>1.5458313059130406</c:v>
                </c:pt>
                <c:pt idx="10">
                  <c:v>0.99965197161057073</c:v>
                </c:pt>
                <c:pt idx="11">
                  <c:v>1</c:v>
                </c:pt>
                <c:pt idx="12">
                  <c:v>1</c:v>
                </c:pt>
                <c:pt idx="13">
                  <c:v>1</c:v>
                </c:pt>
                <c:pt idx="14">
                  <c:v>1</c:v>
                </c:pt>
                <c:pt idx="15">
                  <c:v>1</c:v>
                </c:pt>
                <c:pt idx="16">
                  <c:v>1</c:v>
                </c:pt>
                <c:pt idx="17">
                  <c:v>1</c:v>
                </c:pt>
                <c:pt idx="18">
                  <c:v>1</c:v>
                </c:pt>
                <c:pt idx="19">
                  <c:v>1</c:v>
                </c:pt>
                <c:pt idx="20">
                  <c:v>1</c:v>
                </c:pt>
                <c:pt idx="21">
                  <c:v>1</c:v>
                </c:pt>
              </c:numCache>
            </c:numRef>
          </c:yVal>
          <c:smooth val="0"/>
          <c:extLst>
            <c:ext xmlns:c16="http://schemas.microsoft.com/office/drawing/2014/chart" uri="{C3380CC4-5D6E-409C-BE32-E72D297353CC}">
              <c16:uniqueId val="{00000002-0547-432F-8820-DAB7D8146634}"/>
            </c:ext>
          </c:extLst>
        </c:ser>
        <c:ser>
          <c:idx val="1"/>
          <c:order val="3"/>
          <c:tx>
            <c:strRef>
              <c:f>Data!$A$82</c:f>
              <c:strCache>
                <c:ptCount val="1"/>
                <c:pt idx="0">
                  <c:v>TV 6.1 E</c:v>
                </c:pt>
              </c:strCache>
            </c:strRef>
          </c:tx>
          <c:spPr>
            <a:ln>
              <a:solidFill>
                <a:schemeClr val="accent1"/>
              </a:solidFill>
            </a:ln>
          </c:spPr>
          <c:marker>
            <c:symbol val="none"/>
          </c:marker>
          <c:xVal>
            <c:numRef>
              <c:f>Data!$C$84:$X$84</c:f>
              <c:numCache>
                <c:formatCode>0</c:formatCode>
                <c:ptCount val="22"/>
                <c:pt idx="0">
                  <c:v>0</c:v>
                </c:pt>
                <c:pt idx="1">
                  <c:v>1562.5</c:v>
                </c:pt>
                <c:pt idx="2">
                  <c:v>1562.5</c:v>
                </c:pt>
                <c:pt idx="3">
                  <c:v>1830.078125</c:v>
                </c:pt>
                <c:pt idx="4">
                  <c:v>2097.65625</c:v>
                </c:pt>
                <c:pt idx="5">
                  <c:v>2365.234375</c:v>
                </c:pt>
                <c:pt idx="6">
                  <c:v>2632.8125</c:v>
                </c:pt>
                <c:pt idx="7">
                  <c:v>2900.390625</c:v>
                </c:pt>
                <c:pt idx="8">
                  <c:v>2676.4068738404253</c:v>
                </c:pt>
                <c:pt idx="9">
                  <c:v>2676.4068738404253</c:v>
                </c:pt>
                <c:pt idx="10">
                  <c:v>2676.4068738404253</c:v>
                </c:pt>
                <c:pt idx="11">
                  <c:v>2676.4068738404253</c:v>
                </c:pt>
                <c:pt idx="12">
                  <c:v>2676.4068738404253</c:v>
                </c:pt>
                <c:pt idx="13">
                  <c:v>3166.015625</c:v>
                </c:pt>
                <c:pt idx="14">
                  <c:v>2898.7630208333335</c:v>
                </c:pt>
                <c:pt idx="15">
                  <c:v>2631.5104166666665</c:v>
                </c:pt>
                <c:pt idx="16">
                  <c:v>2364.2578125</c:v>
                </c:pt>
                <c:pt idx="17">
                  <c:v>2097.0052083333335</c:v>
                </c:pt>
                <c:pt idx="18">
                  <c:v>1829.7526041666665</c:v>
                </c:pt>
                <c:pt idx="19">
                  <c:v>1562.5</c:v>
                </c:pt>
                <c:pt idx="20">
                  <c:v>1562.5</c:v>
                </c:pt>
                <c:pt idx="21">
                  <c:v>0</c:v>
                </c:pt>
              </c:numCache>
            </c:numRef>
          </c:xVal>
          <c:yVal>
            <c:numRef>
              <c:f>Data!$C$89:$X$89</c:f>
              <c:numCache>
                <c:formatCode>0.00</c:formatCode>
                <c:ptCount val="22"/>
                <c:pt idx="0">
                  <c:v>3.5</c:v>
                </c:pt>
                <c:pt idx="1">
                  <c:v>3.5</c:v>
                </c:pt>
                <c:pt idx="2">
                  <c:v>3.5</c:v>
                </c:pt>
                <c:pt idx="3">
                  <c:v>3.5</c:v>
                </c:pt>
                <c:pt idx="4">
                  <c:v>3.5</c:v>
                </c:pt>
                <c:pt idx="5">
                  <c:v>3.5</c:v>
                </c:pt>
                <c:pt idx="6">
                  <c:v>3.5</c:v>
                </c:pt>
                <c:pt idx="7">
                  <c:v>3.5</c:v>
                </c:pt>
                <c:pt idx="8">
                  <c:v>3.5</c:v>
                </c:pt>
                <c:pt idx="9">
                  <c:v>3.5</c:v>
                </c:pt>
                <c:pt idx="10">
                  <c:v>3.5</c:v>
                </c:pt>
                <c:pt idx="11">
                  <c:v>3.5</c:v>
                </c:pt>
                <c:pt idx="12">
                  <c:v>3.5</c:v>
                </c:pt>
                <c:pt idx="13">
                  <c:v>3.498338609467456</c:v>
                </c:pt>
                <c:pt idx="14">
                  <c:v>2.9326562499999991</c:v>
                </c:pt>
                <c:pt idx="15">
                  <c:v>2.4168289940828398</c:v>
                </c:pt>
                <c:pt idx="16">
                  <c:v>1.950856841715976</c:v>
                </c:pt>
                <c:pt idx="17">
                  <c:v>1.5347397928994082</c:v>
                </c:pt>
                <c:pt idx="18">
                  <c:v>1.5</c:v>
                </c:pt>
                <c:pt idx="19">
                  <c:v>1.5</c:v>
                </c:pt>
                <c:pt idx="20">
                  <c:v>1.5</c:v>
                </c:pt>
                <c:pt idx="21">
                  <c:v>1.5</c:v>
                </c:pt>
              </c:numCache>
            </c:numRef>
          </c:yVal>
          <c:smooth val="0"/>
          <c:extLst>
            <c:ext xmlns:c16="http://schemas.microsoft.com/office/drawing/2014/chart" uri="{C3380CC4-5D6E-409C-BE32-E72D297353CC}">
              <c16:uniqueId val="{00000003-0547-432F-8820-DAB7D8146634}"/>
            </c:ext>
          </c:extLst>
        </c:ser>
        <c:ser>
          <c:idx val="2"/>
          <c:order val="4"/>
          <c:tx>
            <c:strRef>
              <c:f>Data!$A$92</c:f>
              <c:strCache>
                <c:ptCount val="1"/>
                <c:pt idx="0">
                  <c:v>TV 6.1 EH</c:v>
                </c:pt>
              </c:strCache>
            </c:strRef>
          </c:tx>
          <c:spPr>
            <a:ln w="28575">
              <a:solidFill>
                <a:schemeClr val="accent1"/>
              </a:solidFill>
              <a:prstDash val="dash"/>
            </a:ln>
          </c:spPr>
          <c:marker>
            <c:symbol val="none"/>
          </c:marker>
          <c:xVal>
            <c:numRef>
              <c:f>Data!$C$94:$X$94</c:f>
              <c:numCache>
                <c:formatCode>0</c:formatCode>
                <c:ptCount val="22"/>
                <c:pt idx="0">
                  <c:v>0</c:v>
                </c:pt>
                <c:pt idx="1">
                  <c:v>1562.5</c:v>
                </c:pt>
                <c:pt idx="2">
                  <c:v>1562.5</c:v>
                </c:pt>
                <c:pt idx="3">
                  <c:v>2345.703125</c:v>
                </c:pt>
                <c:pt idx="4">
                  <c:v>3128.90625</c:v>
                </c:pt>
                <c:pt idx="5">
                  <c:v>3912.109375</c:v>
                </c:pt>
                <c:pt idx="6">
                  <c:v>4695.3125</c:v>
                </c:pt>
                <c:pt idx="7">
                  <c:v>5478.515625</c:v>
                </c:pt>
                <c:pt idx="8">
                  <c:v>6261.71875</c:v>
                </c:pt>
                <c:pt idx="9">
                  <c:v>7044.921875</c:v>
                </c:pt>
                <c:pt idx="10">
                  <c:v>7828.125</c:v>
                </c:pt>
                <c:pt idx="11">
                  <c:v>7825.520833333333</c:v>
                </c:pt>
                <c:pt idx="12">
                  <c:v>7825.520833333333</c:v>
                </c:pt>
                <c:pt idx="13">
                  <c:v>6259.765625</c:v>
                </c:pt>
                <c:pt idx="14">
                  <c:v>5476.888020833333</c:v>
                </c:pt>
                <c:pt idx="15">
                  <c:v>4694.010416666667</c:v>
                </c:pt>
                <c:pt idx="16">
                  <c:v>3911.1328125</c:v>
                </c:pt>
                <c:pt idx="17">
                  <c:v>3128.2552083333335</c:v>
                </c:pt>
                <c:pt idx="18">
                  <c:v>2345.3776041666665</c:v>
                </c:pt>
                <c:pt idx="19">
                  <c:v>1562.5</c:v>
                </c:pt>
                <c:pt idx="20">
                  <c:v>1562.5</c:v>
                </c:pt>
                <c:pt idx="21">
                  <c:v>0</c:v>
                </c:pt>
              </c:numCache>
            </c:numRef>
          </c:xVal>
          <c:yVal>
            <c:numRef>
              <c:f>Data!$C$99:$X$99</c:f>
              <c:numCache>
                <c:formatCode>0.00</c:formatCode>
                <c:ptCount val="22"/>
                <c:pt idx="0">
                  <c:v>3.5</c:v>
                </c:pt>
                <c:pt idx="1">
                  <c:v>3.5</c:v>
                </c:pt>
                <c:pt idx="2">
                  <c:v>3.5</c:v>
                </c:pt>
                <c:pt idx="3">
                  <c:v>3.5</c:v>
                </c:pt>
                <c:pt idx="4">
                  <c:v>3.5</c:v>
                </c:pt>
                <c:pt idx="5">
                  <c:v>3.5</c:v>
                </c:pt>
                <c:pt idx="6">
                  <c:v>3.5</c:v>
                </c:pt>
                <c:pt idx="7">
                  <c:v>3.4317104337254896</c:v>
                </c:pt>
                <c:pt idx="8">
                  <c:v>2.8828256715767724</c:v>
                </c:pt>
                <c:pt idx="9">
                  <c:v>2.2722919177762773</c:v>
                </c:pt>
                <c:pt idx="10">
                  <c:v>1.6000576676628617</c:v>
                </c:pt>
                <c:pt idx="11">
                  <c:v>1.5</c:v>
                </c:pt>
                <c:pt idx="12">
                  <c:v>1.5</c:v>
                </c:pt>
                <c:pt idx="13">
                  <c:v>1.5</c:v>
                </c:pt>
                <c:pt idx="14">
                  <c:v>1.5</c:v>
                </c:pt>
                <c:pt idx="15">
                  <c:v>1.5</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4-0547-432F-8820-DAB7D8146634}"/>
            </c:ext>
          </c:extLst>
        </c:ser>
        <c:ser>
          <c:idx val="3"/>
          <c:order val="5"/>
          <c:tx>
            <c:strRef>
              <c:f>Data!$A$112</c:f>
              <c:strCache>
                <c:ptCount val="1"/>
                <c:pt idx="0">
                  <c:v>TV 8.1 E</c:v>
                </c:pt>
              </c:strCache>
            </c:strRef>
          </c:tx>
          <c:spPr>
            <a:ln w="28575">
              <a:solidFill>
                <a:srgbClr val="92D050"/>
              </a:solidFill>
            </a:ln>
          </c:spPr>
          <c:marker>
            <c:symbol val="none"/>
          </c:marker>
          <c:xVal>
            <c:numRef>
              <c:f>Data!$C$114:$X$114</c:f>
              <c:numCache>
                <c:formatCode>0</c:formatCode>
                <c:ptCount val="22"/>
                <c:pt idx="0">
                  <c:v>0</c:v>
                </c:pt>
                <c:pt idx="1">
                  <c:v>1578.125</c:v>
                </c:pt>
                <c:pt idx="2">
                  <c:v>1578.125</c:v>
                </c:pt>
                <c:pt idx="3">
                  <c:v>1834.2415364583333</c:v>
                </c:pt>
                <c:pt idx="4">
                  <c:v>2090.3580729166665</c:v>
                </c:pt>
                <c:pt idx="5">
                  <c:v>2346.474609375</c:v>
                </c:pt>
                <c:pt idx="6">
                  <c:v>2602.591145833333</c:v>
                </c:pt>
                <c:pt idx="7">
                  <c:v>2858.707682291667</c:v>
                </c:pt>
                <c:pt idx="8">
                  <c:v>3114.82421875</c:v>
                </c:pt>
                <c:pt idx="9">
                  <c:v>3370.9407552083335</c:v>
                </c:pt>
                <c:pt idx="10">
                  <c:v>2703.1709425788295</c:v>
                </c:pt>
                <c:pt idx="11">
                  <c:v>3624.427083333333</c:v>
                </c:pt>
                <c:pt idx="12">
                  <c:v>3624.427083333333</c:v>
                </c:pt>
                <c:pt idx="13">
                  <c:v>3112.8515625</c:v>
                </c:pt>
                <c:pt idx="14">
                  <c:v>2857.063802083333</c:v>
                </c:pt>
                <c:pt idx="15">
                  <c:v>2601.2760416666665</c:v>
                </c:pt>
                <c:pt idx="16">
                  <c:v>2345.48828125</c:v>
                </c:pt>
                <c:pt idx="17">
                  <c:v>2089.7005208333335</c:v>
                </c:pt>
                <c:pt idx="18">
                  <c:v>1833.9127604166665</c:v>
                </c:pt>
                <c:pt idx="19">
                  <c:v>1578.125</c:v>
                </c:pt>
                <c:pt idx="20">
                  <c:v>1578.125</c:v>
                </c:pt>
                <c:pt idx="21">
                  <c:v>0</c:v>
                </c:pt>
              </c:numCache>
            </c:numRef>
          </c:xVal>
          <c:yVal>
            <c:numRef>
              <c:f>Data!$C$119:$X$119</c:f>
              <c:numCache>
                <c:formatCode>0.00</c:formatCode>
                <c:ptCount val="22"/>
                <c:pt idx="0">
                  <c:v>4.5</c:v>
                </c:pt>
                <c:pt idx="1">
                  <c:v>4.5</c:v>
                </c:pt>
                <c:pt idx="2">
                  <c:v>4.5</c:v>
                </c:pt>
                <c:pt idx="3">
                  <c:v>4.5</c:v>
                </c:pt>
                <c:pt idx="4">
                  <c:v>4.5</c:v>
                </c:pt>
                <c:pt idx="5">
                  <c:v>4.5</c:v>
                </c:pt>
                <c:pt idx="6">
                  <c:v>4.5</c:v>
                </c:pt>
                <c:pt idx="7">
                  <c:v>4.5</c:v>
                </c:pt>
                <c:pt idx="8">
                  <c:v>4.5</c:v>
                </c:pt>
                <c:pt idx="9">
                  <c:v>4.5</c:v>
                </c:pt>
                <c:pt idx="10">
                  <c:v>4.5</c:v>
                </c:pt>
                <c:pt idx="11">
                  <c:v>4.4943999999999988</c:v>
                </c:pt>
                <c:pt idx="12">
                  <c:v>4.4943999999999988</c:v>
                </c:pt>
                <c:pt idx="13">
                  <c:v>3.3152005917159757</c:v>
                </c:pt>
                <c:pt idx="14">
                  <c:v>2.7927551775147923</c:v>
                </c:pt>
                <c:pt idx="15">
                  <c:v>2.3150792899408281</c:v>
                </c:pt>
                <c:pt idx="16">
                  <c:v>2</c:v>
                </c:pt>
                <c:pt idx="17">
                  <c:v>2</c:v>
                </c:pt>
                <c:pt idx="18">
                  <c:v>2</c:v>
                </c:pt>
                <c:pt idx="19">
                  <c:v>2</c:v>
                </c:pt>
                <c:pt idx="20">
                  <c:v>2</c:v>
                </c:pt>
                <c:pt idx="21">
                  <c:v>2</c:v>
                </c:pt>
              </c:numCache>
            </c:numRef>
          </c:yVal>
          <c:smooth val="0"/>
          <c:extLst>
            <c:ext xmlns:c16="http://schemas.microsoft.com/office/drawing/2014/chart" uri="{C3380CC4-5D6E-409C-BE32-E72D297353CC}">
              <c16:uniqueId val="{00000005-0547-432F-8820-DAB7D8146634}"/>
            </c:ext>
          </c:extLst>
        </c:ser>
        <c:ser>
          <c:idx val="6"/>
          <c:order val="6"/>
          <c:tx>
            <c:strRef>
              <c:f>Data!$A$122</c:f>
              <c:strCache>
                <c:ptCount val="1"/>
                <c:pt idx="0">
                  <c:v>TV 8.1 EH</c:v>
                </c:pt>
              </c:strCache>
            </c:strRef>
          </c:tx>
          <c:spPr>
            <a:ln>
              <a:solidFill>
                <a:srgbClr val="92D050"/>
              </a:solidFill>
              <a:prstDash val="dash"/>
            </a:ln>
          </c:spPr>
          <c:marker>
            <c:symbol val="none"/>
          </c:marker>
          <c:xVal>
            <c:numRef>
              <c:f>Data!$C$124:$X$124</c:f>
              <c:numCache>
                <c:formatCode>0</c:formatCode>
                <c:ptCount val="22"/>
                <c:pt idx="0">
                  <c:v>0</c:v>
                </c:pt>
                <c:pt idx="1">
                  <c:v>1578.125</c:v>
                </c:pt>
                <c:pt idx="2">
                  <c:v>1578.125</c:v>
                </c:pt>
                <c:pt idx="3">
                  <c:v>2402.9254557291665</c:v>
                </c:pt>
                <c:pt idx="4">
                  <c:v>3227.7259114583335</c:v>
                </c:pt>
                <c:pt idx="5">
                  <c:v>4052.5263671874995</c:v>
                </c:pt>
                <c:pt idx="6">
                  <c:v>4877.3268229166661</c:v>
                </c:pt>
                <c:pt idx="7">
                  <c:v>5702.1272786458339</c:v>
                </c:pt>
                <c:pt idx="8">
                  <c:v>6526.9277343749991</c:v>
                </c:pt>
                <c:pt idx="9">
                  <c:v>7351.7281901041661</c:v>
                </c:pt>
                <c:pt idx="10">
                  <c:v>8176.528645833333</c:v>
                </c:pt>
                <c:pt idx="11">
                  <c:v>8173.8984375</c:v>
                </c:pt>
                <c:pt idx="12">
                  <c:v>8173.8984375</c:v>
                </c:pt>
                <c:pt idx="13">
                  <c:v>6524.9550781249991</c:v>
                </c:pt>
                <c:pt idx="14">
                  <c:v>5700.4833984374991</c:v>
                </c:pt>
                <c:pt idx="15">
                  <c:v>4876.01171875</c:v>
                </c:pt>
                <c:pt idx="16">
                  <c:v>4051.5400390624995</c:v>
                </c:pt>
                <c:pt idx="17">
                  <c:v>3227.068359375</c:v>
                </c:pt>
                <c:pt idx="18">
                  <c:v>2402.5966796875005</c:v>
                </c:pt>
                <c:pt idx="19">
                  <c:v>1578.125</c:v>
                </c:pt>
                <c:pt idx="20">
                  <c:v>1578.125</c:v>
                </c:pt>
                <c:pt idx="21">
                  <c:v>0</c:v>
                </c:pt>
              </c:numCache>
            </c:numRef>
          </c:xVal>
          <c:yVal>
            <c:numRef>
              <c:f>Data!$C$129:$X$129</c:f>
              <c:numCache>
                <c:formatCode>0.00</c:formatCode>
                <c:ptCount val="22"/>
                <c:pt idx="0">
                  <c:v>4.5</c:v>
                </c:pt>
                <c:pt idx="1">
                  <c:v>4.5</c:v>
                </c:pt>
                <c:pt idx="2">
                  <c:v>4.5</c:v>
                </c:pt>
                <c:pt idx="3">
                  <c:v>4.5</c:v>
                </c:pt>
                <c:pt idx="4">
                  <c:v>4.5</c:v>
                </c:pt>
                <c:pt idx="5">
                  <c:v>4.5</c:v>
                </c:pt>
                <c:pt idx="6">
                  <c:v>4.5</c:v>
                </c:pt>
                <c:pt idx="7">
                  <c:v>4.1645348972911496</c:v>
                </c:pt>
                <c:pt idx="8">
                  <c:v>3.5149497438738386</c:v>
                </c:pt>
                <c:pt idx="9">
                  <c:v>2.7934948073395689</c:v>
                </c:pt>
                <c:pt idx="10">
                  <c:v>2.0000336987044594</c:v>
                </c:pt>
                <c:pt idx="11">
                  <c:v>2</c:v>
                </c:pt>
                <c:pt idx="12">
                  <c:v>2</c:v>
                </c:pt>
                <c:pt idx="13">
                  <c:v>2</c:v>
                </c:pt>
                <c:pt idx="14">
                  <c:v>2</c:v>
                </c:pt>
                <c:pt idx="15">
                  <c:v>2</c:v>
                </c:pt>
                <c:pt idx="16">
                  <c:v>2</c:v>
                </c:pt>
                <c:pt idx="17">
                  <c:v>2</c:v>
                </c:pt>
                <c:pt idx="18">
                  <c:v>2</c:v>
                </c:pt>
                <c:pt idx="19">
                  <c:v>2</c:v>
                </c:pt>
                <c:pt idx="20">
                  <c:v>2</c:v>
                </c:pt>
                <c:pt idx="21">
                  <c:v>2</c:v>
                </c:pt>
              </c:numCache>
            </c:numRef>
          </c:yVal>
          <c:smooth val="0"/>
          <c:extLst>
            <c:ext xmlns:c16="http://schemas.microsoft.com/office/drawing/2014/chart" uri="{C3380CC4-5D6E-409C-BE32-E72D297353CC}">
              <c16:uniqueId val="{00000006-0547-432F-8820-DAB7D8146634}"/>
            </c:ext>
          </c:extLst>
        </c:ser>
        <c:ser>
          <c:idx val="7"/>
          <c:order val="7"/>
          <c:tx>
            <c:strRef>
              <c:f>Data!$A$142</c:f>
              <c:strCache>
                <c:ptCount val="1"/>
                <c:pt idx="0">
                  <c:v>TV 10.1 E</c:v>
                </c:pt>
              </c:strCache>
            </c:strRef>
          </c:tx>
          <c:spPr>
            <a:ln>
              <a:solidFill>
                <a:schemeClr val="accent6"/>
              </a:solidFill>
            </a:ln>
          </c:spPr>
          <c:marker>
            <c:symbol val="none"/>
          </c:marker>
          <c:xVal>
            <c:numRef>
              <c:f>Data!$C$144:$X$144</c:f>
              <c:numCache>
                <c:formatCode>0</c:formatCode>
                <c:ptCount val="22"/>
                <c:pt idx="0">
                  <c:v>0</c:v>
                </c:pt>
                <c:pt idx="1">
                  <c:v>1562.5</c:v>
                </c:pt>
                <c:pt idx="2">
                  <c:v>1562.5</c:v>
                </c:pt>
                <c:pt idx="3">
                  <c:v>1725.5859375</c:v>
                </c:pt>
                <c:pt idx="4">
                  <c:v>1888.671875</c:v>
                </c:pt>
                <c:pt idx="5">
                  <c:v>2051.7578125</c:v>
                </c:pt>
                <c:pt idx="6">
                  <c:v>2214.84375</c:v>
                </c:pt>
                <c:pt idx="7">
                  <c:v>2377.9296875</c:v>
                </c:pt>
                <c:pt idx="8">
                  <c:v>2541.015625</c:v>
                </c:pt>
                <c:pt idx="9">
                  <c:v>2704.1015625</c:v>
                </c:pt>
                <c:pt idx="10">
                  <c:v>2864.5833333333335</c:v>
                </c:pt>
                <c:pt idx="11">
                  <c:v>2864.5833333333335</c:v>
                </c:pt>
                <c:pt idx="12">
                  <c:v>2864.5833333333335</c:v>
                </c:pt>
                <c:pt idx="13">
                  <c:v>2850.2604166666665</c:v>
                </c:pt>
                <c:pt idx="14">
                  <c:v>2376.3020833333335</c:v>
                </c:pt>
                <c:pt idx="15">
                  <c:v>2213.5416666666665</c:v>
                </c:pt>
                <c:pt idx="16">
                  <c:v>2050.78125</c:v>
                </c:pt>
                <c:pt idx="17">
                  <c:v>1888.0208333333333</c:v>
                </c:pt>
                <c:pt idx="18">
                  <c:v>1725.2604166666667</c:v>
                </c:pt>
                <c:pt idx="19">
                  <c:v>1562.5</c:v>
                </c:pt>
                <c:pt idx="20">
                  <c:v>1562.5</c:v>
                </c:pt>
                <c:pt idx="21">
                  <c:v>0</c:v>
                </c:pt>
              </c:numCache>
            </c:numRef>
          </c:xVal>
          <c:yVal>
            <c:numRef>
              <c:f>Data!$C$149:$X$149</c:f>
              <c:numCache>
                <c:formatCode>0.00</c:formatCode>
                <c:ptCount val="22"/>
                <c:pt idx="0">
                  <c:v>6.5</c:v>
                </c:pt>
                <c:pt idx="1">
                  <c:v>6.5</c:v>
                </c:pt>
                <c:pt idx="2">
                  <c:v>6.5</c:v>
                </c:pt>
                <c:pt idx="3">
                  <c:v>6.5</c:v>
                </c:pt>
                <c:pt idx="4">
                  <c:v>6.5</c:v>
                </c:pt>
                <c:pt idx="5">
                  <c:v>6.5</c:v>
                </c:pt>
                <c:pt idx="6">
                  <c:v>6.5</c:v>
                </c:pt>
                <c:pt idx="7">
                  <c:v>6.5</c:v>
                </c:pt>
                <c:pt idx="8">
                  <c:v>6.5</c:v>
                </c:pt>
                <c:pt idx="9">
                  <c:v>6.5</c:v>
                </c:pt>
                <c:pt idx="10">
                  <c:v>6.5</c:v>
                </c:pt>
                <c:pt idx="11">
                  <c:v>6.5</c:v>
                </c:pt>
                <c:pt idx="12">
                  <c:v>6.5</c:v>
                </c:pt>
                <c:pt idx="13">
                  <c:v>3.5</c:v>
                </c:pt>
                <c:pt idx="14">
                  <c:v>3.5</c:v>
                </c:pt>
                <c:pt idx="15">
                  <c:v>3.5</c:v>
                </c:pt>
                <c:pt idx="16">
                  <c:v>3.5</c:v>
                </c:pt>
                <c:pt idx="17">
                  <c:v>3.5</c:v>
                </c:pt>
                <c:pt idx="18">
                  <c:v>3.5</c:v>
                </c:pt>
                <c:pt idx="19">
                  <c:v>3.5</c:v>
                </c:pt>
                <c:pt idx="20">
                  <c:v>3.5</c:v>
                </c:pt>
                <c:pt idx="21">
                  <c:v>3.5</c:v>
                </c:pt>
              </c:numCache>
            </c:numRef>
          </c:yVal>
          <c:smooth val="0"/>
          <c:extLst>
            <c:ext xmlns:c16="http://schemas.microsoft.com/office/drawing/2014/chart" uri="{C3380CC4-5D6E-409C-BE32-E72D297353CC}">
              <c16:uniqueId val="{00000007-0547-432F-8820-DAB7D8146634}"/>
            </c:ext>
          </c:extLst>
        </c:ser>
        <c:ser>
          <c:idx val="8"/>
          <c:order val="8"/>
          <c:tx>
            <c:strRef>
              <c:f>Data!$A$152</c:f>
              <c:strCache>
                <c:ptCount val="1"/>
                <c:pt idx="0">
                  <c:v>TV 10.1 EH</c:v>
                </c:pt>
              </c:strCache>
            </c:strRef>
          </c:tx>
          <c:spPr>
            <a:ln>
              <a:solidFill>
                <a:schemeClr val="accent6"/>
              </a:solidFill>
              <a:prstDash val="dash"/>
            </a:ln>
          </c:spPr>
          <c:marker>
            <c:symbol val="none"/>
          </c:marker>
          <c:xVal>
            <c:numRef>
              <c:f>Data!$C$154:$X$154</c:f>
              <c:numCache>
                <c:formatCode>0</c:formatCode>
                <c:ptCount val="22"/>
                <c:pt idx="0">
                  <c:v>0</c:v>
                </c:pt>
                <c:pt idx="1">
                  <c:v>1562.5</c:v>
                </c:pt>
                <c:pt idx="2">
                  <c:v>1562.5</c:v>
                </c:pt>
                <c:pt idx="3">
                  <c:v>2371.09375</c:v>
                </c:pt>
                <c:pt idx="4">
                  <c:v>3179.6875</c:v>
                </c:pt>
                <c:pt idx="5">
                  <c:v>3988.28125</c:v>
                </c:pt>
                <c:pt idx="6">
                  <c:v>4796.875</c:v>
                </c:pt>
                <c:pt idx="7">
                  <c:v>5605.46875</c:v>
                </c:pt>
                <c:pt idx="8">
                  <c:v>6414.0625</c:v>
                </c:pt>
                <c:pt idx="9">
                  <c:v>7222.65625</c:v>
                </c:pt>
                <c:pt idx="10">
                  <c:v>8031.25</c:v>
                </c:pt>
                <c:pt idx="11">
                  <c:v>8028.645833333333</c:v>
                </c:pt>
                <c:pt idx="12">
                  <c:v>8028.645833333333</c:v>
                </c:pt>
                <c:pt idx="13">
                  <c:v>6412.109375</c:v>
                </c:pt>
                <c:pt idx="14">
                  <c:v>5603.841145833333</c:v>
                </c:pt>
                <c:pt idx="15">
                  <c:v>4795.572916666667</c:v>
                </c:pt>
                <c:pt idx="16">
                  <c:v>3987.3046875</c:v>
                </c:pt>
                <c:pt idx="17">
                  <c:v>3179.0364583333335</c:v>
                </c:pt>
                <c:pt idx="18">
                  <c:v>2370.7682291666665</c:v>
                </c:pt>
                <c:pt idx="19">
                  <c:v>1562.5</c:v>
                </c:pt>
                <c:pt idx="20">
                  <c:v>1562.5</c:v>
                </c:pt>
                <c:pt idx="21">
                  <c:v>0</c:v>
                </c:pt>
              </c:numCache>
            </c:numRef>
          </c:xVal>
          <c:yVal>
            <c:numRef>
              <c:f>Data!$C$159:$X$159</c:f>
              <c:numCache>
                <c:formatCode>0.00</c:formatCode>
                <c:ptCount val="22"/>
                <c:pt idx="0">
                  <c:v>6.5</c:v>
                </c:pt>
                <c:pt idx="1">
                  <c:v>6.5</c:v>
                </c:pt>
                <c:pt idx="2">
                  <c:v>6.5</c:v>
                </c:pt>
                <c:pt idx="3">
                  <c:v>6.5</c:v>
                </c:pt>
                <c:pt idx="4">
                  <c:v>6.5</c:v>
                </c:pt>
                <c:pt idx="5">
                  <c:v>6.5</c:v>
                </c:pt>
                <c:pt idx="6">
                  <c:v>6.5</c:v>
                </c:pt>
                <c:pt idx="7">
                  <c:v>6.0079487499999997</c:v>
                </c:pt>
                <c:pt idx="8">
                  <c:v>5.2561118632956561</c:v>
                </c:pt>
                <c:pt idx="9">
                  <c:v>4.4198285446460437</c:v>
                </c:pt>
                <c:pt idx="10">
                  <c:v>3.4990987940511591</c:v>
                </c:pt>
                <c:pt idx="11">
                  <c:v>3.5</c:v>
                </c:pt>
                <c:pt idx="12">
                  <c:v>3.5</c:v>
                </c:pt>
                <c:pt idx="13">
                  <c:v>3.5</c:v>
                </c:pt>
                <c:pt idx="14">
                  <c:v>3.5</c:v>
                </c:pt>
                <c:pt idx="15">
                  <c:v>3.5</c:v>
                </c:pt>
                <c:pt idx="16">
                  <c:v>3.5</c:v>
                </c:pt>
                <c:pt idx="17">
                  <c:v>3.5</c:v>
                </c:pt>
                <c:pt idx="18">
                  <c:v>3.5</c:v>
                </c:pt>
                <c:pt idx="19">
                  <c:v>3.5</c:v>
                </c:pt>
                <c:pt idx="20">
                  <c:v>3.5</c:v>
                </c:pt>
                <c:pt idx="21">
                  <c:v>3.5</c:v>
                </c:pt>
              </c:numCache>
            </c:numRef>
          </c:yVal>
          <c:smooth val="1"/>
          <c:extLst>
            <c:ext xmlns:c16="http://schemas.microsoft.com/office/drawing/2014/chart" uri="{C3380CC4-5D6E-409C-BE32-E72D297353CC}">
              <c16:uniqueId val="{00000008-0547-432F-8820-DAB7D8146634}"/>
            </c:ext>
          </c:extLst>
        </c:ser>
        <c:ser>
          <c:idx val="9"/>
          <c:order val="9"/>
          <c:tx>
            <c:strRef>
              <c:f>Data!$A$172</c:f>
              <c:strCache>
                <c:ptCount val="1"/>
                <c:pt idx="0">
                  <c:v>TV 14.1 E</c:v>
                </c:pt>
              </c:strCache>
            </c:strRef>
          </c:tx>
          <c:spPr>
            <a:ln>
              <a:solidFill>
                <a:srgbClr val="FFFF00"/>
              </a:solidFill>
            </a:ln>
          </c:spPr>
          <c:marker>
            <c:symbol val="none"/>
          </c:marker>
          <c:xVal>
            <c:numRef>
              <c:f>Data!$C$174:$X$174</c:f>
              <c:numCache>
                <c:formatCode>0</c:formatCode>
                <c:ptCount val="22"/>
                <c:pt idx="0">
                  <c:v>0</c:v>
                </c:pt>
                <c:pt idx="1">
                  <c:v>1562.5</c:v>
                </c:pt>
                <c:pt idx="2">
                  <c:v>1562.5</c:v>
                </c:pt>
                <c:pt idx="3">
                  <c:v>1725.5859375</c:v>
                </c:pt>
                <c:pt idx="4">
                  <c:v>1888.671875</c:v>
                </c:pt>
                <c:pt idx="5">
                  <c:v>2051.7578125</c:v>
                </c:pt>
                <c:pt idx="6">
                  <c:v>2214.84375</c:v>
                </c:pt>
                <c:pt idx="7">
                  <c:v>2377.9296875</c:v>
                </c:pt>
                <c:pt idx="8">
                  <c:v>2541.015625</c:v>
                </c:pt>
                <c:pt idx="9">
                  <c:v>2704.1015625</c:v>
                </c:pt>
                <c:pt idx="10">
                  <c:v>2864.5833333333335</c:v>
                </c:pt>
                <c:pt idx="11">
                  <c:v>2864.5833333333335</c:v>
                </c:pt>
                <c:pt idx="12">
                  <c:v>2864.5833333333335</c:v>
                </c:pt>
                <c:pt idx="13">
                  <c:v>2850.2604166666665</c:v>
                </c:pt>
                <c:pt idx="14">
                  <c:v>2376.3020833333335</c:v>
                </c:pt>
                <c:pt idx="15">
                  <c:v>2213.5416666666665</c:v>
                </c:pt>
                <c:pt idx="16">
                  <c:v>2050.78125</c:v>
                </c:pt>
                <c:pt idx="17">
                  <c:v>1888.0208333333333</c:v>
                </c:pt>
                <c:pt idx="18">
                  <c:v>1725.2604166666667</c:v>
                </c:pt>
                <c:pt idx="19">
                  <c:v>1562.5</c:v>
                </c:pt>
                <c:pt idx="20">
                  <c:v>1562.5</c:v>
                </c:pt>
                <c:pt idx="21">
                  <c:v>0</c:v>
                </c:pt>
              </c:numCache>
            </c:numRef>
          </c:xVal>
          <c:yVal>
            <c:numRef>
              <c:f>Data!$C$179:$X$179</c:f>
              <c:numCache>
                <c:formatCode>0.00</c:formatCode>
                <c:ptCount val="22"/>
                <c:pt idx="0">
                  <c:v>10</c:v>
                </c:pt>
                <c:pt idx="1">
                  <c:v>10</c:v>
                </c:pt>
                <c:pt idx="2">
                  <c:v>10</c:v>
                </c:pt>
                <c:pt idx="3">
                  <c:v>10</c:v>
                </c:pt>
                <c:pt idx="4">
                  <c:v>10</c:v>
                </c:pt>
                <c:pt idx="5">
                  <c:v>10</c:v>
                </c:pt>
                <c:pt idx="6">
                  <c:v>10</c:v>
                </c:pt>
                <c:pt idx="7">
                  <c:v>10</c:v>
                </c:pt>
                <c:pt idx="8">
                  <c:v>10</c:v>
                </c:pt>
                <c:pt idx="9">
                  <c:v>10</c:v>
                </c:pt>
                <c:pt idx="10">
                  <c:v>10</c:v>
                </c:pt>
                <c:pt idx="11">
                  <c:v>10</c:v>
                </c:pt>
                <c:pt idx="12">
                  <c:v>10</c:v>
                </c:pt>
                <c:pt idx="13">
                  <c:v>5.5</c:v>
                </c:pt>
                <c:pt idx="14">
                  <c:v>5.5</c:v>
                </c:pt>
                <c:pt idx="15">
                  <c:v>5.5</c:v>
                </c:pt>
                <c:pt idx="16">
                  <c:v>5.5</c:v>
                </c:pt>
                <c:pt idx="17">
                  <c:v>5.5</c:v>
                </c:pt>
                <c:pt idx="18">
                  <c:v>5.5</c:v>
                </c:pt>
                <c:pt idx="19">
                  <c:v>5.5</c:v>
                </c:pt>
                <c:pt idx="20">
                  <c:v>5.5</c:v>
                </c:pt>
                <c:pt idx="21">
                  <c:v>5.5</c:v>
                </c:pt>
              </c:numCache>
            </c:numRef>
          </c:yVal>
          <c:smooth val="0"/>
          <c:extLst>
            <c:ext xmlns:c16="http://schemas.microsoft.com/office/drawing/2014/chart" uri="{C3380CC4-5D6E-409C-BE32-E72D297353CC}">
              <c16:uniqueId val="{00000009-0547-432F-8820-DAB7D8146634}"/>
            </c:ext>
          </c:extLst>
        </c:ser>
        <c:ser>
          <c:idx val="10"/>
          <c:order val="10"/>
          <c:tx>
            <c:strRef>
              <c:f>Data!$A$182</c:f>
              <c:strCache>
                <c:ptCount val="1"/>
                <c:pt idx="0">
                  <c:v>TV 14.1 EH</c:v>
                </c:pt>
              </c:strCache>
            </c:strRef>
          </c:tx>
          <c:spPr>
            <a:ln>
              <a:solidFill>
                <a:srgbClr val="FFFF00"/>
              </a:solidFill>
              <a:prstDash val="dash"/>
            </a:ln>
          </c:spPr>
          <c:marker>
            <c:symbol val="none"/>
          </c:marker>
          <c:xVal>
            <c:numRef>
              <c:f>Data!$C$184:$X$184</c:f>
              <c:numCache>
                <c:formatCode>0</c:formatCode>
                <c:ptCount val="22"/>
                <c:pt idx="0">
                  <c:v>0</c:v>
                </c:pt>
                <c:pt idx="1">
                  <c:v>1562.5</c:v>
                </c:pt>
                <c:pt idx="2">
                  <c:v>1562.5</c:v>
                </c:pt>
                <c:pt idx="3">
                  <c:v>2128.2552083333335</c:v>
                </c:pt>
                <c:pt idx="4">
                  <c:v>2694.0104166666665</c:v>
                </c:pt>
                <c:pt idx="5">
                  <c:v>3259.765625</c:v>
                </c:pt>
                <c:pt idx="6">
                  <c:v>3825.520833333333</c:v>
                </c:pt>
                <c:pt idx="7">
                  <c:v>4391.276041666667</c:v>
                </c:pt>
                <c:pt idx="8">
                  <c:v>4957.03125</c:v>
                </c:pt>
                <c:pt idx="9">
                  <c:v>5522.786458333333</c:v>
                </c:pt>
                <c:pt idx="10">
                  <c:v>6088.541666666667</c:v>
                </c:pt>
                <c:pt idx="11">
                  <c:v>6085.9375</c:v>
                </c:pt>
                <c:pt idx="12">
                  <c:v>6085.9375</c:v>
                </c:pt>
                <c:pt idx="13">
                  <c:v>4955.078125</c:v>
                </c:pt>
                <c:pt idx="14">
                  <c:v>4389.6484375</c:v>
                </c:pt>
                <c:pt idx="15">
                  <c:v>3824.21875</c:v>
                </c:pt>
                <c:pt idx="16">
                  <c:v>3258.7890625</c:v>
                </c:pt>
                <c:pt idx="17">
                  <c:v>2693.359375</c:v>
                </c:pt>
                <c:pt idx="18">
                  <c:v>2127.9296875</c:v>
                </c:pt>
                <c:pt idx="19">
                  <c:v>1562.5</c:v>
                </c:pt>
                <c:pt idx="20">
                  <c:v>1562.5</c:v>
                </c:pt>
                <c:pt idx="21">
                  <c:v>0</c:v>
                </c:pt>
              </c:numCache>
            </c:numRef>
          </c:xVal>
          <c:yVal>
            <c:numRef>
              <c:f>Data!$C$189:$X$189</c:f>
              <c:numCache>
                <c:formatCode>0.00</c:formatCode>
                <c:ptCount val="22"/>
                <c:pt idx="0">
                  <c:v>10</c:v>
                </c:pt>
                <c:pt idx="1">
                  <c:v>10</c:v>
                </c:pt>
                <c:pt idx="2">
                  <c:v>10</c:v>
                </c:pt>
                <c:pt idx="3">
                  <c:v>10</c:v>
                </c:pt>
                <c:pt idx="4">
                  <c:v>10</c:v>
                </c:pt>
                <c:pt idx="5">
                  <c:v>10</c:v>
                </c:pt>
                <c:pt idx="6">
                  <c:v>10</c:v>
                </c:pt>
                <c:pt idx="7">
                  <c:v>9.7533943967928813</c:v>
                </c:pt>
                <c:pt idx="8">
                  <c:v>8.5283181873610587</c:v>
                </c:pt>
                <c:pt idx="9">
                  <c:v>7.1102571390133997</c:v>
                </c:pt>
                <c:pt idx="10">
                  <c:v>5.4992112517499034</c:v>
                </c:pt>
                <c:pt idx="11">
                  <c:v>5.5</c:v>
                </c:pt>
                <c:pt idx="12">
                  <c:v>5.5</c:v>
                </c:pt>
                <c:pt idx="13">
                  <c:v>5.5</c:v>
                </c:pt>
                <c:pt idx="14">
                  <c:v>5.5</c:v>
                </c:pt>
                <c:pt idx="15">
                  <c:v>5.5</c:v>
                </c:pt>
                <c:pt idx="16">
                  <c:v>5.5</c:v>
                </c:pt>
                <c:pt idx="17">
                  <c:v>5.5</c:v>
                </c:pt>
                <c:pt idx="18">
                  <c:v>5.5</c:v>
                </c:pt>
                <c:pt idx="19">
                  <c:v>5.5</c:v>
                </c:pt>
                <c:pt idx="20">
                  <c:v>5.5</c:v>
                </c:pt>
                <c:pt idx="21">
                  <c:v>5.5</c:v>
                </c:pt>
              </c:numCache>
            </c:numRef>
          </c:yVal>
          <c:smooth val="0"/>
          <c:extLst>
            <c:ext xmlns:c16="http://schemas.microsoft.com/office/drawing/2014/chart" uri="{C3380CC4-5D6E-409C-BE32-E72D297353CC}">
              <c16:uniqueId val="{0000000A-0547-432F-8820-DAB7D8146634}"/>
            </c:ext>
          </c:extLst>
        </c:ser>
        <c:dLbls>
          <c:showLegendKey val="0"/>
          <c:showVal val="0"/>
          <c:showCatName val="0"/>
          <c:showSerName val="0"/>
          <c:showPercent val="0"/>
          <c:showBubbleSize val="0"/>
        </c:dLbls>
        <c:axId val="353133392"/>
        <c:axId val="353133952"/>
      </c:scatterChart>
      <c:valAx>
        <c:axId val="353133392"/>
        <c:scaling>
          <c:orientation val="minMax"/>
          <c:max val="5500"/>
          <c:min val="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400" b="0" i="0" u="none" strike="noStrike" baseline="0">
                    <a:solidFill>
                      <a:srgbClr val="000000"/>
                    </a:solidFill>
                    <a:latin typeface="Arial"/>
                    <a:ea typeface="Arial"/>
                    <a:cs typeface="Arial"/>
                  </a:defRPr>
                </a:pPr>
                <a:r>
                  <a:rPr lang="pl-PL"/>
                  <a:t>Q kW</a:t>
                </a:r>
              </a:p>
            </c:rich>
          </c:tx>
          <c:layout>
            <c:manualLayout>
              <c:xMode val="edge"/>
              <c:yMode val="edge"/>
              <c:x val="0.41914011539696788"/>
              <c:y val="0.930824876057160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3133952"/>
        <c:crosses val="autoZero"/>
        <c:crossBetween val="midCat"/>
        <c:majorUnit val="500"/>
        <c:minorUnit val="100"/>
      </c:valAx>
      <c:valAx>
        <c:axId val="353133952"/>
        <c:scaling>
          <c:orientation val="minMax"/>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pl-PL"/>
                  <a:t>Pman bar</a:t>
                </a:r>
              </a:p>
            </c:rich>
          </c:tx>
          <c:layout>
            <c:manualLayout>
              <c:xMode val="edge"/>
              <c:yMode val="edge"/>
              <c:x val="2.7107988083768027E-2"/>
              <c:y val="0.43340347039953353"/>
            </c:manualLayout>
          </c:layout>
          <c:overlay val="0"/>
          <c:spPr>
            <a:noFill/>
            <a:ln w="25400">
              <a:noFill/>
            </a:ln>
          </c:spPr>
        </c:title>
        <c:numFmt formatCode="0.0" sourceLinked="1"/>
        <c:majorTickMark val="out"/>
        <c:minorTickMark val="out"/>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3133392"/>
        <c:crosses val="autoZero"/>
        <c:crossBetween val="midCat"/>
        <c:majorUnit val="1"/>
        <c:minorUnit val="0.5"/>
      </c:valAx>
      <c:spPr>
        <a:solidFill>
          <a:srgbClr val="CCCCFF"/>
        </a:solidFill>
        <a:ln w="12700">
          <a:solidFill>
            <a:srgbClr val="CCCCFF"/>
          </a:solidFill>
          <a:prstDash val="solid"/>
        </a:ln>
      </c:spPr>
    </c:plotArea>
    <c:legend>
      <c:legendPos val="r"/>
      <c:layout>
        <c:manualLayout>
          <c:xMode val="edge"/>
          <c:yMode val="edge"/>
          <c:x val="0.83367841678018184"/>
          <c:y val="0.38714260717410343"/>
          <c:w val="7.661367487291941E-2"/>
          <c:h val="0.40841163604549435"/>
        </c:manualLayout>
      </c:layout>
      <c:overlay val="0"/>
      <c:spPr>
        <a:solidFill>
          <a:srgbClr val="FFFFFF"/>
        </a:solidFill>
        <a:ln w="25400">
          <a:noFill/>
        </a:ln>
      </c:spPr>
      <c:txPr>
        <a:bodyPr/>
        <a:lstStyle/>
        <a:p>
          <a:pPr>
            <a:defRPr sz="108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028" footer="0.49212598450000028"/>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a:t>Transfero TV.2 Connect - pman/Q </a:t>
            </a:r>
          </a:p>
        </c:rich>
      </c:tx>
      <c:layout>
        <c:manualLayout>
          <c:xMode val="edge"/>
          <c:yMode val="edge"/>
          <c:x val="0.39387366136195051"/>
          <c:y val="2.7149314668999742E-2"/>
        </c:manualLayout>
      </c:layout>
      <c:overlay val="0"/>
      <c:spPr>
        <a:noFill/>
        <a:ln w="25400">
          <a:noFill/>
        </a:ln>
      </c:spPr>
    </c:title>
    <c:autoTitleDeleted val="0"/>
    <c:plotArea>
      <c:layout>
        <c:manualLayout>
          <c:layoutTarget val="inner"/>
          <c:xMode val="edge"/>
          <c:yMode val="edge"/>
          <c:x val="8.3125976993110445E-2"/>
          <c:y val="0.13040760310173441"/>
          <c:w val="0.70346472368837765"/>
          <c:h val="0.73798244086723219"/>
        </c:manualLayout>
      </c:layout>
      <c:scatterChart>
        <c:scatterStyle val="smoothMarker"/>
        <c:varyColors val="0"/>
        <c:ser>
          <c:idx val="4"/>
          <c:order val="0"/>
          <c:tx>
            <c:v>Arbeitspunkt</c:v>
          </c:tx>
          <c:spPr>
            <a:ln w="28575">
              <a:noFill/>
            </a:ln>
          </c:spPr>
          <c:marker>
            <c:symbol val="diamond"/>
            <c:size val="10"/>
            <c:spPr>
              <a:solidFill>
                <a:srgbClr val="000000"/>
              </a:solidFill>
              <a:ln w="9525">
                <a:noFill/>
              </a:ln>
            </c:spPr>
          </c:marker>
          <c:xVal>
            <c:numRef>
              <c:f>'Selection pman-p0-Q'!$P$25</c:f>
              <c:numCache>
                <c:formatCode>General</c:formatCode>
                <c:ptCount val="1"/>
                <c:pt idx="0">
                  <c:v>616</c:v>
                </c:pt>
              </c:numCache>
            </c:numRef>
          </c:xVal>
          <c:yVal>
            <c:numRef>
              <c:f>'Selection pman-p0-Q'!$P$22</c:f>
              <c:numCache>
                <c:formatCode>0.0</c:formatCode>
                <c:ptCount val="1"/>
                <c:pt idx="0">
                  <c:v>1.8284000000000005</c:v>
                </c:pt>
              </c:numCache>
            </c:numRef>
          </c:yVal>
          <c:smooth val="0"/>
          <c:extLst>
            <c:ext xmlns:c16="http://schemas.microsoft.com/office/drawing/2014/chart" uri="{C3380CC4-5D6E-409C-BE32-E72D297353CC}">
              <c16:uniqueId val="{00000000-2BE9-4386-B01E-8585F32E2C8D}"/>
            </c:ext>
          </c:extLst>
        </c:ser>
        <c:ser>
          <c:idx val="0"/>
          <c:order val="1"/>
          <c:tx>
            <c:strRef>
              <c:f>Data!$A$72</c:f>
              <c:strCache>
                <c:ptCount val="1"/>
                <c:pt idx="0">
                  <c:v>TV 4.2 EH</c:v>
                </c:pt>
              </c:strCache>
            </c:strRef>
          </c:tx>
          <c:spPr>
            <a:ln w="28575">
              <a:solidFill>
                <a:srgbClr val="FF0000"/>
              </a:solidFill>
              <a:prstDash val="solid"/>
            </a:ln>
          </c:spPr>
          <c:marker>
            <c:symbol val="none"/>
          </c:marker>
          <c:xVal>
            <c:numRef>
              <c:f>Data!$C$74:$X$74</c:f>
              <c:numCache>
                <c:formatCode>0</c:formatCode>
                <c:ptCount val="22"/>
                <c:pt idx="0">
                  <c:v>0</c:v>
                </c:pt>
                <c:pt idx="1">
                  <c:v>1562.5</c:v>
                </c:pt>
                <c:pt idx="2">
                  <c:v>1562.5</c:v>
                </c:pt>
                <c:pt idx="3">
                  <c:v>2704.7526041666665</c:v>
                </c:pt>
                <c:pt idx="4">
                  <c:v>3847.005208333333</c:v>
                </c:pt>
                <c:pt idx="5">
                  <c:v>4989.2578125</c:v>
                </c:pt>
                <c:pt idx="6">
                  <c:v>6131.510416666667</c:v>
                </c:pt>
                <c:pt idx="7">
                  <c:v>7273.763020833333</c:v>
                </c:pt>
                <c:pt idx="8">
                  <c:v>8416.015625</c:v>
                </c:pt>
                <c:pt idx="9">
                  <c:v>9558.2682291666661</c:v>
                </c:pt>
                <c:pt idx="10">
                  <c:v>10700.520833333334</c:v>
                </c:pt>
                <c:pt idx="11">
                  <c:v>10697.916666666666</c:v>
                </c:pt>
                <c:pt idx="12">
                  <c:v>10697.916666666666</c:v>
                </c:pt>
                <c:pt idx="13">
                  <c:v>8414.0625</c:v>
                </c:pt>
                <c:pt idx="14">
                  <c:v>7272.1354166666661</c:v>
                </c:pt>
                <c:pt idx="15">
                  <c:v>6130.208333333333</c:v>
                </c:pt>
                <c:pt idx="16">
                  <c:v>4988.28125</c:v>
                </c:pt>
                <c:pt idx="17">
                  <c:v>3846.3541666666665</c:v>
                </c:pt>
                <c:pt idx="18">
                  <c:v>2704.4270833333335</c:v>
                </c:pt>
                <c:pt idx="19">
                  <c:v>1562.5</c:v>
                </c:pt>
                <c:pt idx="20">
                  <c:v>1562.5</c:v>
                </c:pt>
                <c:pt idx="21">
                  <c:v>0</c:v>
                </c:pt>
              </c:numCache>
            </c:numRef>
          </c:xVal>
          <c:yVal>
            <c:numRef>
              <c:f>Data!$C$79:$X$79</c:f>
              <c:numCache>
                <c:formatCode>0.00</c:formatCode>
                <c:ptCount val="22"/>
                <c:pt idx="0">
                  <c:v>2.5</c:v>
                </c:pt>
                <c:pt idx="1">
                  <c:v>2.5</c:v>
                </c:pt>
                <c:pt idx="2">
                  <c:v>2.5</c:v>
                </c:pt>
                <c:pt idx="3">
                  <c:v>2.5</c:v>
                </c:pt>
                <c:pt idx="4">
                  <c:v>2.5</c:v>
                </c:pt>
                <c:pt idx="5">
                  <c:v>2.5</c:v>
                </c:pt>
                <c:pt idx="6">
                  <c:v>2.5</c:v>
                </c:pt>
                <c:pt idx="7">
                  <c:v>2.5</c:v>
                </c:pt>
                <c:pt idx="8">
                  <c:v>2.3397275804041238</c:v>
                </c:pt>
                <c:pt idx="9">
                  <c:v>1.8470441940418127</c:v>
                </c:pt>
                <c:pt idx="10">
                  <c:v>1.3030795950663501</c:v>
                </c:pt>
                <c:pt idx="11">
                  <c:v>1.3021345679012342</c:v>
                </c:pt>
                <c:pt idx="12">
                  <c:v>1.3021345679012342</c:v>
                </c:pt>
                <c:pt idx="13">
                  <c:v>1</c:v>
                </c:pt>
                <c:pt idx="14">
                  <c:v>1</c:v>
                </c:pt>
                <c:pt idx="15">
                  <c:v>1</c:v>
                </c:pt>
                <c:pt idx="16">
                  <c:v>1</c:v>
                </c:pt>
                <c:pt idx="17">
                  <c:v>1</c:v>
                </c:pt>
                <c:pt idx="18">
                  <c:v>1</c:v>
                </c:pt>
                <c:pt idx="19">
                  <c:v>1</c:v>
                </c:pt>
                <c:pt idx="20">
                  <c:v>1</c:v>
                </c:pt>
                <c:pt idx="21">
                  <c:v>1</c:v>
                </c:pt>
              </c:numCache>
            </c:numRef>
          </c:yVal>
          <c:smooth val="0"/>
          <c:extLst>
            <c:ext xmlns:c16="http://schemas.microsoft.com/office/drawing/2014/chart" uri="{C3380CC4-5D6E-409C-BE32-E72D297353CC}">
              <c16:uniqueId val="{00000001-2BE9-4386-B01E-8585F32E2C8D}"/>
            </c:ext>
          </c:extLst>
        </c:ser>
        <c:ser>
          <c:idx val="1"/>
          <c:order val="2"/>
          <c:tx>
            <c:strRef>
              <c:f>Data!$A$102</c:f>
              <c:strCache>
                <c:ptCount val="1"/>
                <c:pt idx="0">
                  <c:v>TV 6.2 EH</c:v>
                </c:pt>
              </c:strCache>
            </c:strRef>
          </c:tx>
          <c:spPr>
            <a:ln>
              <a:solidFill>
                <a:schemeClr val="accent1"/>
              </a:solidFill>
            </a:ln>
          </c:spPr>
          <c:marker>
            <c:symbol val="none"/>
          </c:marker>
          <c:xVal>
            <c:numRef>
              <c:f>Data!$C$104:$X$104</c:f>
              <c:numCache>
                <c:formatCode>0</c:formatCode>
                <c:ptCount val="22"/>
                <c:pt idx="0">
                  <c:v>0</c:v>
                </c:pt>
                <c:pt idx="1">
                  <c:v>1562.5</c:v>
                </c:pt>
                <c:pt idx="2">
                  <c:v>1562.5</c:v>
                </c:pt>
                <c:pt idx="3">
                  <c:v>2884.6028645833335</c:v>
                </c:pt>
                <c:pt idx="4">
                  <c:v>4206.705729166667</c:v>
                </c:pt>
                <c:pt idx="5">
                  <c:v>5528.80859375</c:v>
                </c:pt>
                <c:pt idx="6">
                  <c:v>6850.911458333333</c:v>
                </c:pt>
                <c:pt idx="7">
                  <c:v>8173.0143229166661</c:v>
                </c:pt>
                <c:pt idx="8">
                  <c:v>9495.1171875</c:v>
                </c:pt>
                <c:pt idx="9">
                  <c:v>10817.220052083334</c:v>
                </c:pt>
                <c:pt idx="10">
                  <c:v>12139.322916666666</c:v>
                </c:pt>
                <c:pt idx="11">
                  <c:v>12136.71875</c:v>
                </c:pt>
                <c:pt idx="12">
                  <c:v>12136.71875</c:v>
                </c:pt>
                <c:pt idx="13">
                  <c:v>9493.1640625</c:v>
                </c:pt>
                <c:pt idx="14">
                  <c:v>8171.38671875</c:v>
                </c:pt>
                <c:pt idx="15">
                  <c:v>6849.609375</c:v>
                </c:pt>
                <c:pt idx="16">
                  <c:v>5527.83203125</c:v>
                </c:pt>
                <c:pt idx="17">
                  <c:v>4206.0546875</c:v>
                </c:pt>
                <c:pt idx="18">
                  <c:v>2884.27734375</c:v>
                </c:pt>
                <c:pt idx="19">
                  <c:v>1562.5</c:v>
                </c:pt>
                <c:pt idx="20">
                  <c:v>1562.5</c:v>
                </c:pt>
                <c:pt idx="21">
                  <c:v>0</c:v>
                </c:pt>
              </c:numCache>
            </c:numRef>
          </c:xVal>
          <c:yVal>
            <c:numRef>
              <c:f>Data!$C$109:$X$109</c:f>
              <c:numCache>
                <c:formatCode>0.00</c:formatCode>
                <c:ptCount val="22"/>
                <c:pt idx="0">
                  <c:v>3.5</c:v>
                </c:pt>
                <c:pt idx="1">
                  <c:v>3.5</c:v>
                </c:pt>
                <c:pt idx="2">
                  <c:v>3.5</c:v>
                </c:pt>
                <c:pt idx="3">
                  <c:v>3.5</c:v>
                </c:pt>
                <c:pt idx="4">
                  <c:v>3.5</c:v>
                </c:pt>
                <c:pt idx="5">
                  <c:v>3.5</c:v>
                </c:pt>
                <c:pt idx="6">
                  <c:v>3.5</c:v>
                </c:pt>
                <c:pt idx="7">
                  <c:v>3.5</c:v>
                </c:pt>
                <c:pt idx="8">
                  <c:v>3.1062457737213967</c:v>
                </c:pt>
                <c:pt idx="9">
                  <c:v>2.4323509443828089</c:v>
                </c:pt>
                <c:pt idx="10">
                  <c:v>1.6766977084278216</c:v>
                </c:pt>
                <c:pt idx="11">
                  <c:v>1.6759460069444443</c:v>
                </c:pt>
                <c:pt idx="12">
                  <c:v>1.6759460069444443</c:v>
                </c:pt>
                <c:pt idx="13">
                  <c:v>1.5</c:v>
                </c:pt>
                <c:pt idx="14">
                  <c:v>1.5</c:v>
                </c:pt>
                <c:pt idx="15">
                  <c:v>1.5</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2-2BE9-4386-B01E-8585F32E2C8D}"/>
            </c:ext>
          </c:extLst>
        </c:ser>
        <c:ser>
          <c:idx val="3"/>
          <c:order val="3"/>
          <c:tx>
            <c:strRef>
              <c:f>Data!$A$132</c:f>
              <c:strCache>
                <c:ptCount val="1"/>
                <c:pt idx="0">
                  <c:v>TV 8.2 EH</c:v>
                </c:pt>
              </c:strCache>
            </c:strRef>
          </c:tx>
          <c:spPr>
            <a:ln w="28575">
              <a:solidFill>
                <a:srgbClr val="92D050"/>
              </a:solidFill>
            </a:ln>
          </c:spPr>
          <c:marker>
            <c:symbol val="none"/>
          </c:marker>
          <c:xVal>
            <c:numRef>
              <c:f>Data!$C$134:$X$134</c:f>
              <c:numCache>
                <c:formatCode>0</c:formatCode>
                <c:ptCount val="22"/>
                <c:pt idx="0">
                  <c:v>0</c:v>
                </c:pt>
                <c:pt idx="1">
                  <c:v>1562.5</c:v>
                </c:pt>
                <c:pt idx="2">
                  <c:v>1562.5</c:v>
                </c:pt>
                <c:pt idx="3">
                  <c:v>2975.2604166666665</c:v>
                </c:pt>
                <c:pt idx="4">
                  <c:v>4388.020833333333</c:v>
                </c:pt>
                <c:pt idx="5">
                  <c:v>5800.78125</c:v>
                </c:pt>
                <c:pt idx="6">
                  <c:v>7213.541666666667</c:v>
                </c:pt>
                <c:pt idx="7">
                  <c:v>8626.3020833333339</c:v>
                </c:pt>
                <c:pt idx="8">
                  <c:v>10039.0625</c:v>
                </c:pt>
                <c:pt idx="9">
                  <c:v>11451.822916666666</c:v>
                </c:pt>
                <c:pt idx="10">
                  <c:v>12864.583333333334</c:v>
                </c:pt>
                <c:pt idx="11">
                  <c:v>12861.979166666666</c:v>
                </c:pt>
                <c:pt idx="12">
                  <c:v>12861.979166666666</c:v>
                </c:pt>
                <c:pt idx="13">
                  <c:v>10037.109375</c:v>
                </c:pt>
                <c:pt idx="14">
                  <c:v>8624.6744791666661</c:v>
                </c:pt>
                <c:pt idx="15">
                  <c:v>7212.239583333333</c:v>
                </c:pt>
                <c:pt idx="16">
                  <c:v>5799.8046875</c:v>
                </c:pt>
                <c:pt idx="17">
                  <c:v>4387.369791666667</c:v>
                </c:pt>
                <c:pt idx="18">
                  <c:v>2974.9348958333335</c:v>
                </c:pt>
                <c:pt idx="19">
                  <c:v>1562.5</c:v>
                </c:pt>
                <c:pt idx="20">
                  <c:v>1562.5</c:v>
                </c:pt>
                <c:pt idx="21">
                  <c:v>0</c:v>
                </c:pt>
              </c:numCache>
            </c:numRef>
          </c:xVal>
          <c:yVal>
            <c:numRef>
              <c:f>Data!$C$139:$X$139</c:f>
              <c:numCache>
                <c:formatCode>0.00</c:formatCode>
                <c:ptCount val="22"/>
                <c:pt idx="0">
                  <c:v>4.5</c:v>
                </c:pt>
                <c:pt idx="1">
                  <c:v>4.5</c:v>
                </c:pt>
                <c:pt idx="2">
                  <c:v>4.5</c:v>
                </c:pt>
                <c:pt idx="3">
                  <c:v>4.5</c:v>
                </c:pt>
                <c:pt idx="4">
                  <c:v>4.5</c:v>
                </c:pt>
                <c:pt idx="5">
                  <c:v>4.5</c:v>
                </c:pt>
                <c:pt idx="6">
                  <c:v>4.5</c:v>
                </c:pt>
                <c:pt idx="7">
                  <c:v>4.3694998734242736</c:v>
                </c:pt>
                <c:pt idx="8">
                  <c:v>3.669004518766616</c:v>
                </c:pt>
                <c:pt idx="9">
                  <c:v>2.8792996713885581</c:v>
                </c:pt>
                <c:pt idx="10">
                  <c:v>2.0004343389239909</c:v>
                </c:pt>
                <c:pt idx="11">
                  <c:v>2</c:v>
                </c:pt>
                <c:pt idx="12">
                  <c:v>2</c:v>
                </c:pt>
                <c:pt idx="13">
                  <c:v>2</c:v>
                </c:pt>
                <c:pt idx="14">
                  <c:v>2</c:v>
                </c:pt>
                <c:pt idx="15">
                  <c:v>2</c:v>
                </c:pt>
                <c:pt idx="16">
                  <c:v>2</c:v>
                </c:pt>
                <c:pt idx="17">
                  <c:v>2</c:v>
                </c:pt>
                <c:pt idx="18">
                  <c:v>2</c:v>
                </c:pt>
                <c:pt idx="19">
                  <c:v>2</c:v>
                </c:pt>
                <c:pt idx="20">
                  <c:v>2</c:v>
                </c:pt>
                <c:pt idx="21">
                  <c:v>2</c:v>
                </c:pt>
              </c:numCache>
            </c:numRef>
          </c:yVal>
          <c:smooth val="0"/>
          <c:extLst>
            <c:ext xmlns:c16="http://schemas.microsoft.com/office/drawing/2014/chart" uri="{C3380CC4-5D6E-409C-BE32-E72D297353CC}">
              <c16:uniqueId val="{00000003-2BE9-4386-B01E-8585F32E2C8D}"/>
            </c:ext>
          </c:extLst>
        </c:ser>
        <c:ser>
          <c:idx val="7"/>
          <c:order val="4"/>
          <c:tx>
            <c:strRef>
              <c:f>Data!$A$162</c:f>
              <c:strCache>
                <c:ptCount val="1"/>
                <c:pt idx="0">
                  <c:v>TV 10.2 EH</c:v>
                </c:pt>
              </c:strCache>
            </c:strRef>
          </c:tx>
          <c:spPr>
            <a:ln>
              <a:solidFill>
                <a:schemeClr val="accent6"/>
              </a:solidFill>
            </a:ln>
          </c:spPr>
          <c:marker>
            <c:symbol val="none"/>
          </c:marker>
          <c:xVal>
            <c:numRef>
              <c:f>Data!$C$164:$X$164</c:f>
              <c:numCache>
                <c:formatCode>0</c:formatCode>
                <c:ptCount val="22"/>
                <c:pt idx="0">
                  <c:v>0</c:v>
                </c:pt>
                <c:pt idx="1">
                  <c:v>1562.5</c:v>
                </c:pt>
                <c:pt idx="2">
                  <c:v>1562.5</c:v>
                </c:pt>
                <c:pt idx="3">
                  <c:v>2976.2369791666665</c:v>
                </c:pt>
                <c:pt idx="4">
                  <c:v>4389.973958333333</c:v>
                </c:pt>
                <c:pt idx="5">
                  <c:v>5803.7109375</c:v>
                </c:pt>
                <c:pt idx="6">
                  <c:v>7217.447916666667</c:v>
                </c:pt>
                <c:pt idx="7">
                  <c:v>8631.1848958333339</c:v>
                </c:pt>
                <c:pt idx="8">
                  <c:v>10044.921875</c:v>
                </c:pt>
                <c:pt idx="9">
                  <c:v>11458.658854166666</c:v>
                </c:pt>
                <c:pt idx="10">
                  <c:v>12872.395833333334</c:v>
                </c:pt>
                <c:pt idx="11">
                  <c:v>12869.791666666666</c:v>
                </c:pt>
                <c:pt idx="12">
                  <c:v>12869.791666666666</c:v>
                </c:pt>
                <c:pt idx="13">
                  <c:v>10042.96875</c:v>
                </c:pt>
                <c:pt idx="14">
                  <c:v>8629.5572916666661</c:v>
                </c:pt>
                <c:pt idx="15">
                  <c:v>7216.145833333333</c:v>
                </c:pt>
                <c:pt idx="16">
                  <c:v>5802.734375</c:v>
                </c:pt>
                <c:pt idx="17">
                  <c:v>4389.322916666667</c:v>
                </c:pt>
                <c:pt idx="18">
                  <c:v>2975.9114583333335</c:v>
                </c:pt>
                <c:pt idx="19">
                  <c:v>1562.5</c:v>
                </c:pt>
                <c:pt idx="20">
                  <c:v>1562.5</c:v>
                </c:pt>
                <c:pt idx="21">
                  <c:v>0</c:v>
                </c:pt>
              </c:numCache>
            </c:numRef>
          </c:xVal>
          <c:yVal>
            <c:numRef>
              <c:f>Data!$C$169:$X$169</c:f>
              <c:numCache>
                <c:formatCode>0.00</c:formatCode>
                <c:ptCount val="22"/>
                <c:pt idx="0">
                  <c:v>6.5</c:v>
                </c:pt>
                <c:pt idx="1">
                  <c:v>6.5</c:v>
                </c:pt>
                <c:pt idx="2">
                  <c:v>6.5</c:v>
                </c:pt>
                <c:pt idx="3">
                  <c:v>6.5</c:v>
                </c:pt>
                <c:pt idx="4">
                  <c:v>6.5</c:v>
                </c:pt>
                <c:pt idx="5">
                  <c:v>6.5</c:v>
                </c:pt>
                <c:pt idx="6">
                  <c:v>6.5</c:v>
                </c:pt>
                <c:pt idx="7">
                  <c:v>6.2542981944059504</c:v>
                </c:pt>
                <c:pt idx="8">
                  <c:v>5.4436497364144829</c:v>
                </c:pt>
                <c:pt idx="9">
                  <c:v>4.5267106877947763</c:v>
                </c:pt>
                <c:pt idx="10">
                  <c:v>3.5034810485468335</c:v>
                </c:pt>
                <c:pt idx="11">
                  <c:v>3.5</c:v>
                </c:pt>
                <c:pt idx="12">
                  <c:v>3.5</c:v>
                </c:pt>
                <c:pt idx="13">
                  <c:v>3.5</c:v>
                </c:pt>
                <c:pt idx="14">
                  <c:v>3.5</c:v>
                </c:pt>
                <c:pt idx="15">
                  <c:v>3.5</c:v>
                </c:pt>
                <c:pt idx="16">
                  <c:v>3.5</c:v>
                </c:pt>
                <c:pt idx="17">
                  <c:v>3.5</c:v>
                </c:pt>
                <c:pt idx="18">
                  <c:v>3.5</c:v>
                </c:pt>
                <c:pt idx="19">
                  <c:v>3.5</c:v>
                </c:pt>
                <c:pt idx="20">
                  <c:v>3.5</c:v>
                </c:pt>
                <c:pt idx="21">
                  <c:v>3.5</c:v>
                </c:pt>
              </c:numCache>
            </c:numRef>
          </c:yVal>
          <c:smooth val="0"/>
          <c:extLst>
            <c:ext xmlns:c16="http://schemas.microsoft.com/office/drawing/2014/chart" uri="{C3380CC4-5D6E-409C-BE32-E72D297353CC}">
              <c16:uniqueId val="{00000004-2BE9-4386-B01E-8585F32E2C8D}"/>
            </c:ext>
          </c:extLst>
        </c:ser>
        <c:ser>
          <c:idx val="9"/>
          <c:order val="5"/>
          <c:tx>
            <c:strRef>
              <c:f>Data!$A$192</c:f>
              <c:strCache>
                <c:ptCount val="1"/>
                <c:pt idx="0">
                  <c:v>TV 14.2 EH</c:v>
                </c:pt>
              </c:strCache>
            </c:strRef>
          </c:tx>
          <c:spPr>
            <a:ln>
              <a:solidFill>
                <a:srgbClr val="FFFF00"/>
              </a:solidFill>
            </a:ln>
          </c:spPr>
          <c:marker>
            <c:symbol val="none"/>
          </c:marker>
          <c:xVal>
            <c:numRef>
              <c:f>Data!$C$194:$X$194</c:f>
              <c:numCache>
                <c:formatCode>0</c:formatCode>
                <c:ptCount val="22"/>
                <c:pt idx="0">
                  <c:v>0</c:v>
                </c:pt>
                <c:pt idx="1">
                  <c:v>1562.5</c:v>
                </c:pt>
                <c:pt idx="2">
                  <c:v>1562.5</c:v>
                </c:pt>
                <c:pt idx="3">
                  <c:v>2774.0885416666665</c:v>
                </c:pt>
                <c:pt idx="4">
                  <c:v>3985.677083333333</c:v>
                </c:pt>
                <c:pt idx="5">
                  <c:v>5197.265625</c:v>
                </c:pt>
                <c:pt idx="6">
                  <c:v>6408.854166666667</c:v>
                </c:pt>
                <c:pt idx="7">
                  <c:v>7620.442708333333</c:v>
                </c:pt>
                <c:pt idx="8">
                  <c:v>8832.03125</c:v>
                </c:pt>
                <c:pt idx="9">
                  <c:v>10043.619791666666</c:v>
                </c:pt>
                <c:pt idx="10">
                  <c:v>11255.208333333334</c:v>
                </c:pt>
                <c:pt idx="11">
                  <c:v>11252.604166666666</c:v>
                </c:pt>
                <c:pt idx="12">
                  <c:v>11252.604166666666</c:v>
                </c:pt>
                <c:pt idx="13">
                  <c:v>8830.078125</c:v>
                </c:pt>
                <c:pt idx="14">
                  <c:v>7618.8151041666661</c:v>
                </c:pt>
                <c:pt idx="15">
                  <c:v>6407.552083333333</c:v>
                </c:pt>
                <c:pt idx="16">
                  <c:v>5196.2890625</c:v>
                </c:pt>
                <c:pt idx="17">
                  <c:v>3985.0260416666665</c:v>
                </c:pt>
                <c:pt idx="18">
                  <c:v>2773.7630208333335</c:v>
                </c:pt>
                <c:pt idx="19">
                  <c:v>1562.5</c:v>
                </c:pt>
                <c:pt idx="20">
                  <c:v>1562.5</c:v>
                </c:pt>
                <c:pt idx="21">
                  <c:v>0</c:v>
                </c:pt>
              </c:numCache>
            </c:numRef>
          </c:xVal>
          <c:yVal>
            <c:numRef>
              <c:f>Data!$C$199:$X$199</c:f>
              <c:numCache>
                <c:formatCode>0.00</c:formatCode>
                <c:ptCount val="22"/>
                <c:pt idx="0">
                  <c:v>10</c:v>
                </c:pt>
                <c:pt idx="1">
                  <c:v>10</c:v>
                </c:pt>
                <c:pt idx="2">
                  <c:v>10</c:v>
                </c:pt>
                <c:pt idx="3">
                  <c:v>10</c:v>
                </c:pt>
                <c:pt idx="4">
                  <c:v>10</c:v>
                </c:pt>
                <c:pt idx="5">
                  <c:v>10</c:v>
                </c:pt>
                <c:pt idx="6">
                  <c:v>10</c:v>
                </c:pt>
                <c:pt idx="7">
                  <c:v>10</c:v>
                </c:pt>
                <c:pt idx="8">
                  <c:v>9.0072527638888893</c:v>
                </c:pt>
                <c:pt idx="9">
                  <c:v>7.3873266161882913</c:v>
                </c:pt>
                <c:pt idx="10">
                  <c:v>5.4997142814169662</c:v>
                </c:pt>
                <c:pt idx="11">
                  <c:v>5.5</c:v>
                </c:pt>
                <c:pt idx="12">
                  <c:v>5.5</c:v>
                </c:pt>
                <c:pt idx="13">
                  <c:v>5.5</c:v>
                </c:pt>
                <c:pt idx="14">
                  <c:v>5.5</c:v>
                </c:pt>
                <c:pt idx="15">
                  <c:v>5.5</c:v>
                </c:pt>
                <c:pt idx="16">
                  <c:v>5.5</c:v>
                </c:pt>
                <c:pt idx="17">
                  <c:v>5.5</c:v>
                </c:pt>
                <c:pt idx="18">
                  <c:v>5.5</c:v>
                </c:pt>
                <c:pt idx="19">
                  <c:v>5.5</c:v>
                </c:pt>
                <c:pt idx="20">
                  <c:v>5.5</c:v>
                </c:pt>
                <c:pt idx="21">
                  <c:v>5.5</c:v>
                </c:pt>
              </c:numCache>
            </c:numRef>
          </c:yVal>
          <c:smooth val="0"/>
          <c:extLst>
            <c:ext xmlns:c16="http://schemas.microsoft.com/office/drawing/2014/chart" uri="{C3380CC4-5D6E-409C-BE32-E72D297353CC}">
              <c16:uniqueId val="{00000005-2BE9-4386-B01E-8585F32E2C8D}"/>
            </c:ext>
          </c:extLst>
        </c:ser>
        <c:dLbls>
          <c:showLegendKey val="0"/>
          <c:showVal val="0"/>
          <c:showCatName val="0"/>
          <c:showSerName val="0"/>
          <c:showPercent val="0"/>
          <c:showBubbleSize val="0"/>
        </c:dLbls>
        <c:axId val="353137312"/>
        <c:axId val="353137872"/>
      </c:scatterChart>
      <c:valAx>
        <c:axId val="353137312"/>
        <c:scaling>
          <c:orientation val="minMax"/>
          <c:min val="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400" b="0" i="0" u="none" strike="noStrike" baseline="0">
                    <a:solidFill>
                      <a:srgbClr val="000000"/>
                    </a:solidFill>
                    <a:latin typeface="Arial"/>
                    <a:ea typeface="Arial"/>
                    <a:cs typeface="Arial"/>
                  </a:defRPr>
                </a:pPr>
                <a:r>
                  <a:rPr lang="pl-PL"/>
                  <a:t>Q kW</a:t>
                </a:r>
              </a:p>
            </c:rich>
          </c:tx>
          <c:layout>
            <c:manualLayout>
              <c:xMode val="edge"/>
              <c:yMode val="edge"/>
              <c:x val="0.41914011539696788"/>
              <c:y val="0.930824876057160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3137872"/>
        <c:crosses val="autoZero"/>
        <c:crossBetween val="midCat"/>
        <c:majorUnit val="500"/>
        <c:minorUnit val="100"/>
      </c:valAx>
      <c:valAx>
        <c:axId val="353137872"/>
        <c:scaling>
          <c:orientation val="minMax"/>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pl-PL"/>
                  <a:t>Pman bar</a:t>
                </a:r>
              </a:p>
            </c:rich>
          </c:tx>
          <c:layout>
            <c:manualLayout>
              <c:xMode val="edge"/>
              <c:yMode val="edge"/>
              <c:x val="2.7107988083768027E-2"/>
              <c:y val="0.43340347039953353"/>
            </c:manualLayout>
          </c:layout>
          <c:overlay val="0"/>
          <c:spPr>
            <a:noFill/>
            <a:ln w="25400">
              <a:noFill/>
            </a:ln>
          </c:spPr>
        </c:title>
        <c:numFmt formatCode="0.0" sourceLinked="1"/>
        <c:majorTickMark val="out"/>
        <c:minorTickMark val="out"/>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3137312"/>
        <c:crosses val="autoZero"/>
        <c:crossBetween val="midCat"/>
        <c:majorUnit val="1"/>
        <c:minorUnit val="0.5"/>
      </c:valAx>
      <c:spPr>
        <a:solidFill>
          <a:srgbClr val="CCCCFF"/>
        </a:solidFill>
        <a:ln w="12700">
          <a:solidFill>
            <a:srgbClr val="CCCCFF"/>
          </a:solidFill>
          <a:prstDash val="solid"/>
        </a:ln>
      </c:spPr>
    </c:plotArea>
    <c:legend>
      <c:legendPos val="r"/>
      <c:layout>
        <c:manualLayout>
          <c:xMode val="edge"/>
          <c:yMode val="edge"/>
          <c:x val="0.83367841678018184"/>
          <c:y val="0.38714260717410343"/>
          <c:w val="7.661367487291941E-2"/>
          <c:h val="0.40841163604549435"/>
        </c:manualLayout>
      </c:layout>
      <c:overlay val="0"/>
      <c:spPr>
        <a:solidFill>
          <a:srgbClr val="FFFFFF"/>
        </a:solidFill>
        <a:ln w="25400">
          <a:noFill/>
        </a:ln>
      </c:spPr>
      <c:txPr>
        <a:bodyPr/>
        <a:lstStyle/>
        <a:p>
          <a:pPr>
            <a:defRPr sz="108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034" footer="0.49212598450000034"/>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a:t>Transfero TV.1 Connect - p0/Q </a:t>
            </a:r>
          </a:p>
        </c:rich>
      </c:tx>
      <c:layout>
        <c:manualLayout>
          <c:xMode val="edge"/>
          <c:yMode val="edge"/>
          <c:x val="0.39387366136195051"/>
          <c:y val="2.7149314668999742E-2"/>
        </c:manualLayout>
      </c:layout>
      <c:overlay val="0"/>
      <c:spPr>
        <a:noFill/>
        <a:ln w="25400">
          <a:noFill/>
        </a:ln>
      </c:spPr>
    </c:title>
    <c:autoTitleDeleted val="0"/>
    <c:plotArea>
      <c:layout>
        <c:manualLayout>
          <c:layoutTarget val="inner"/>
          <c:xMode val="edge"/>
          <c:yMode val="edge"/>
          <c:x val="8.3125976993110445E-2"/>
          <c:y val="0.13040760310173441"/>
          <c:w val="0.70346472368837765"/>
          <c:h val="0.73798244086723219"/>
        </c:manualLayout>
      </c:layout>
      <c:scatterChart>
        <c:scatterStyle val="smoothMarker"/>
        <c:varyColors val="0"/>
        <c:ser>
          <c:idx val="4"/>
          <c:order val="0"/>
          <c:tx>
            <c:v>Arbeitspunkt</c:v>
          </c:tx>
          <c:spPr>
            <a:ln w="28575">
              <a:noFill/>
            </a:ln>
          </c:spPr>
          <c:marker>
            <c:symbol val="diamond"/>
            <c:size val="10"/>
            <c:spPr>
              <a:solidFill>
                <a:srgbClr val="000000"/>
              </a:solidFill>
              <a:ln w="9525">
                <a:noFill/>
              </a:ln>
            </c:spPr>
          </c:marker>
          <c:xVal>
            <c:numRef>
              <c:f>'Selection pman-p0-Q'!$P$25</c:f>
              <c:numCache>
                <c:formatCode>General</c:formatCode>
                <c:ptCount val="1"/>
                <c:pt idx="0">
                  <c:v>616</c:v>
                </c:pt>
              </c:numCache>
            </c:numRef>
          </c:xVal>
          <c:yVal>
            <c:numRef>
              <c:f>'Selection pman-p0-Q'!$P$22</c:f>
              <c:numCache>
                <c:formatCode>0.0</c:formatCode>
                <c:ptCount val="1"/>
                <c:pt idx="0">
                  <c:v>1.8284000000000005</c:v>
                </c:pt>
              </c:numCache>
            </c:numRef>
          </c:yVal>
          <c:smooth val="0"/>
          <c:extLst>
            <c:ext xmlns:c16="http://schemas.microsoft.com/office/drawing/2014/chart" uri="{C3380CC4-5D6E-409C-BE32-E72D297353CC}">
              <c16:uniqueId val="{00000000-3611-4046-9B32-997DB6A1E879}"/>
            </c:ext>
          </c:extLst>
        </c:ser>
        <c:ser>
          <c:idx val="0"/>
          <c:order val="1"/>
          <c:tx>
            <c:strRef>
              <c:f>Data!$A$52</c:f>
              <c:strCache>
                <c:ptCount val="1"/>
                <c:pt idx="0">
                  <c:v>TV 4.1 E</c:v>
                </c:pt>
              </c:strCache>
            </c:strRef>
          </c:tx>
          <c:spPr>
            <a:ln w="25400">
              <a:solidFill>
                <a:srgbClr val="FF0000"/>
              </a:solidFill>
              <a:prstDash val="solid"/>
            </a:ln>
          </c:spPr>
          <c:marker>
            <c:symbol val="none"/>
          </c:marker>
          <c:xVal>
            <c:numRef>
              <c:f>Data!$C$54:$X$54</c:f>
              <c:numCache>
                <c:formatCode>0</c:formatCode>
                <c:ptCount val="22"/>
                <c:pt idx="0">
                  <c:v>0</c:v>
                </c:pt>
                <c:pt idx="1">
                  <c:v>1531.25</c:v>
                </c:pt>
                <c:pt idx="2">
                  <c:v>1531.25</c:v>
                </c:pt>
                <c:pt idx="3">
                  <c:v>1728.7174479166665</c:v>
                </c:pt>
                <c:pt idx="4">
                  <c:v>1926.1848958333333</c:v>
                </c:pt>
                <c:pt idx="5">
                  <c:v>2123.65234375</c:v>
                </c:pt>
                <c:pt idx="6">
                  <c:v>2321.1197916666665</c:v>
                </c:pt>
                <c:pt idx="7">
                  <c:v>2518.587239583333</c:v>
                </c:pt>
                <c:pt idx="8">
                  <c:v>2622.8787363636166</c:v>
                </c:pt>
                <c:pt idx="9">
                  <c:v>2622.8787363636166</c:v>
                </c:pt>
                <c:pt idx="10">
                  <c:v>2622.8787363636166</c:v>
                </c:pt>
                <c:pt idx="11">
                  <c:v>2622.8787363636166</c:v>
                </c:pt>
                <c:pt idx="12">
                  <c:v>2622.8787363636166</c:v>
                </c:pt>
                <c:pt idx="13">
                  <c:v>2622.8787363636166</c:v>
                </c:pt>
                <c:pt idx="14">
                  <c:v>2516.9921875</c:v>
                </c:pt>
                <c:pt idx="15">
                  <c:v>2319.84375</c:v>
                </c:pt>
                <c:pt idx="16">
                  <c:v>2122.6953125</c:v>
                </c:pt>
                <c:pt idx="17">
                  <c:v>1925.5468749999998</c:v>
                </c:pt>
                <c:pt idx="18">
                  <c:v>1728.3984375</c:v>
                </c:pt>
                <c:pt idx="19">
                  <c:v>1531.25</c:v>
                </c:pt>
                <c:pt idx="20">
                  <c:v>1531.25</c:v>
                </c:pt>
                <c:pt idx="21">
                  <c:v>0</c:v>
                </c:pt>
              </c:numCache>
            </c:numRef>
          </c:xVal>
          <c:yVal>
            <c:numRef>
              <c:f>Data!$C$60:$X$60</c:f>
              <c:numCache>
                <c:formatCode>0.00</c:formatCode>
                <c:ptCount val="22"/>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1.8022226331360942</c:v>
                </c:pt>
                <c:pt idx="15">
                  <c:v>1.4556946745562129</c:v>
                </c:pt>
                <c:pt idx="16">
                  <c:v>1.1374155325443784</c:v>
                </c:pt>
                <c:pt idx="17">
                  <c:v>0.84738520710059162</c:v>
                </c:pt>
                <c:pt idx="18">
                  <c:v>0.58560369822485203</c:v>
                </c:pt>
                <c:pt idx="19">
                  <c:v>0.5</c:v>
                </c:pt>
                <c:pt idx="20">
                  <c:v>0.5</c:v>
                </c:pt>
                <c:pt idx="21">
                  <c:v>0.5</c:v>
                </c:pt>
              </c:numCache>
            </c:numRef>
          </c:yVal>
          <c:smooth val="0"/>
          <c:extLst>
            <c:ext xmlns:c16="http://schemas.microsoft.com/office/drawing/2014/chart" uri="{C3380CC4-5D6E-409C-BE32-E72D297353CC}">
              <c16:uniqueId val="{00000001-3611-4046-9B32-997DB6A1E879}"/>
            </c:ext>
          </c:extLst>
        </c:ser>
        <c:ser>
          <c:idx val="5"/>
          <c:order val="2"/>
          <c:tx>
            <c:strRef>
              <c:f>Data!$A$62</c:f>
              <c:strCache>
                <c:ptCount val="1"/>
                <c:pt idx="0">
                  <c:v>TV 4.1 EH</c:v>
                </c:pt>
              </c:strCache>
            </c:strRef>
          </c:tx>
          <c:spPr>
            <a:ln>
              <a:solidFill>
                <a:srgbClr val="FF0000"/>
              </a:solidFill>
              <a:prstDash val="dash"/>
            </a:ln>
          </c:spPr>
          <c:marker>
            <c:symbol val="none"/>
          </c:marker>
          <c:xVal>
            <c:numRef>
              <c:f>Data!$C$64:$X$64</c:f>
              <c:numCache>
                <c:formatCode>0</c:formatCode>
                <c:ptCount val="22"/>
                <c:pt idx="0">
                  <c:v>0</c:v>
                </c:pt>
                <c:pt idx="1">
                  <c:v>1562.5</c:v>
                </c:pt>
                <c:pt idx="2">
                  <c:v>1562.5</c:v>
                </c:pt>
                <c:pt idx="3">
                  <c:v>2286.7838541666665</c:v>
                </c:pt>
                <c:pt idx="4">
                  <c:v>3011.0677083333335</c:v>
                </c:pt>
                <c:pt idx="5">
                  <c:v>3735.3515625</c:v>
                </c:pt>
                <c:pt idx="6">
                  <c:v>4459.635416666667</c:v>
                </c:pt>
                <c:pt idx="7">
                  <c:v>5183.919270833333</c:v>
                </c:pt>
                <c:pt idx="8">
                  <c:v>5908.203125</c:v>
                </c:pt>
                <c:pt idx="9">
                  <c:v>6632.486979166667</c:v>
                </c:pt>
                <c:pt idx="10">
                  <c:v>7356.770833333333</c:v>
                </c:pt>
                <c:pt idx="11">
                  <c:v>7354.1666666666661</c:v>
                </c:pt>
                <c:pt idx="12">
                  <c:v>7354.1666666666661</c:v>
                </c:pt>
                <c:pt idx="13">
                  <c:v>5906.25</c:v>
                </c:pt>
                <c:pt idx="14">
                  <c:v>5182.291666666667</c:v>
                </c:pt>
                <c:pt idx="15">
                  <c:v>4458.333333333333</c:v>
                </c:pt>
                <c:pt idx="16">
                  <c:v>3734.375</c:v>
                </c:pt>
                <c:pt idx="17">
                  <c:v>3010.4166666666665</c:v>
                </c:pt>
                <c:pt idx="18">
                  <c:v>2286.4583333333335</c:v>
                </c:pt>
                <c:pt idx="19">
                  <c:v>1562.5</c:v>
                </c:pt>
                <c:pt idx="20">
                  <c:v>1562.5</c:v>
                </c:pt>
                <c:pt idx="21">
                  <c:v>0</c:v>
                </c:pt>
              </c:numCache>
            </c:numRef>
          </c:xVal>
          <c:yVal>
            <c:numRef>
              <c:f>Data!$C$70:$X$70</c:f>
              <c:numCache>
                <c:formatCode>0.00</c:formatCode>
                <c:ptCount val="22"/>
                <c:pt idx="0">
                  <c:v>2</c:v>
                </c:pt>
                <c:pt idx="1">
                  <c:v>2</c:v>
                </c:pt>
                <c:pt idx="2">
                  <c:v>2</c:v>
                </c:pt>
                <c:pt idx="3">
                  <c:v>2</c:v>
                </c:pt>
                <c:pt idx="4">
                  <c:v>2</c:v>
                </c:pt>
                <c:pt idx="5">
                  <c:v>2</c:v>
                </c:pt>
                <c:pt idx="6">
                  <c:v>2</c:v>
                </c:pt>
                <c:pt idx="7">
                  <c:v>1.9987611193594463</c:v>
                </c:pt>
                <c:pt idx="8">
                  <c:v>1.5455343551626659</c:v>
                </c:pt>
                <c:pt idx="9">
                  <c:v>1.0458313059130406</c:v>
                </c:pt>
                <c:pt idx="10">
                  <c:v>0.49965197161057073</c:v>
                </c:pt>
                <c:pt idx="11">
                  <c:v>0.5</c:v>
                </c:pt>
                <c:pt idx="12">
                  <c:v>0.5</c:v>
                </c:pt>
                <c:pt idx="13">
                  <c:v>0.5</c:v>
                </c:pt>
                <c:pt idx="14">
                  <c:v>0.5</c:v>
                </c:pt>
                <c:pt idx="15">
                  <c:v>0.5</c:v>
                </c:pt>
                <c:pt idx="16">
                  <c:v>0.5</c:v>
                </c:pt>
                <c:pt idx="17">
                  <c:v>0.5</c:v>
                </c:pt>
                <c:pt idx="18">
                  <c:v>0.5</c:v>
                </c:pt>
                <c:pt idx="19">
                  <c:v>0.5</c:v>
                </c:pt>
                <c:pt idx="20">
                  <c:v>0.5</c:v>
                </c:pt>
                <c:pt idx="21">
                  <c:v>0.5</c:v>
                </c:pt>
              </c:numCache>
            </c:numRef>
          </c:yVal>
          <c:smooth val="0"/>
          <c:extLst>
            <c:ext xmlns:c16="http://schemas.microsoft.com/office/drawing/2014/chart" uri="{C3380CC4-5D6E-409C-BE32-E72D297353CC}">
              <c16:uniqueId val="{00000002-3611-4046-9B32-997DB6A1E879}"/>
            </c:ext>
          </c:extLst>
        </c:ser>
        <c:ser>
          <c:idx val="1"/>
          <c:order val="3"/>
          <c:tx>
            <c:strRef>
              <c:f>Data!$A$82</c:f>
              <c:strCache>
                <c:ptCount val="1"/>
                <c:pt idx="0">
                  <c:v>TV 6.1 E</c:v>
                </c:pt>
              </c:strCache>
            </c:strRef>
          </c:tx>
          <c:spPr>
            <a:ln>
              <a:solidFill>
                <a:schemeClr val="accent1"/>
              </a:solidFill>
            </a:ln>
          </c:spPr>
          <c:marker>
            <c:symbol val="none"/>
          </c:marker>
          <c:xVal>
            <c:numRef>
              <c:f>Data!$C$84:$X$84</c:f>
              <c:numCache>
                <c:formatCode>0</c:formatCode>
                <c:ptCount val="22"/>
                <c:pt idx="0">
                  <c:v>0</c:v>
                </c:pt>
                <c:pt idx="1">
                  <c:v>1562.5</c:v>
                </c:pt>
                <c:pt idx="2">
                  <c:v>1562.5</c:v>
                </c:pt>
                <c:pt idx="3">
                  <c:v>1830.078125</c:v>
                </c:pt>
                <c:pt idx="4">
                  <c:v>2097.65625</c:v>
                </c:pt>
                <c:pt idx="5">
                  <c:v>2365.234375</c:v>
                </c:pt>
                <c:pt idx="6">
                  <c:v>2632.8125</c:v>
                </c:pt>
                <c:pt idx="7">
                  <c:v>2900.390625</c:v>
                </c:pt>
                <c:pt idx="8">
                  <c:v>2676.4068738404253</c:v>
                </c:pt>
                <c:pt idx="9">
                  <c:v>2676.4068738404253</c:v>
                </c:pt>
                <c:pt idx="10">
                  <c:v>2676.4068738404253</c:v>
                </c:pt>
                <c:pt idx="11">
                  <c:v>2676.4068738404253</c:v>
                </c:pt>
                <c:pt idx="12">
                  <c:v>2676.4068738404253</c:v>
                </c:pt>
                <c:pt idx="13">
                  <c:v>3166.015625</c:v>
                </c:pt>
                <c:pt idx="14">
                  <c:v>2898.7630208333335</c:v>
                </c:pt>
                <c:pt idx="15">
                  <c:v>2631.5104166666665</c:v>
                </c:pt>
                <c:pt idx="16">
                  <c:v>2364.2578125</c:v>
                </c:pt>
                <c:pt idx="17">
                  <c:v>2097.0052083333335</c:v>
                </c:pt>
                <c:pt idx="18">
                  <c:v>1829.7526041666665</c:v>
                </c:pt>
                <c:pt idx="19">
                  <c:v>1562.5</c:v>
                </c:pt>
                <c:pt idx="20">
                  <c:v>1562.5</c:v>
                </c:pt>
                <c:pt idx="21">
                  <c:v>0</c:v>
                </c:pt>
              </c:numCache>
            </c:numRef>
          </c:xVal>
          <c:yVal>
            <c:numRef>
              <c:f>Data!$C$90:$X$90</c:f>
              <c:numCache>
                <c:formatCode>0.00</c:formatCode>
                <c:ptCount val="22"/>
                <c:pt idx="0">
                  <c:v>3</c:v>
                </c:pt>
                <c:pt idx="1">
                  <c:v>3</c:v>
                </c:pt>
                <c:pt idx="2">
                  <c:v>3</c:v>
                </c:pt>
                <c:pt idx="3">
                  <c:v>3</c:v>
                </c:pt>
                <c:pt idx="4">
                  <c:v>3</c:v>
                </c:pt>
                <c:pt idx="5">
                  <c:v>3</c:v>
                </c:pt>
                <c:pt idx="6">
                  <c:v>3</c:v>
                </c:pt>
                <c:pt idx="7">
                  <c:v>3</c:v>
                </c:pt>
                <c:pt idx="8">
                  <c:v>3</c:v>
                </c:pt>
                <c:pt idx="9">
                  <c:v>3</c:v>
                </c:pt>
                <c:pt idx="10">
                  <c:v>3</c:v>
                </c:pt>
                <c:pt idx="11">
                  <c:v>3</c:v>
                </c:pt>
                <c:pt idx="12">
                  <c:v>3</c:v>
                </c:pt>
                <c:pt idx="13">
                  <c:v>2.998338609467456</c:v>
                </c:pt>
                <c:pt idx="14">
                  <c:v>2.4326562499999991</c:v>
                </c:pt>
                <c:pt idx="15">
                  <c:v>1.9168289940828398</c:v>
                </c:pt>
                <c:pt idx="16">
                  <c:v>1.450856841715976</c:v>
                </c:pt>
                <c:pt idx="17">
                  <c:v>1.0347397928994082</c:v>
                </c:pt>
                <c:pt idx="18">
                  <c:v>1</c:v>
                </c:pt>
                <c:pt idx="19">
                  <c:v>1</c:v>
                </c:pt>
                <c:pt idx="20">
                  <c:v>1</c:v>
                </c:pt>
                <c:pt idx="21">
                  <c:v>1</c:v>
                </c:pt>
              </c:numCache>
            </c:numRef>
          </c:yVal>
          <c:smooth val="0"/>
          <c:extLst>
            <c:ext xmlns:c16="http://schemas.microsoft.com/office/drawing/2014/chart" uri="{C3380CC4-5D6E-409C-BE32-E72D297353CC}">
              <c16:uniqueId val="{00000003-3611-4046-9B32-997DB6A1E879}"/>
            </c:ext>
          </c:extLst>
        </c:ser>
        <c:ser>
          <c:idx val="2"/>
          <c:order val="4"/>
          <c:tx>
            <c:strRef>
              <c:f>Data!$A$92</c:f>
              <c:strCache>
                <c:ptCount val="1"/>
                <c:pt idx="0">
                  <c:v>TV 6.1 EH</c:v>
                </c:pt>
              </c:strCache>
            </c:strRef>
          </c:tx>
          <c:spPr>
            <a:ln w="28575">
              <a:solidFill>
                <a:schemeClr val="accent1"/>
              </a:solidFill>
              <a:prstDash val="dash"/>
            </a:ln>
          </c:spPr>
          <c:marker>
            <c:symbol val="none"/>
          </c:marker>
          <c:xVal>
            <c:numRef>
              <c:f>Data!$C$94:$X$94</c:f>
              <c:numCache>
                <c:formatCode>0</c:formatCode>
                <c:ptCount val="22"/>
                <c:pt idx="0">
                  <c:v>0</c:v>
                </c:pt>
                <c:pt idx="1">
                  <c:v>1562.5</c:v>
                </c:pt>
                <c:pt idx="2">
                  <c:v>1562.5</c:v>
                </c:pt>
                <c:pt idx="3">
                  <c:v>2345.703125</c:v>
                </c:pt>
                <c:pt idx="4">
                  <c:v>3128.90625</c:v>
                </c:pt>
                <c:pt idx="5">
                  <c:v>3912.109375</c:v>
                </c:pt>
                <c:pt idx="6">
                  <c:v>4695.3125</c:v>
                </c:pt>
                <c:pt idx="7">
                  <c:v>5478.515625</c:v>
                </c:pt>
                <c:pt idx="8">
                  <c:v>6261.71875</c:v>
                </c:pt>
                <c:pt idx="9">
                  <c:v>7044.921875</c:v>
                </c:pt>
                <c:pt idx="10">
                  <c:v>7828.125</c:v>
                </c:pt>
                <c:pt idx="11">
                  <c:v>7825.520833333333</c:v>
                </c:pt>
                <c:pt idx="12">
                  <c:v>7825.520833333333</c:v>
                </c:pt>
                <c:pt idx="13">
                  <c:v>6259.765625</c:v>
                </c:pt>
                <c:pt idx="14">
                  <c:v>5476.888020833333</c:v>
                </c:pt>
                <c:pt idx="15">
                  <c:v>4694.010416666667</c:v>
                </c:pt>
                <c:pt idx="16">
                  <c:v>3911.1328125</c:v>
                </c:pt>
                <c:pt idx="17">
                  <c:v>3128.2552083333335</c:v>
                </c:pt>
                <c:pt idx="18">
                  <c:v>2345.3776041666665</c:v>
                </c:pt>
                <c:pt idx="19">
                  <c:v>1562.5</c:v>
                </c:pt>
                <c:pt idx="20">
                  <c:v>1562.5</c:v>
                </c:pt>
                <c:pt idx="21">
                  <c:v>0</c:v>
                </c:pt>
              </c:numCache>
            </c:numRef>
          </c:xVal>
          <c:yVal>
            <c:numRef>
              <c:f>Data!$C$100:$X$100</c:f>
              <c:numCache>
                <c:formatCode>0.00</c:formatCode>
                <c:ptCount val="22"/>
                <c:pt idx="0">
                  <c:v>3</c:v>
                </c:pt>
                <c:pt idx="1">
                  <c:v>3</c:v>
                </c:pt>
                <c:pt idx="2">
                  <c:v>3</c:v>
                </c:pt>
                <c:pt idx="3">
                  <c:v>3</c:v>
                </c:pt>
                <c:pt idx="4">
                  <c:v>3</c:v>
                </c:pt>
                <c:pt idx="5">
                  <c:v>3</c:v>
                </c:pt>
                <c:pt idx="6">
                  <c:v>3</c:v>
                </c:pt>
                <c:pt idx="7">
                  <c:v>2.9317104337254896</c:v>
                </c:pt>
                <c:pt idx="8">
                  <c:v>2.3828256715767724</c:v>
                </c:pt>
                <c:pt idx="9">
                  <c:v>1.7722919177762773</c:v>
                </c:pt>
                <c:pt idx="10">
                  <c:v>1.1000576676628617</c:v>
                </c:pt>
                <c:pt idx="11">
                  <c:v>1</c:v>
                </c:pt>
                <c:pt idx="12">
                  <c:v>1</c:v>
                </c:pt>
                <c:pt idx="13">
                  <c:v>1</c:v>
                </c:pt>
                <c:pt idx="14">
                  <c:v>1</c:v>
                </c:pt>
                <c:pt idx="15">
                  <c:v>1</c:v>
                </c:pt>
                <c:pt idx="16">
                  <c:v>1</c:v>
                </c:pt>
                <c:pt idx="17">
                  <c:v>1</c:v>
                </c:pt>
                <c:pt idx="18">
                  <c:v>1</c:v>
                </c:pt>
                <c:pt idx="19">
                  <c:v>1</c:v>
                </c:pt>
                <c:pt idx="20">
                  <c:v>1</c:v>
                </c:pt>
                <c:pt idx="21">
                  <c:v>1</c:v>
                </c:pt>
              </c:numCache>
            </c:numRef>
          </c:yVal>
          <c:smooth val="0"/>
          <c:extLst>
            <c:ext xmlns:c16="http://schemas.microsoft.com/office/drawing/2014/chart" uri="{C3380CC4-5D6E-409C-BE32-E72D297353CC}">
              <c16:uniqueId val="{00000004-3611-4046-9B32-997DB6A1E879}"/>
            </c:ext>
          </c:extLst>
        </c:ser>
        <c:ser>
          <c:idx val="3"/>
          <c:order val="5"/>
          <c:tx>
            <c:strRef>
              <c:f>Data!$A$112</c:f>
              <c:strCache>
                <c:ptCount val="1"/>
                <c:pt idx="0">
                  <c:v>TV 8.1 E</c:v>
                </c:pt>
              </c:strCache>
            </c:strRef>
          </c:tx>
          <c:spPr>
            <a:ln w="28575">
              <a:solidFill>
                <a:srgbClr val="92D050"/>
              </a:solidFill>
            </a:ln>
          </c:spPr>
          <c:marker>
            <c:symbol val="none"/>
          </c:marker>
          <c:xVal>
            <c:numRef>
              <c:f>Data!$C$114:$X$114</c:f>
              <c:numCache>
                <c:formatCode>0</c:formatCode>
                <c:ptCount val="22"/>
                <c:pt idx="0">
                  <c:v>0</c:v>
                </c:pt>
                <c:pt idx="1">
                  <c:v>1578.125</c:v>
                </c:pt>
                <c:pt idx="2">
                  <c:v>1578.125</c:v>
                </c:pt>
                <c:pt idx="3">
                  <c:v>1834.2415364583333</c:v>
                </c:pt>
                <c:pt idx="4">
                  <c:v>2090.3580729166665</c:v>
                </c:pt>
                <c:pt idx="5">
                  <c:v>2346.474609375</c:v>
                </c:pt>
                <c:pt idx="6">
                  <c:v>2602.591145833333</c:v>
                </c:pt>
                <c:pt idx="7">
                  <c:v>2858.707682291667</c:v>
                </c:pt>
                <c:pt idx="8">
                  <c:v>3114.82421875</c:v>
                </c:pt>
                <c:pt idx="9">
                  <c:v>3370.9407552083335</c:v>
                </c:pt>
                <c:pt idx="10">
                  <c:v>2703.1709425788295</c:v>
                </c:pt>
                <c:pt idx="11">
                  <c:v>3624.427083333333</c:v>
                </c:pt>
                <c:pt idx="12">
                  <c:v>3624.427083333333</c:v>
                </c:pt>
                <c:pt idx="13">
                  <c:v>3112.8515625</c:v>
                </c:pt>
                <c:pt idx="14">
                  <c:v>2857.063802083333</c:v>
                </c:pt>
                <c:pt idx="15">
                  <c:v>2601.2760416666665</c:v>
                </c:pt>
                <c:pt idx="16">
                  <c:v>2345.48828125</c:v>
                </c:pt>
                <c:pt idx="17">
                  <c:v>2089.7005208333335</c:v>
                </c:pt>
                <c:pt idx="18">
                  <c:v>1833.9127604166665</c:v>
                </c:pt>
                <c:pt idx="19">
                  <c:v>1578.125</c:v>
                </c:pt>
                <c:pt idx="20">
                  <c:v>1578.125</c:v>
                </c:pt>
                <c:pt idx="21">
                  <c:v>0</c:v>
                </c:pt>
              </c:numCache>
            </c:numRef>
          </c:xVal>
          <c:yVal>
            <c:numRef>
              <c:f>Data!$C$120:$X$120</c:f>
              <c:numCache>
                <c:formatCode>0.00</c:formatCode>
                <c:ptCount val="22"/>
                <c:pt idx="0">
                  <c:v>4</c:v>
                </c:pt>
                <c:pt idx="1">
                  <c:v>4</c:v>
                </c:pt>
                <c:pt idx="2">
                  <c:v>4</c:v>
                </c:pt>
                <c:pt idx="3">
                  <c:v>4</c:v>
                </c:pt>
                <c:pt idx="4">
                  <c:v>4</c:v>
                </c:pt>
                <c:pt idx="5">
                  <c:v>4</c:v>
                </c:pt>
                <c:pt idx="6">
                  <c:v>4</c:v>
                </c:pt>
                <c:pt idx="7">
                  <c:v>4</c:v>
                </c:pt>
                <c:pt idx="8">
                  <c:v>4</c:v>
                </c:pt>
                <c:pt idx="9">
                  <c:v>4</c:v>
                </c:pt>
                <c:pt idx="10">
                  <c:v>4</c:v>
                </c:pt>
                <c:pt idx="11">
                  <c:v>3.9943999999999988</c:v>
                </c:pt>
                <c:pt idx="12">
                  <c:v>3.9943999999999988</c:v>
                </c:pt>
                <c:pt idx="13">
                  <c:v>2.8152005917159757</c:v>
                </c:pt>
                <c:pt idx="14">
                  <c:v>2.2927551775147923</c:v>
                </c:pt>
                <c:pt idx="15">
                  <c:v>1.8150792899408281</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5-3611-4046-9B32-997DB6A1E879}"/>
            </c:ext>
          </c:extLst>
        </c:ser>
        <c:ser>
          <c:idx val="6"/>
          <c:order val="6"/>
          <c:tx>
            <c:strRef>
              <c:f>Data!$A$122</c:f>
              <c:strCache>
                <c:ptCount val="1"/>
                <c:pt idx="0">
                  <c:v>TV 8.1 EH</c:v>
                </c:pt>
              </c:strCache>
            </c:strRef>
          </c:tx>
          <c:spPr>
            <a:ln>
              <a:solidFill>
                <a:srgbClr val="92D050"/>
              </a:solidFill>
              <a:prstDash val="dash"/>
            </a:ln>
          </c:spPr>
          <c:marker>
            <c:symbol val="none"/>
          </c:marker>
          <c:xVal>
            <c:numRef>
              <c:f>Data!$C$124:$X$124</c:f>
              <c:numCache>
                <c:formatCode>0</c:formatCode>
                <c:ptCount val="22"/>
                <c:pt idx="0">
                  <c:v>0</c:v>
                </c:pt>
                <c:pt idx="1">
                  <c:v>1578.125</c:v>
                </c:pt>
                <c:pt idx="2">
                  <c:v>1578.125</c:v>
                </c:pt>
                <c:pt idx="3">
                  <c:v>2402.9254557291665</c:v>
                </c:pt>
                <c:pt idx="4">
                  <c:v>3227.7259114583335</c:v>
                </c:pt>
                <c:pt idx="5">
                  <c:v>4052.5263671874995</c:v>
                </c:pt>
                <c:pt idx="6">
                  <c:v>4877.3268229166661</c:v>
                </c:pt>
                <c:pt idx="7">
                  <c:v>5702.1272786458339</c:v>
                </c:pt>
                <c:pt idx="8">
                  <c:v>6526.9277343749991</c:v>
                </c:pt>
                <c:pt idx="9">
                  <c:v>7351.7281901041661</c:v>
                </c:pt>
                <c:pt idx="10">
                  <c:v>8176.528645833333</c:v>
                </c:pt>
                <c:pt idx="11">
                  <c:v>8173.8984375</c:v>
                </c:pt>
                <c:pt idx="12">
                  <c:v>8173.8984375</c:v>
                </c:pt>
                <c:pt idx="13">
                  <c:v>6524.9550781249991</c:v>
                </c:pt>
                <c:pt idx="14">
                  <c:v>5700.4833984374991</c:v>
                </c:pt>
                <c:pt idx="15">
                  <c:v>4876.01171875</c:v>
                </c:pt>
                <c:pt idx="16">
                  <c:v>4051.5400390624995</c:v>
                </c:pt>
                <c:pt idx="17">
                  <c:v>3227.068359375</c:v>
                </c:pt>
                <c:pt idx="18">
                  <c:v>2402.5966796875005</c:v>
                </c:pt>
                <c:pt idx="19">
                  <c:v>1578.125</c:v>
                </c:pt>
                <c:pt idx="20">
                  <c:v>1578.125</c:v>
                </c:pt>
                <c:pt idx="21">
                  <c:v>0</c:v>
                </c:pt>
              </c:numCache>
            </c:numRef>
          </c:xVal>
          <c:yVal>
            <c:numRef>
              <c:f>Data!$C$130:$X$130</c:f>
              <c:numCache>
                <c:formatCode>0.00</c:formatCode>
                <c:ptCount val="22"/>
                <c:pt idx="0">
                  <c:v>4</c:v>
                </c:pt>
                <c:pt idx="1">
                  <c:v>4</c:v>
                </c:pt>
                <c:pt idx="2">
                  <c:v>4</c:v>
                </c:pt>
                <c:pt idx="3">
                  <c:v>4</c:v>
                </c:pt>
                <c:pt idx="4">
                  <c:v>4</c:v>
                </c:pt>
                <c:pt idx="5">
                  <c:v>4</c:v>
                </c:pt>
                <c:pt idx="6">
                  <c:v>4</c:v>
                </c:pt>
                <c:pt idx="7">
                  <c:v>3.6645348972911496</c:v>
                </c:pt>
                <c:pt idx="8">
                  <c:v>3.0149497438738386</c:v>
                </c:pt>
                <c:pt idx="9">
                  <c:v>2.2934948073395689</c:v>
                </c:pt>
                <c:pt idx="10">
                  <c:v>1.5000336987044594</c:v>
                </c:pt>
                <c:pt idx="11">
                  <c:v>1.5</c:v>
                </c:pt>
                <c:pt idx="12">
                  <c:v>1.5</c:v>
                </c:pt>
                <c:pt idx="13">
                  <c:v>1.5</c:v>
                </c:pt>
                <c:pt idx="14">
                  <c:v>1.5</c:v>
                </c:pt>
                <c:pt idx="15">
                  <c:v>1.5</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6-3611-4046-9B32-997DB6A1E879}"/>
            </c:ext>
          </c:extLst>
        </c:ser>
        <c:ser>
          <c:idx val="7"/>
          <c:order val="7"/>
          <c:tx>
            <c:strRef>
              <c:f>Data!$A$142</c:f>
              <c:strCache>
                <c:ptCount val="1"/>
                <c:pt idx="0">
                  <c:v>TV 10.1 E</c:v>
                </c:pt>
              </c:strCache>
            </c:strRef>
          </c:tx>
          <c:spPr>
            <a:ln>
              <a:solidFill>
                <a:schemeClr val="accent6"/>
              </a:solidFill>
            </a:ln>
          </c:spPr>
          <c:marker>
            <c:symbol val="none"/>
          </c:marker>
          <c:xVal>
            <c:numRef>
              <c:f>Data!$C$144:$X$144</c:f>
              <c:numCache>
                <c:formatCode>0</c:formatCode>
                <c:ptCount val="22"/>
                <c:pt idx="0">
                  <c:v>0</c:v>
                </c:pt>
                <c:pt idx="1">
                  <c:v>1562.5</c:v>
                </c:pt>
                <c:pt idx="2">
                  <c:v>1562.5</c:v>
                </c:pt>
                <c:pt idx="3">
                  <c:v>1725.5859375</c:v>
                </c:pt>
                <c:pt idx="4">
                  <c:v>1888.671875</c:v>
                </c:pt>
                <c:pt idx="5">
                  <c:v>2051.7578125</c:v>
                </c:pt>
                <c:pt idx="6">
                  <c:v>2214.84375</c:v>
                </c:pt>
                <c:pt idx="7">
                  <c:v>2377.9296875</c:v>
                </c:pt>
                <c:pt idx="8">
                  <c:v>2541.015625</c:v>
                </c:pt>
                <c:pt idx="9">
                  <c:v>2704.1015625</c:v>
                </c:pt>
                <c:pt idx="10">
                  <c:v>2864.5833333333335</c:v>
                </c:pt>
                <c:pt idx="11">
                  <c:v>2864.5833333333335</c:v>
                </c:pt>
                <c:pt idx="12">
                  <c:v>2864.5833333333335</c:v>
                </c:pt>
                <c:pt idx="13">
                  <c:v>2850.2604166666665</c:v>
                </c:pt>
                <c:pt idx="14">
                  <c:v>2376.3020833333335</c:v>
                </c:pt>
                <c:pt idx="15">
                  <c:v>2213.5416666666665</c:v>
                </c:pt>
                <c:pt idx="16">
                  <c:v>2050.78125</c:v>
                </c:pt>
                <c:pt idx="17">
                  <c:v>1888.0208333333333</c:v>
                </c:pt>
                <c:pt idx="18">
                  <c:v>1725.2604166666667</c:v>
                </c:pt>
                <c:pt idx="19">
                  <c:v>1562.5</c:v>
                </c:pt>
                <c:pt idx="20">
                  <c:v>1562.5</c:v>
                </c:pt>
                <c:pt idx="21">
                  <c:v>0</c:v>
                </c:pt>
              </c:numCache>
            </c:numRef>
          </c:xVal>
          <c:yVal>
            <c:numRef>
              <c:f>Data!$C$150:$X$150</c:f>
              <c:numCache>
                <c:formatCode>0.00</c:formatCode>
                <c:ptCount val="22"/>
                <c:pt idx="0">
                  <c:v>6</c:v>
                </c:pt>
                <c:pt idx="1">
                  <c:v>6</c:v>
                </c:pt>
                <c:pt idx="2">
                  <c:v>6</c:v>
                </c:pt>
                <c:pt idx="3">
                  <c:v>6</c:v>
                </c:pt>
                <c:pt idx="4">
                  <c:v>6</c:v>
                </c:pt>
                <c:pt idx="5">
                  <c:v>6</c:v>
                </c:pt>
                <c:pt idx="6">
                  <c:v>6</c:v>
                </c:pt>
                <c:pt idx="7">
                  <c:v>6</c:v>
                </c:pt>
                <c:pt idx="8">
                  <c:v>6</c:v>
                </c:pt>
                <c:pt idx="9">
                  <c:v>6</c:v>
                </c:pt>
                <c:pt idx="10">
                  <c:v>6</c:v>
                </c:pt>
                <c:pt idx="11">
                  <c:v>6</c:v>
                </c:pt>
                <c:pt idx="12">
                  <c:v>6</c:v>
                </c:pt>
                <c:pt idx="13">
                  <c:v>3</c:v>
                </c:pt>
                <c:pt idx="14">
                  <c:v>3</c:v>
                </c:pt>
                <c:pt idx="15">
                  <c:v>3</c:v>
                </c:pt>
                <c:pt idx="16">
                  <c:v>3</c:v>
                </c:pt>
                <c:pt idx="17">
                  <c:v>3</c:v>
                </c:pt>
                <c:pt idx="18">
                  <c:v>3</c:v>
                </c:pt>
                <c:pt idx="19">
                  <c:v>3</c:v>
                </c:pt>
                <c:pt idx="20">
                  <c:v>3</c:v>
                </c:pt>
                <c:pt idx="21">
                  <c:v>3</c:v>
                </c:pt>
              </c:numCache>
            </c:numRef>
          </c:yVal>
          <c:smooth val="0"/>
          <c:extLst>
            <c:ext xmlns:c16="http://schemas.microsoft.com/office/drawing/2014/chart" uri="{C3380CC4-5D6E-409C-BE32-E72D297353CC}">
              <c16:uniqueId val="{00000007-3611-4046-9B32-997DB6A1E879}"/>
            </c:ext>
          </c:extLst>
        </c:ser>
        <c:ser>
          <c:idx val="8"/>
          <c:order val="8"/>
          <c:tx>
            <c:strRef>
              <c:f>Data!$A$152</c:f>
              <c:strCache>
                <c:ptCount val="1"/>
                <c:pt idx="0">
                  <c:v>TV 10.1 EH</c:v>
                </c:pt>
              </c:strCache>
            </c:strRef>
          </c:tx>
          <c:spPr>
            <a:ln>
              <a:solidFill>
                <a:schemeClr val="accent6"/>
              </a:solidFill>
              <a:prstDash val="dash"/>
            </a:ln>
          </c:spPr>
          <c:marker>
            <c:symbol val="none"/>
          </c:marker>
          <c:xVal>
            <c:numRef>
              <c:f>Data!$C$154:$X$154</c:f>
              <c:numCache>
                <c:formatCode>0</c:formatCode>
                <c:ptCount val="22"/>
                <c:pt idx="0">
                  <c:v>0</c:v>
                </c:pt>
                <c:pt idx="1">
                  <c:v>1562.5</c:v>
                </c:pt>
                <c:pt idx="2">
                  <c:v>1562.5</c:v>
                </c:pt>
                <c:pt idx="3">
                  <c:v>2371.09375</c:v>
                </c:pt>
                <c:pt idx="4">
                  <c:v>3179.6875</c:v>
                </c:pt>
                <c:pt idx="5">
                  <c:v>3988.28125</c:v>
                </c:pt>
                <c:pt idx="6">
                  <c:v>4796.875</c:v>
                </c:pt>
                <c:pt idx="7">
                  <c:v>5605.46875</c:v>
                </c:pt>
                <c:pt idx="8">
                  <c:v>6414.0625</c:v>
                </c:pt>
                <c:pt idx="9">
                  <c:v>7222.65625</c:v>
                </c:pt>
                <c:pt idx="10">
                  <c:v>8031.25</c:v>
                </c:pt>
                <c:pt idx="11">
                  <c:v>8028.645833333333</c:v>
                </c:pt>
                <c:pt idx="12">
                  <c:v>8028.645833333333</c:v>
                </c:pt>
                <c:pt idx="13">
                  <c:v>6412.109375</c:v>
                </c:pt>
                <c:pt idx="14">
                  <c:v>5603.841145833333</c:v>
                </c:pt>
                <c:pt idx="15">
                  <c:v>4795.572916666667</c:v>
                </c:pt>
                <c:pt idx="16">
                  <c:v>3987.3046875</c:v>
                </c:pt>
                <c:pt idx="17">
                  <c:v>3179.0364583333335</c:v>
                </c:pt>
                <c:pt idx="18">
                  <c:v>2370.7682291666665</c:v>
                </c:pt>
                <c:pt idx="19">
                  <c:v>1562.5</c:v>
                </c:pt>
                <c:pt idx="20">
                  <c:v>1562.5</c:v>
                </c:pt>
                <c:pt idx="21">
                  <c:v>0</c:v>
                </c:pt>
              </c:numCache>
            </c:numRef>
          </c:xVal>
          <c:yVal>
            <c:numRef>
              <c:f>Data!$C$160:$X$160</c:f>
              <c:numCache>
                <c:formatCode>0.00</c:formatCode>
                <c:ptCount val="22"/>
                <c:pt idx="0">
                  <c:v>6</c:v>
                </c:pt>
                <c:pt idx="1">
                  <c:v>6</c:v>
                </c:pt>
                <c:pt idx="2">
                  <c:v>6</c:v>
                </c:pt>
                <c:pt idx="3">
                  <c:v>6</c:v>
                </c:pt>
                <c:pt idx="4">
                  <c:v>6</c:v>
                </c:pt>
                <c:pt idx="5">
                  <c:v>6</c:v>
                </c:pt>
                <c:pt idx="6">
                  <c:v>6</c:v>
                </c:pt>
                <c:pt idx="7">
                  <c:v>5.5079487499999997</c:v>
                </c:pt>
                <c:pt idx="8">
                  <c:v>4.7561118632956561</c:v>
                </c:pt>
                <c:pt idx="9">
                  <c:v>3.9198285446460437</c:v>
                </c:pt>
                <c:pt idx="10">
                  <c:v>2.9990987940511591</c:v>
                </c:pt>
                <c:pt idx="11">
                  <c:v>3</c:v>
                </c:pt>
                <c:pt idx="12">
                  <c:v>3</c:v>
                </c:pt>
                <c:pt idx="13">
                  <c:v>3</c:v>
                </c:pt>
                <c:pt idx="14">
                  <c:v>3</c:v>
                </c:pt>
                <c:pt idx="15">
                  <c:v>3</c:v>
                </c:pt>
                <c:pt idx="16">
                  <c:v>3</c:v>
                </c:pt>
                <c:pt idx="17">
                  <c:v>3</c:v>
                </c:pt>
                <c:pt idx="18">
                  <c:v>3</c:v>
                </c:pt>
                <c:pt idx="19">
                  <c:v>3</c:v>
                </c:pt>
                <c:pt idx="20">
                  <c:v>3</c:v>
                </c:pt>
                <c:pt idx="21">
                  <c:v>3</c:v>
                </c:pt>
              </c:numCache>
            </c:numRef>
          </c:yVal>
          <c:smooth val="1"/>
          <c:extLst>
            <c:ext xmlns:c16="http://schemas.microsoft.com/office/drawing/2014/chart" uri="{C3380CC4-5D6E-409C-BE32-E72D297353CC}">
              <c16:uniqueId val="{00000008-3611-4046-9B32-997DB6A1E879}"/>
            </c:ext>
          </c:extLst>
        </c:ser>
        <c:ser>
          <c:idx val="9"/>
          <c:order val="9"/>
          <c:tx>
            <c:strRef>
              <c:f>Data!$A$172</c:f>
              <c:strCache>
                <c:ptCount val="1"/>
                <c:pt idx="0">
                  <c:v>TV 14.1 E</c:v>
                </c:pt>
              </c:strCache>
            </c:strRef>
          </c:tx>
          <c:spPr>
            <a:ln>
              <a:solidFill>
                <a:srgbClr val="FFFF00"/>
              </a:solidFill>
            </a:ln>
          </c:spPr>
          <c:marker>
            <c:symbol val="none"/>
          </c:marker>
          <c:xVal>
            <c:numRef>
              <c:f>Data!$C$174:$X$174</c:f>
              <c:numCache>
                <c:formatCode>0</c:formatCode>
                <c:ptCount val="22"/>
                <c:pt idx="0">
                  <c:v>0</c:v>
                </c:pt>
                <c:pt idx="1">
                  <c:v>1562.5</c:v>
                </c:pt>
                <c:pt idx="2">
                  <c:v>1562.5</c:v>
                </c:pt>
                <c:pt idx="3">
                  <c:v>1725.5859375</c:v>
                </c:pt>
                <c:pt idx="4">
                  <c:v>1888.671875</c:v>
                </c:pt>
                <c:pt idx="5">
                  <c:v>2051.7578125</c:v>
                </c:pt>
                <c:pt idx="6">
                  <c:v>2214.84375</c:v>
                </c:pt>
                <c:pt idx="7">
                  <c:v>2377.9296875</c:v>
                </c:pt>
                <c:pt idx="8">
                  <c:v>2541.015625</c:v>
                </c:pt>
                <c:pt idx="9">
                  <c:v>2704.1015625</c:v>
                </c:pt>
                <c:pt idx="10">
                  <c:v>2864.5833333333335</c:v>
                </c:pt>
                <c:pt idx="11">
                  <c:v>2864.5833333333335</c:v>
                </c:pt>
                <c:pt idx="12">
                  <c:v>2864.5833333333335</c:v>
                </c:pt>
                <c:pt idx="13">
                  <c:v>2850.2604166666665</c:v>
                </c:pt>
                <c:pt idx="14">
                  <c:v>2376.3020833333335</c:v>
                </c:pt>
                <c:pt idx="15">
                  <c:v>2213.5416666666665</c:v>
                </c:pt>
                <c:pt idx="16">
                  <c:v>2050.78125</c:v>
                </c:pt>
                <c:pt idx="17">
                  <c:v>1888.0208333333333</c:v>
                </c:pt>
                <c:pt idx="18">
                  <c:v>1725.2604166666667</c:v>
                </c:pt>
                <c:pt idx="19">
                  <c:v>1562.5</c:v>
                </c:pt>
                <c:pt idx="20">
                  <c:v>1562.5</c:v>
                </c:pt>
                <c:pt idx="21">
                  <c:v>0</c:v>
                </c:pt>
              </c:numCache>
            </c:numRef>
          </c:xVal>
          <c:yVal>
            <c:numRef>
              <c:f>Data!$C$180:$X$180</c:f>
              <c:numCache>
                <c:formatCode>0.00</c:formatCode>
                <c:ptCount val="22"/>
                <c:pt idx="0">
                  <c:v>9.5</c:v>
                </c:pt>
                <c:pt idx="1">
                  <c:v>9.5</c:v>
                </c:pt>
                <c:pt idx="2">
                  <c:v>9.5</c:v>
                </c:pt>
                <c:pt idx="3">
                  <c:v>9.5</c:v>
                </c:pt>
                <c:pt idx="4">
                  <c:v>9.5</c:v>
                </c:pt>
                <c:pt idx="5">
                  <c:v>9.5</c:v>
                </c:pt>
                <c:pt idx="6">
                  <c:v>9.5</c:v>
                </c:pt>
                <c:pt idx="7">
                  <c:v>9.5</c:v>
                </c:pt>
                <c:pt idx="8">
                  <c:v>9.5</c:v>
                </c:pt>
                <c:pt idx="9">
                  <c:v>9.5</c:v>
                </c:pt>
                <c:pt idx="10">
                  <c:v>9.5</c:v>
                </c:pt>
                <c:pt idx="11">
                  <c:v>9.5</c:v>
                </c:pt>
                <c:pt idx="12">
                  <c:v>9.5</c:v>
                </c:pt>
                <c:pt idx="13">
                  <c:v>5</c:v>
                </c:pt>
                <c:pt idx="14">
                  <c:v>5</c:v>
                </c:pt>
                <c:pt idx="15">
                  <c:v>5</c:v>
                </c:pt>
                <c:pt idx="16">
                  <c:v>5</c:v>
                </c:pt>
                <c:pt idx="17">
                  <c:v>5</c:v>
                </c:pt>
                <c:pt idx="18">
                  <c:v>5</c:v>
                </c:pt>
                <c:pt idx="19">
                  <c:v>5</c:v>
                </c:pt>
                <c:pt idx="20">
                  <c:v>5</c:v>
                </c:pt>
                <c:pt idx="21">
                  <c:v>5</c:v>
                </c:pt>
              </c:numCache>
            </c:numRef>
          </c:yVal>
          <c:smooth val="0"/>
          <c:extLst>
            <c:ext xmlns:c16="http://schemas.microsoft.com/office/drawing/2014/chart" uri="{C3380CC4-5D6E-409C-BE32-E72D297353CC}">
              <c16:uniqueId val="{00000009-3611-4046-9B32-997DB6A1E879}"/>
            </c:ext>
          </c:extLst>
        </c:ser>
        <c:ser>
          <c:idx val="10"/>
          <c:order val="10"/>
          <c:tx>
            <c:strRef>
              <c:f>Data!$A$182</c:f>
              <c:strCache>
                <c:ptCount val="1"/>
                <c:pt idx="0">
                  <c:v>TV 14.1 EH</c:v>
                </c:pt>
              </c:strCache>
            </c:strRef>
          </c:tx>
          <c:spPr>
            <a:ln>
              <a:solidFill>
                <a:srgbClr val="FFFF00"/>
              </a:solidFill>
              <a:prstDash val="dash"/>
            </a:ln>
          </c:spPr>
          <c:marker>
            <c:symbol val="none"/>
          </c:marker>
          <c:xVal>
            <c:numRef>
              <c:f>Data!$C$184:$X$184</c:f>
              <c:numCache>
                <c:formatCode>0</c:formatCode>
                <c:ptCount val="22"/>
                <c:pt idx="0">
                  <c:v>0</c:v>
                </c:pt>
                <c:pt idx="1">
                  <c:v>1562.5</c:v>
                </c:pt>
                <c:pt idx="2">
                  <c:v>1562.5</c:v>
                </c:pt>
                <c:pt idx="3">
                  <c:v>2128.2552083333335</c:v>
                </c:pt>
                <c:pt idx="4">
                  <c:v>2694.0104166666665</c:v>
                </c:pt>
                <c:pt idx="5">
                  <c:v>3259.765625</c:v>
                </c:pt>
                <c:pt idx="6">
                  <c:v>3825.520833333333</c:v>
                </c:pt>
                <c:pt idx="7">
                  <c:v>4391.276041666667</c:v>
                </c:pt>
                <c:pt idx="8">
                  <c:v>4957.03125</c:v>
                </c:pt>
                <c:pt idx="9">
                  <c:v>5522.786458333333</c:v>
                </c:pt>
                <c:pt idx="10">
                  <c:v>6088.541666666667</c:v>
                </c:pt>
                <c:pt idx="11">
                  <c:v>6085.9375</c:v>
                </c:pt>
                <c:pt idx="12">
                  <c:v>6085.9375</c:v>
                </c:pt>
                <c:pt idx="13">
                  <c:v>4955.078125</c:v>
                </c:pt>
                <c:pt idx="14">
                  <c:v>4389.6484375</c:v>
                </c:pt>
                <c:pt idx="15">
                  <c:v>3824.21875</c:v>
                </c:pt>
                <c:pt idx="16">
                  <c:v>3258.7890625</c:v>
                </c:pt>
                <c:pt idx="17">
                  <c:v>2693.359375</c:v>
                </c:pt>
                <c:pt idx="18">
                  <c:v>2127.9296875</c:v>
                </c:pt>
                <c:pt idx="19">
                  <c:v>1562.5</c:v>
                </c:pt>
                <c:pt idx="20">
                  <c:v>1562.5</c:v>
                </c:pt>
                <c:pt idx="21">
                  <c:v>0</c:v>
                </c:pt>
              </c:numCache>
            </c:numRef>
          </c:xVal>
          <c:yVal>
            <c:numRef>
              <c:f>Data!$C$190:$X$190</c:f>
              <c:numCache>
                <c:formatCode>0.00</c:formatCode>
                <c:ptCount val="22"/>
                <c:pt idx="0">
                  <c:v>9.5</c:v>
                </c:pt>
                <c:pt idx="1">
                  <c:v>9.5</c:v>
                </c:pt>
                <c:pt idx="2">
                  <c:v>9.5</c:v>
                </c:pt>
                <c:pt idx="3">
                  <c:v>9.5</c:v>
                </c:pt>
                <c:pt idx="4">
                  <c:v>9.5</c:v>
                </c:pt>
                <c:pt idx="5">
                  <c:v>9.5</c:v>
                </c:pt>
                <c:pt idx="6">
                  <c:v>9.5</c:v>
                </c:pt>
                <c:pt idx="7">
                  <c:v>9.2533943967928813</c:v>
                </c:pt>
                <c:pt idx="8">
                  <c:v>8.0283181873610587</c:v>
                </c:pt>
                <c:pt idx="9">
                  <c:v>6.6102571390133997</c:v>
                </c:pt>
                <c:pt idx="10">
                  <c:v>4.9992112517499034</c:v>
                </c:pt>
                <c:pt idx="11">
                  <c:v>5</c:v>
                </c:pt>
                <c:pt idx="12">
                  <c:v>5</c:v>
                </c:pt>
                <c:pt idx="13">
                  <c:v>5</c:v>
                </c:pt>
                <c:pt idx="14">
                  <c:v>5</c:v>
                </c:pt>
                <c:pt idx="15">
                  <c:v>5</c:v>
                </c:pt>
                <c:pt idx="16">
                  <c:v>5</c:v>
                </c:pt>
                <c:pt idx="17">
                  <c:v>5</c:v>
                </c:pt>
                <c:pt idx="18">
                  <c:v>5</c:v>
                </c:pt>
                <c:pt idx="19">
                  <c:v>5</c:v>
                </c:pt>
                <c:pt idx="20">
                  <c:v>5</c:v>
                </c:pt>
                <c:pt idx="21">
                  <c:v>5</c:v>
                </c:pt>
              </c:numCache>
            </c:numRef>
          </c:yVal>
          <c:smooth val="0"/>
          <c:extLst>
            <c:ext xmlns:c16="http://schemas.microsoft.com/office/drawing/2014/chart" uri="{C3380CC4-5D6E-409C-BE32-E72D297353CC}">
              <c16:uniqueId val="{0000000A-3611-4046-9B32-997DB6A1E879}"/>
            </c:ext>
          </c:extLst>
        </c:ser>
        <c:dLbls>
          <c:showLegendKey val="0"/>
          <c:showVal val="0"/>
          <c:showCatName val="0"/>
          <c:showSerName val="0"/>
          <c:showPercent val="0"/>
          <c:showBubbleSize val="0"/>
        </c:dLbls>
        <c:axId val="357925840"/>
        <c:axId val="357926400"/>
      </c:scatterChart>
      <c:valAx>
        <c:axId val="357925840"/>
        <c:scaling>
          <c:orientation val="minMax"/>
          <c:min val="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400" b="0" i="0" u="none" strike="noStrike" baseline="0">
                    <a:solidFill>
                      <a:srgbClr val="000000"/>
                    </a:solidFill>
                    <a:latin typeface="Arial"/>
                    <a:ea typeface="Arial"/>
                    <a:cs typeface="Arial"/>
                  </a:defRPr>
                </a:pPr>
                <a:r>
                  <a:rPr lang="pl-PL"/>
                  <a:t>Q kW</a:t>
                </a:r>
              </a:p>
            </c:rich>
          </c:tx>
          <c:layout>
            <c:manualLayout>
              <c:xMode val="edge"/>
              <c:yMode val="edge"/>
              <c:x val="0.41914011539696788"/>
              <c:y val="0.930824876057160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7926400"/>
        <c:crosses val="autoZero"/>
        <c:crossBetween val="midCat"/>
        <c:majorUnit val="500"/>
        <c:minorUnit val="100"/>
      </c:valAx>
      <c:valAx>
        <c:axId val="357926400"/>
        <c:scaling>
          <c:orientation val="minMax"/>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pl-PL"/>
                  <a:t>p0 bar</a:t>
                </a:r>
              </a:p>
            </c:rich>
          </c:tx>
          <c:layout>
            <c:manualLayout>
              <c:xMode val="edge"/>
              <c:yMode val="edge"/>
              <c:x val="2.7107988083768027E-2"/>
              <c:y val="0.43340347039953353"/>
            </c:manualLayout>
          </c:layout>
          <c:overlay val="0"/>
          <c:spPr>
            <a:noFill/>
            <a:ln w="25400">
              <a:noFill/>
            </a:ln>
          </c:spPr>
        </c:title>
        <c:numFmt formatCode="0.0" sourceLinked="1"/>
        <c:majorTickMark val="out"/>
        <c:minorTickMark val="out"/>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7925840"/>
        <c:crosses val="autoZero"/>
        <c:crossBetween val="midCat"/>
        <c:majorUnit val="1"/>
        <c:minorUnit val="0.5"/>
      </c:valAx>
      <c:spPr>
        <a:solidFill>
          <a:srgbClr val="CCCCFF"/>
        </a:solidFill>
        <a:ln w="12700">
          <a:solidFill>
            <a:srgbClr val="CCCCFF"/>
          </a:solidFill>
          <a:prstDash val="solid"/>
        </a:ln>
      </c:spPr>
    </c:plotArea>
    <c:legend>
      <c:legendPos val="r"/>
      <c:layout>
        <c:manualLayout>
          <c:xMode val="edge"/>
          <c:yMode val="edge"/>
          <c:x val="0.83367841678018184"/>
          <c:y val="0.38714260717410343"/>
          <c:w val="7.661367487291941E-2"/>
          <c:h val="0.40841163604549435"/>
        </c:manualLayout>
      </c:layout>
      <c:overlay val="0"/>
      <c:spPr>
        <a:solidFill>
          <a:srgbClr val="FFFFFF"/>
        </a:solidFill>
        <a:ln w="25400">
          <a:noFill/>
        </a:ln>
      </c:spPr>
      <c:txPr>
        <a:bodyPr/>
        <a:lstStyle/>
        <a:p>
          <a:pPr>
            <a:defRPr sz="108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034" footer="0.49212598450000034"/>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sz="1400" b="1"/>
              <a:t>Transfero TV.1 Connect  </a:t>
            </a:r>
          </a:p>
        </c:rich>
      </c:tx>
      <c:layout>
        <c:manualLayout>
          <c:xMode val="edge"/>
          <c:yMode val="edge"/>
          <c:x val="0.25725816046362704"/>
          <c:y val="1.1307264558031939E-2"/>
        </c:manualLayout>
      </c:layout>
      <c:overlay val="0"/>
      <c:spPr>
        <a:noFill/>
        <a:ln w="25400">
          <a:noFill/>
        </a:ln>
      </c:spPr>
    </c:title>
    <c:autoTitleDeleted val="0"/>
    <c:plotArea>
      <c:layout>
        <c:manualLayout>
          <c:layoutTarget val="inner"/>
          <c:xMode val="edge"/>
          <c:yMode val="edge"/>
          <c:x val="8.3125947072464429E-2"/>
          <c:y val="8.0690066284087467E-2"/>
          <c:w val="0.70346472368837754"/>
          <c:h val="0.77081066571224022"/>
        </c:manualLayout>
      </c:layout>
      <c:scatterChart>
        <c:scatterStyle val="smoothMarker"/>
        <c:varyColors val="0"/>
        <c:ser>
          <c:idx val="4"/>
          <c:order val="0"/>
          <c:tx>
            <c:v>Arbeitspunkt</c:v>
          </c:tx>
          <c:spPr>
            <a:ln w="28575">
              <a:noFill/>
            </a:ln>
          </c:spPr>
          <c:marker>
            <c:symbol val="diamond"/>
            <c:size val="10"/>
            <c:spPr>
              <a:solidFill>
                <a:srgbClr val="000000"/>
              </a:solidFill>
              <a:ln w="9525">
                <a:noFill/>
              </a:ln>
            </c:spPr>
          </c:marker>
          <c:xVal>
            <c:numRef>
              <c:f>'Selection pman-p0-qN'!$P$25</c:f>
              <c:numCache>
                <c:formatCode>General</c:formatCode>
                <c:ptCount val="1"/>
                <c:pt idx="0">
                  <c:v>1739.52</c:v>
                </c:pt>
              </c:numCache>
            </c:numRef>
          </c:xVal>
          <c:yVal>
            <c:numRef>
              <c:f>'Selection pman-p0-qN'!$P$22</c:f>
              <c:numCache>
                <c:formatCode>0.0</c:formatCode>
                <c:ptCount val="1"/>
                <c:pt idx="0">
                  <c:v>3.4284000000000003</c:v>
                </c:pt>
              </c:numCache>
            </c:numRef>
          </c:yVal>
          <c:smooth val="0"/>
          <c:extLst>
            <c:ext xmlns:c16="http://schemas.microsoft.com/office/drawing/2014/chart" uri="{C3380CC4-5D6E-409C-BE32-E72D297353CC}">
              <c16:uniqueId val="{00000000-43C1-4054-AAA8-777C71846B5F}"/>
            </c:ext>
          </c:extLst>
        </c:ser>
        <c:ser>
          <c:idx val="0"/>
          <c:order val="1"/>
          <c:tx>
            <c:strRef>
              <c:f>Data!$A$52</c:f>
              <c:strCache>
                <c:ptCount val="1"/>
                <c:pt idx="0">
                  <c:v>TV 4.1 E</c:v>
                </c:pt>
              </c:strCache>
            </c:strRef>
          </c:tx>
          <c:spPr>
            <a:ln w="25400">
              <a:solidFill>
                <a:srgbClr val="FF0000"/>
              </a:solidFill>
              <a:prstDash val="solid"/>
            </a:ln>
          </c:spPr>
          <c:marker>
            <c:symbol val="none"/>
          </c:marker>
          <c:xVal>
            <c:numRef>
              <c:f>Data!$C$53:$X$53</c:f>
              <c:numCache>
                <c:formatCode>General</c:formatCode>
                <c:ptCount val="22"/>
                <c:pt idx="0">
                  <c:v>0</c:v>
                </c:pt>
                <c:pt idx="1">
                  <c:v>588</c:v>
                </c:pt>
                <c:pt idx="2">
                  <c:v>588</c:v>
                </c:pt>
                <c:pt idx="3">
                  <c:v>663.82749999999999</c:v>
                </c:pt>
                <c:pt idx="4">
                  <c:v>739.65499999999997</c:v>
                </c:pt>
                <c:pt idx="5">
                  <c:v>815.48249999999996</c:v>
                </c:pt>
                <c:pt idx="6">
                  <c:v>891.31</c:v>
                </c:pt>
                <c:pt idx="7">
                  <c:v>967.13749999999993</c:v>
                </c:pt>
                <c:pt idx="8">
                  <c:v>1007.1854347636288</c:v>
                </c:pt>
                <c:pt idx="9">
                  <c:v>1007.1854347636288</c:v>
                </c:pt>
                <c:pt idx="10">
                  <c:v>1007.1854347636288</c:v>
                </c:pt>
                <c:pt idx="11">
                  <c:v>1007.1854347636288</c:v>
                </c:pt>
                <c:pt idx="12">
                  <c:v>1007.1854347636288</c:v>
                </c:pt>
                <c:pt idx="13">
                  <c:v>1007.1854347636288</c:v>
                </c:pt>
                <c:pt idx="14">
                  <c:v>966.52499999999998</c:v>
                </c:pt>
                <c:pt idx="15">
                  <c:v>890.81999999999994</c:v>
                </c:pt>
                <c:pt idx="16">
                  <c:v>815.11500000000001</c:v>
                </c:pt>
                <c:pt idx="17">
                  <c:v>739.41</c:v>
                </c:pt>
                <c:pt idx="18">
                  <c:v>663.70500000000004</c:v>
                </c:pt>
                <c:pt idx="19">
                  <c:v>588</c:v>
                </c:pt>
                <c:pt idx="20">
                  <c:v>588</c:v>
                </c:pt>
                <c:pt idx="21">
                  <c:v>0</c:v>
                </c:pt>
              </c:numCache>
            </c:numRef>
          </c:xVal>
          <c:yVal>
            <c:numRef>
              <c:f>Data!$C$59:$X$59</c:f>
              <c:numCache>
                <c:formatCode>0.00</c:formatCode>
                <c:ptCount val="22"/>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2.3022226331360942</c:v>
                </c:pt>
                <c:pt idx="15">
                  <c:v>1.9556946745562129</c:v>
                </c:pt>
                <c:pt idx="16">
                  <c:v>1.6374155325443784</c:v>
                </c:pt>
                <c:pt idx="17">
                  <c:v>1.3473852071005916</c:v>
                </c:pt>
                <c:pt idx="18">
                  <c:v>1.085603698224852</c:v>
                </c:pt>
                <c:pt idx="19">
                  <c:v>1</c:v>
                </c:pt>
                <c:pt idx="20">
                  <c:v>1</c:v>
                </c:pt>
                <c:pt idx="21">
                  <c:v>1</c:v>
                </c:pt>
              </c:numCache>
            </c:numRef>
          </c:yVal>
          <c:smooth val="0"/>
          <c:extLst>
            <c:ext xmlns:c16="http://schemas.microsoft.com/office/drawing/2014/chart" uri="{C3380CC4-5D6E-409C-BE32-E72D297353CC}">
              <c16:uniqueId val="{00000001-43C1-4054-AAA8-777C71846B5F}"/>
            </c:ext>
          </c:extLst>
        </c:ser>
        <c:ser>
          <c:idx val="5"/>
          <c:order val="2"/>
          <c:tx>
            <c:strRef>
              <c:f>Data!$A$62</c:f>
              <c:strCache>
                <c:ptCount val="1"/>
                <c:pt idx="0">
                  <c:v>TV 4.1 EH</c:v>
                </c:pt>
              </c:strCache>
            </c:strRef>
          </c:tx>
          <c:spPr>
            <a:ln>
              <a:solidFill>
                <a:srgbClr val="FF0000"/>
              </a:solidFill>
              <a:prstDash val="dash"/>
            </a:ln>
          </c:spPr>
          <c:marker>
            <c:symbol val="none"/>
          </c:marker>
          <c:xVal>
            <c:numRef>
              <c:f>Data!$C$63:$X$63</c:f>
              <c:numCache>
                <c:formatCode>General</c:formatCode>
                <c:ptCount val="22"/>
                <c:pt idx="0">
                  <c:v>0</c:v>
                </c:pt>
                <c:pt idx="1">
                  <c:v>600</c:v>
                </c:pt>
                <c:pt idx="2">
                  <c:v>600</c:v>
                </c:pt>
                <c:pt idx="3">
                  <c:v>878.125</c:v>
                </c:pt>
                <c:pt idx="4">
                  <c:v>1156.25</c:v>
                </c:pt>
                <c:pt idx="5">
                  <c:v>1434.375</c:v>
                </c:pt>
                <c:pt idx="6">
                  <c:v>1712.5</c:v>
                </c:pt>
                <c:pt idx="7">
                  <c:v>1990.625</c:v>
                </c:pt>
                <c:pt idx="8">
                  <c:v>2268.75</c:v>
                </c:pt>
                <c:pt idx="9">
                  <c:v>2546.875</c:v>
                </c:pt>
                <c:pt idx="10">
                  <c:v>2825</c:v>
                </c:pt>
                <c:pt idx="11">
                  <c:v>2824</c:v>
                </c:pt>
                <c:pt idx="12">
                  <c:v>2824</c:v>
                </c:pt>
                <c:pt idx="13">
                  <c:v>2268</c:v>
                </c:pt>
                <c:pt idx="14">
                  <c:v>1990</c:v>
                </c:pt>
                <c:pt idx="15">
                  <c:v>1712</c:v>
                </c:pt>
                <c:pt idx="16">
                  <c:v>1434</c:v>
                </c:pt>
                <c:pt idx="17">
                  <c:v>1156</c:v>
                </c:pt>
                <c:pt idx="18">
                  <c:v>878</c:v>
                </c:pt>
                <c:pt idx="19">
                  <c:v>600</c:v>
                </c:pt>
                <c:pt idx="20">
                  <c:v>600</c:v>
                </c:pt>
                <c:pt idx="21">
                  <c:v>0</c:v>
                </c:pt>
              </c:numCache>
            </c:numRef>
          </c:xVal>
          <c:yVal>
            <c:numRef>
              <c:f>Data!$C$69:$X$69</c:f>
              <c:numCache>
                <c:formatCode>0.00</c:formatCode>
                <c:ptCount val="22"/>
                <c:pt idx="0">
                  <c:v>2.5</c:v>
                </c:pt>
                <c:pt idx="1">
                  <c:v>2.5</c:v>
                </c:pt>
                <c:pt idx="2">
                  <c:v>2.5</c:v>
                </c:pt>
                <c:pt idx="3">
                  <c:v>2.5</c:v>
                </c:pt>
                <c:pt idx="4">
                  <c:v>2.5</c:v>
                </c:pt>
                <c:pt idx="5">
                  <c:v>2.5</c:v>
                </c:pt>
                <c:pt idx="6">
                  <c:v>2.5</c:v>
                </c:pt>
                <c:pt idx="7">
                  <c:v>2.4987611193594463</c:v>
                </c:pt>
                <c:pt idx="8">
                  <c:v>2.0455343551626659</c:v>
                </c:pt>
                <c:pt idx="9">
                  <c:v>1.5458313059130406</c:v>
                </c:pt>
                <c:pt idx="10">
                  <c:v>0.99965197161057073</c:v>
                </c:pt>
                <c:pt idx="11">
                  <c:v>1</c:v>
                </c:pt>
                <c:pt idx="12">
                  <c:v>1</c:v>
                </c:pt>
                <c:pt idx="13">
                  <c:v>1</c:v>
                </c:pt>
                <c:pt idx="14">
                  <c:v>1</c:v>
                </c:pt>
                <c:pt idx="15">
                  <c:v>1</c:v>
                </c:pt>
                <c:pt idx="16">
                  <c:v>1</c:v>
                </c:pt>
                <c:pt idx="17">
                  <c:v>1</c:v>
                </c:pt>
                <c:pt idx="18">
                  <c:v>1</c:v>
                </c:pt>
                <c:pt idx="19">
                  <c:v>1</c:v>
                </c:pt>
                <c:pt idx="20">
                  <c:v>1</c:v>
                </c:pt>
                <c:pt idx="21">
                  <c:v>1</c:v>
                </c:pt>
              </c:numCache>
            </c:numRef>
          </c:yVal>
          <c:smooth val="0"/>
          <c:extLst>
            <c:ext xmlns:c16="http://schemas.microsoft.com/office/drawing/2014/chart" uri="{C3380CC4-5D6E-409C-BE32-E72D297353CC}">
              <c16:uniqueId val="{00000002-43C1-4054-AAA8-777C71846B5F}"/>
            </c:ext>
          </c:extLst>
        </c:ser>
        <c:ser>
          <c:idx val="1"/>
          <c:order val="3"/>
          <c:tx>
            <c:strRef>
              <c:f>Data!$A$82</c:f>
              <c:strCache>
                <c:ptCount val="1"/>
                <c:pt idx="0">
                  <c:v>TV 6.1 E</c:v>
                </c:pt>
              </c:strCache>
            </c:strRef>
          </c:tx>
          <c:spPr>
            <a:ln>
              <a:solidFill>
                <a:schemeClr val="accent1"/>
              </a:solidFill>
            </a:ln>
          </c:spPr>
          <c:marker>
            <c:symbol val="none"/>
          </c:marker>
          <c:xVal>
            <c:numRef>
              <c:f>Data!$C$83:$X$83</c:f>
              <c:numCache>
                <c:formatCode>General</c:formatCode>
                <c:ptCount val="22"/>
                <c:pt idx="0">
                  <c:v>0</c:v>
                </c:pt>
                <c:pt idx="1">
                  <c:v>600</c:v>
                </c:pt>
                <c:pt idx="2">
                  <c:v>600</c:v>
                </c:pt>
                <c:pt idx="3">
                  <c:v>702.75</c:v>
                </c:pt>
                <c:pt idx="4">
                  <c:v>805.5</c:v>
                </c:pt>
                <c:pt idx="5">
                  <c:v>908.25</c:v>
                </c:pt>
                <c:pt idx="6">
                  <c:v>1011</c:v>
                </c:pt>
                <c:pt idx="7">
                  <c:v>1113.75</c:v>
                </c:pt>
                <c:pt idx="8">
                  <c:v>1027.7402395547233</c:v>
                </c:pt>
                <c:pt idx="9">
                  <c:v>1027.7402395547233</c:v>
                </c:pt>
                <c:pt idx="10">
                  <c:v>1027.7402395547233</c:v>
                </c:pt>
                <c:pt idx="11">
                  <c:v>1027.7402395547233</c:v>
                </c:pt>
                <c:pt idx="12">
                  <c:v>1027.7402395547233</c:v>
                </c:pt>
                <c:pt idx="13">
                  <c:v>1215.75</c:v>
                </c:pt>
                <c:pt idx="14">
                  <c:v>1113.125</c:v>
                </c:pt>
                <c:pt idx="15">
                  <c:v>1010.5</c:v>
                </c:pt>
                <c:pt idx="16">
                  <c:v>907.875</c:v>
                </c:pt>
                <c:pt idx="17">
                  <c:v>805.25</c:v>
                </c:pt>
                <c:pt idx="18">
                  <c:v>702.625</c:v>
                </c:pt>
                <c:pt idx="19">
                  <c:v>600</c:v>
                </c:pt>
                <c:pt idx="20">
                  <c:v>600</c:v>
                </c:pt>
                <c:pt idx="21">
                  <c:v>0</c:v>
                </c:pt>
              </c:numCache>
            </c:numRef>
          </c:xVal>
          <c:yVal>
            <c:numRef>
              <c:f>Data!$C$89:$X$89</c:f>
              <c:numCache>
                <c:formatCode>0.00</c:formatCode>
                <c:ptCount val="22"/>
                <c:pt idx="0">
                  <c:v>3.5</c:v>
                </c:pt>
                <c:pt idx="1">
                  <c:v>3.5</c:v>
                </c:pt>
                <c:pt idx="2">
                  <c:v>3.5</c:v>
                </c:pt>
                <c:pt idx="3">
                  <c:v>3.5</c:v>
                </c:pt>
                <c:pt idx="4">
                  <c:v>3.5</c:v>
                </c:pt>
                <c:pt idx="5">
                  <c:v>3.5</c:v>
                </c:pt>
                <c:pt idx="6">
                  <c:v>3.5</c:v>
                </c:pt>
                <c:pt idx="7">
                  <c:v>3.5</c:v>
                </c:pt>
                <c:pt idx="8">
                  <c:v>3.5</c:v>
                </c:pt>
                <c:pt idx="9">
                  <c:v>3.5</c:v>
                </c:pt>
                <c:pt idx="10">
                  <c:v>3.5</c:v>
                </c:pt>
                <c:pt idx="11">
                  <c:v>3.5</c:v>
                </c:pt>
                <c:pt idx="12">
                  <c:v>3.5</c:v>
                </c:pt>
                <c:pt idx="13">
                  <c:v>3.498338609467456</c:v>
                </c:pt>
                <c:pt idx="14">
                  <c:v>2.9326562499999991</c:v>
                </c:pt>
                <c:pt idx="15">
                  <c:v>2.4168289940828398</c:v>
                </c:pt>
                <c:pt idx="16">
                  <c:v>1.950856841715976</c:v>
                </c:pt>
                <c:pt idx="17">
                  <c:v>1.5347397928994082</c:v>
                </c:pt>
                <c:pt idx="18">
                  <c:v>1.5</c:v>
                </c:pt>
                <c:pt idx="19">
                  <c:v>1.5</c:v>
                </c:pt>
                <c:pt idx="20">
                  <c:v>1.5</c:v>
                </c:pt>
                <c:pt idx="21">
                  <c:v>1.5</c:v>
                </c:pt>
              </c:numCache>
            </c:numRef>
          </c:yVal>
          <c:smooth val="0"/>
          <c:extLst>
            <c:ext xmlns:c16="http://schemas.microsoft.com/office/drawing/2014/chart" uri="{C3380CC4-5D6E-409C-BE32-E72D297353CC}">
              <c16:uniqueId val="{00000003-43C1-4054-AAA8-777C71846B5F}"/>
            </c:ext>
          </c:extLst>
        </c:ser>
        <c:ser>
          <c:idx val="2"/>
          <c:order val="4"/>
          <c:tx>
            <c:strRef>
              <c:f>Data!$A$92</c:f>
              <c:strCache>
                <c:ptCount val="1"/>
                <c:pt idx="0">
                  <c:v>TV 6.1 EH</c:v>
                </c:pt>
              </c:strCache>
            </c:strRef>
          </c:tx>
          <c:spPr>
            <a:ln w="28575">
              <a:solidFill>
                <a:schemeClr val="accent1"/>
              </a:solidFill>
              <a:prstDash val="dash"/>
            </a:ln>
          </c:spPr>
          <c:marker>
            <c:symbol val="none"/>
          </c:marker>
          <c:xVal>
            <c:numRef>
              <c:f>Data!$C$93:$X$93</c:f>
              <c:numCache>
                <c:formatCode>General</c:formatCode>
                <c:ptCount val="22"/>
                <c:pt idx="0">
                  <c:v>0</c:v>
                </c:pt>
                <c:pt idx="1">
                  <c:v>600</c:v>
                </c:pt>
                <c:pt idx="2">
                  <c:v>600</c:v>
                </c:pt>
                <c:pt idx="3">
                  <c:v>900.75</c:v>
                </c:pt>
                <c:pt idx="4">
                  <c:v>1201.5</c:v>
                </c:pt>
                <c:pt idx="5">
                  <c:v>1502.25</c:v>
                </c:pt>
                <c:pt idx="6">
                  <c:v>1803</c:v>
                </c:pt>
                <c:pt idx="7">
                  <c:v>2103.75</c:v>
                </c:pt>
                <c:pt idx="8">
                  <c:v>2404.5</c:v>
                </c:pt>
                <c:pt idx="9">
                  <c:v>2705.25</c:v>
                </c:pt>
                <c:pt idx="10">
                  <c:v>3006</c:v>
                </c:pt>
                <c:pt idx="11">
                  <c:v>3005</c:v>
                </c:pt>
                <c:pt idx="12">
                  <c:v>3005</c:v>
                </c:pt>
                <c:pt idx="13">
                  <c:v>2403.75</c:v>
                </c:pt>
                <c:pt idx="14">
                  <c:v>2103.125</c:v>
                </c:pt>
                <c:pt idx="15">
                  <c:v>1802.5</c:v>
                </c:pt>
                <c:pt idx="16">
                  <c:v>1501.875</c:v>
                </c:pt>
                <c:pt idx="17">
                  <c:v>1201.25</c:v>
                </c:pt>
                <c:pt idx="18">
                  <c:v>900.625</c:v>
                </c:pt>
                <c:pt idx="19">
                  <c:v>600</c:v>
                </c:pt>
                <c:pt idx="20">
                  <c:v>600</c:v>
                </c:pt>
                <c:pt idx="21">
                  <c:v>0</c:v>
                </c:pt>
              </c:numCache>
            </c:numRef>
          </c:xVal>
          <c:yVal>
            <c:numRef>
              <c:f>Data!$C$99:$X$99</c:f>
              <c:numCache>
                <c:formatCode>0.00</c:formatCode>
                <c:ptCount val="22"/>
                <c:pt idx="0">
                  <c:v>3.5</c:v>
                </c:pt>
                <c:pt idx="1">
                  <c:v>3.5</c:v>
                </c:pt>
                <c:pt idx="2">
                  <c:v>3.5</c:v>
                </c:pt>
                <c:pt idx="3">
                  <c:v>3.5</c:v>
                </c:pt>
                <c:pt idx="4">
                  <c:v>3.5</c:v>
                </c:pt>
                <c:pt idx="5">
                  <c:v>3.5</c:v>
                </c:pt>
                <c:pt idx="6">
                  <c:v>3.5</c:v>
                </c:pt>
                <c:pt idx="7">
                  <c:v>3.4317104337254896</c:v>
                </c:pt>
                <c:pt idx="8">
                  <c:v>2.8828256715767724</c:v>
                </c:pt>
                <c:pt idx="9">
                  <c:v>2.2722919177762773</c:v>
                </c:pt>
                <c:pt idx="10">
                  <c:v>1.6000576676628617</c:v>
                </c:pt>
                <c:pt idx="11">
                  <c:v>1.5</c:v>
                </c:pt>
                <c:pt idx="12">
                  <c:v>1.5</c:v>
                </c:pt>
                <c:pt idx="13">
                  <c:v>1.5</c:v>
                </c:pt>
                <c:pt idx="14">
                  <c:v>1.5</c:v>
                </c:pt>
                <c:pt idx="15">
                  <c:v>1.5</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4-43C1-4054-AAA8-777C71846B5F}"/>
            </c:ext>
          </c:extLst>
        </c:ser>
        <c:ser>
          <c:idx val="3"/>
          <c:order val="5"/>
          <c:tx>
            <c:strRef>
              <c:f>Data!$A$112</c:f>
              <c:strCache>
                <c:ptCount val="1"/>
                <c:pt idx="0">
                  <c:v>TV 8.1 E</c:v>
                </c:pt>
              </c:strCache>
            </c:strRef>
          </c:tx>
          <c:spPr>
            <a:ln w="28575">
              <a:solidFill>
                <a:srgbClr val="92D050"/>
              </a:solidFill>
            </a:ln>
          </c:spPr>
          <c:marker>
            <c:symbol val="none"/>
          </c:marker>
          <c:xVal>
            <c:numRef>
              <c:f>Data!$C$113:$X$113</c:f>
              <c:numCache>
                <c:formatCode>General</c:formatCode>
                <c:ptCount val="22"/>
                <c:pt idx="0">
                  <c:v>0</c:v>
                </c:pt>
                <c:pt idx="1">
                  <c:v>606</c:v>
                </c:pt>
                <c:pt idx="2">
                  <c:v>606</c:v>
                </c:pt>
                <c:pt idx="3">
                  <c:v>704.34875</c:v>
                </c:pt>
                <c:pt idx="4">
                  <c:v>802.69749999999999</c:v>
                </c:pt>
                <c:pt idx="5">
                  <c:v>901.04624999999999</c:v>
                </c:pt>
                <c:pt idx="6">
                  <c:v>999.39499999999998</c:v>
                </c:pt>
                <c:pt idx="7">
                  <c:v>1097.7437500000001</c:v>
                </c:pt>
                <c:pt idx="8">
                  <c:v>1196.0925</c:v>
                </c:pt>
                <c:pt idx="9">
                  <c:v>1294.4412500000001</c:v>
                </c:pt>
                <c:pt idx="10">
                  <c:v>1038.0176419502704</c:v>
                </c:pt>
                <c:pt idx="11">
                  <c:v>1391.78</c:v>
                </c:pt>
                <c:pt idx="12">
                  <c:v>1391.78</c:v>
                </c:pt>
                <c:pt idx="13">
                  <c:v>1195.335</c:v>
                </c:pt>
                <c:pt idx="14">
                  <c:v>1097.1125</c:v>
                </c:pt>
                <c:pt idx="15">
                  <c:v>998.89</c:v>
                </c:pt>
                <c:pt idx="16">
                  <c:v>900.66750000000002</c:v>
                </c:pt>
                <c:pt idx="17">
                  <c:v>802.44500000000005</c:v>
                </c:pt>
                <c:pt idx="18">
                  <c:v>704.22249999999997</c:v>
                </c:pt>
                <c:pt idx="19">
                  <c:v>606</c:v>
                </c:pt>
                <c:pt idx="20">
                  <c:v>606</c:v>
                </c:pt>
                <c:pt idx="21">
                  <c:v>0</c:v>
                </c:pt>
              </c:numCache>
            </c:numRef>
          </c:xVal>
          <c:yVal>
            <c:numRef>
              <c:f>Data!$C$119:$X$119</c:f>
              <c:numCache>
                <c:formatCode>0.00</c:formatCode>
                <c:ptCount val="22"/>
                <c:pt idx="0">
                  <c:v>4.5</c:v>
                </c:pt>
                <c:pt idx="1">
                  <c:v>4.5</c:v>
                </c:pt>
                <c:pt idx="2">
                  <c:v>4.5</c:v>
                </c:pt>
                <c:pt idx="3">
                  <c:v>4.5</c:v>
                </c:pt>
                <c:pt idx="4">
                  <c:v>4.5</c:v>
                </c:pt>
                <c:pt idx="5">
                  <c:v>4.5</c:v>
                </c:pt>
                <c:pt idx="6">
                  <c:v>4.5</c:v>
                </c:pt>
                <c:pt idx="7">
                  <c:v>4.5</c:v>
                </c:pt>
                <c:pt idx="8">
                  <c:v>4.5</c:v>
                </c:pt>
                <c:pt idx="9">
                  <c:v>4.5</c:v>
                </c:pt>
                <c:pt idx="10">
                  <c:v>4.5</c:v>
                </c:pt>
                <c:pt idx="11">
                  <c:v>4.4943999999999988</c:v>
                </c:pt>
                <c:pt idx="12">
                  <c:v>4.4943999999999988</c:v>
                </c:pt>
                <c:pt idx="13">
                  <c:v>3.3152005917159757</c:v>
                </c:pt>
                <c:pt idx="14">
                  <c:v>2.7927551775147923</c:v>
                </c:pt>
                <c:pt idx="15">
                  <c:v>2.3150792899408281</c:v>
                </c:pt>
                <c:pt idx="16">
                  <c:v>2</c:v>
                </c:pt>
                <c:pt idx="17">
                  <c:v>2</c:v>
                </c:pt>
                <c:pt idx="18">
                  <c:v>2</c:v>
                </c:pt>
                <c:pt idx="19">
                  <c:v>2</c:v>
                </c:pt>
                <c:pt idx="20">
                  <c:v>2</c:v>
                </c:pt>
                <c:pt idx="21">
                  <c:v>2</c:v>
                </c:pt>
              </c:numCache>
            </c:numRef>
          </c:yVal>
          <c:smooth val="0"/>
          <c:extLst>
            <c:ext xmlns:c16="http://schemas.microsoft.com/office/drawing/2014/chart" uri="{C3380CC4-5D6E-409C-BE32-E72D297353CC}">
              <c16:uniqueId val="{00000005-43C1-4054-AAA8-777C71846B5F}"/>
            </c:ext>
          </c:extLst>
        </c:ser>
        <c:ser>
          <c:idx val="6"/>
          <c:order val="6"/>
          <c:tx>
            <c:strRef>
              <c:f>Data!$A$122</c:f>
              <c:strCache>
                <c:ptCount val="1"/>
                <c:pt idx="0">
                  <c:v>TV 8.1 EH</c:v>
                </c:pt>
              </c:strCache>
            </c:strRef>
          </c:tx>
          <c:spPr>
            <a:ln>
              <a:solidFill>
                <a:srgbClr val="92D050"/>
              </a:solidFill>
              <a:prstDash val="dash"/>
            </a:ln>
          </c:spPr>
          <c:marker>
            <c:symbol val="none"/>
          </c:marker>
          <c:xVal>
            <c:numRef>
              <c:f>Data!$C$123:$X$123</c:f>
              <c:numCache>
                <c:formatCode>General</c:formatCode>
                <c:ptCount val="22"/>
                <c:pt idx="0">
                  <c:v>0</c:v>
                </c:pt>
                <c:pt idx="1">
                  <c:v>606</c:v>
                </c:pt>
                <c:pt idx="2">
                  <c:v>606</c:v>
                </c:pt>
                <c:pt idx="3">
                  <c:v>922.72337500000003</c:v>
                </c:pt>
                <c:pt idx="4">
                  <c:v>1239.4467500000001</c:v>
                </c:pt>
                <c:pt idx="5">
                  <c:v>1556.1701249999999</c:v>
                </c:pt>
                <c:pt idx="6">
                  <c:v>1872.8934999999999</c:v>
                </c:pt>
                <c:pt idx="7">
                  <c:v>2189.6168750000002</c:v>
                </c:pt>
                <c:pt idx="8">
                  <c:v>2506.3402499999997</c:v>
                </c:pt>
                <c:pt idx="9">
                  <c:v>2823.0636249999998</c:v>
                </c:pt>
                <c:pt idx="10">
                  <c:v>3139.7869999999998</c:v>
                </c:pt>
                <c:pt idx="11">
                  <c:v>3138.777</c:v>
                </c:pt>
                <c:pt idx="12">
                  <c:v>3138.777</c:v>
                </c:pt>
                <c:pt idx="13">
                  <c:v>2505.5827499999996</c:v>
                </c:pt>
                <c:pt idx="14">
                  <c:v>2188.9856249999998</c:v>
                </c:pt>
                <c:pt idx="15">
                  <c:v>1872.3885</c:v>
                </c:pt>
                <c:pt idx="16">
                  <c:v>1555.7913749999998</c:v>
                </c:pt>
                <c:pt idx="17">
                  <c:v>1239.19425</c:v>
                </c:pt>
                <c:pt idx="18">
                  <c:v>922.59712500000012</c:v>
                </c:pt>
                <c:pt idx="19">
                  <c:v>606</c:v>
                </c:pt>
                <c:pt idx="20">
                  <c:v>606</c:v>
                </c:pt>
                <c:pt idx="21">
                  <c:v>0</c:v>
                </c:pt>
              </c:numCache>
            </c:numRef>
          </c:xVal>
          <c:yVal>
            <c:numRef>
              <c:f>Data!$C$129:$X$129</c:f>
              <c:numCache>
                <c:formatCode>0.00</c:formatCode>
                <c:ptCount val="22"/>
                <c:pt idx="0">
                  <c:v>4.5</c:v>
                </c:pt>
                <c:pt idx="1">
                  <c:v>4.5</c:v>
                </c:pt>
                <c:pt idx="2">
                  <c:v>4.5</c:v>
                </c:pt>
                <c:pt idx="3">
                  <c:v>4.5</c:v>
                </c:pt>
                <c:pt idx="4">
                  <c:v>4.5</c:v>
                </c:pt>
                <c:pt idx="5">
                  <c:v>4.5</c:v>
                </c:pt>
                <c:pt idx="6">
                  <c:v>4.5</c:v>
                </c:pt>
                <c:pt idx="7">
                  <c:v>4.1645348972911496</c:v>
                </c:pt>
                <c:pt idx="8">
                  <c:v>3.5149497438738386</c:v>
                </c:pt>
                <c:pt idx="9">
                  <c:v>2.7934948073395689</c:v>
                </c:pt>
                <c:pt idx="10">
                  <c:v>2.0000336987044594</c:v>
                </c:pt>
                <c:pt idx="11">
                  <c:v>2</c:v>
                </c:pt>
                <c:pt idx="12">
                  <c:v>2</c:v>
                </c:pt>
                <c:pt idx="13">
                  <c:v>2</c:v>
                </c:pt>
                <c:pt idx="14">
                  <c:v>2</c:v>
                </c:pt>
                <c:pt idx="15">
                  <c:v>2</c:v>
                </c:pt>
                <c:pt idx="16">
                  <c:v>2</c:v>
                </c:pt>
                <c:pt idx="17">
                  <c:v>2</c:v>
                </c:pt>
                <c:pt idx="18">
                  <c:v>2</c:v>
                </c:pt>
                <c:pt idx="19">
                  <c:v>2</c:v>
                </c:pt>
                <c:pt idx="20">
                  <c:v>2</c:v>
                </c:pt>
                <c:pt idx="21">
                  <c:v>2</c:v>
                </c:pt>
              </c:numCache>
            </c:numRef>
          </c:yVal>
          <c:smooth val="0"/>
          <c:extLst>
            <c:ext xmlns:c16="http://schemas.microsoft.com/office/drawing/2014/chart" uri="{C3380CC4-5D6E-409C-BE32-E72D297353CC}">
              <c16:uniqueId val="{00000006-43C1-4054-AAA8-777C71846B5F}"/>
            </c:ext>
          </c:extLst>
        </c:ser>
        <c:ser>
          <c:idx val="7"/>
          <c:order val="7"/>
          <c:tx>
            <c:strRef>
              <c:f>Data!$A$142</c:f>
              <c:strCache>
                <c:ptCount val="1"/>
                <c:pt idx="0">
                  <c:v>TV 10.1 E</c:v>
                </c:pt>
              </c:strCache>
            </c:strRef>
          </c:tx>
          <c:spPr>
            <a:ln>
              <a:solidFill>
                <a:schemeClr val="accent6"/>
              </a:solidFill>
            </a:ln>
          </c:spPr>
          <c:marker>
            <c:symbol val="none"/>
          </c:marker>
          <c:xVal>
            <c:numRef>
              <c:f>Data!$C$143:$X$143</c:f>
              <c:numCache>
                <c:formatCode>General</c:formatCode>
                <c:ptCount val="22"/>
                <c:pt idx="0">
                  <c:v>0</c:v>
                </c:pt>
                <c:pt idx="1">
                  <c:v>600</c:v>
                </c:pt>
                <c:pt idx="2">
                  <c:v>600</c:v>
                </c:pt>
                <c:pt idx="3">
                  <c:v>662.625</c:v>
                </c:pt>
                <c:pt idx="4">
                  <c:v>725.25</c:v>
                </c:pt>
                <c:pt idx="5">
                  <c:v>787.875</c:v>
                </c:pt>
                <c:pt idx="6">
                  <c:v>850.5</c:v>
                </c:pt>
                <c:pt idx="7">
                  <c:v>913.125</c:v>
                </c:pt>
                <c:pt idx="8">
                  <c:v>975.75</c:v>
                </c:pt>
                <c:pt idx="9">
                  <c:v>1038.375</c:v>
                </c:pt>
                <c:pt idx="10">
                  <c:v>1100</c:v>
                </c:pt>
                <c:pt idx="11">
                  <c:v>1100</c:v>
                </c:pt>
                <c:pt idx="12">
                  <c:v>1100</c:v>
                </c:pt>
                <c:pt idx="13">
                  <c:v>1094.5</c:v>
                </c:pt>
                <c:pt idx="14">
                  <c:v>912.5</c:v>
                </c:pt>
                <c:pt idx="15">
                  <c:v>850</c:v>
                </c:pt>
                <c:pt idx="16">
                  <c:v>787.5</c:v>
                </c:pt>
                <c:pt idx="17">
                  <c:v>725</c:v>
                </c:pt>
                <c:pt idx="18">
                  <c:v>662.5</c:v>
                </c:pt>
                <c:pt idx="19">
                  <c:v>600</c:v>
                </c:pt>
                <c:pt idx="20">
                  <c:v>600</c:v>
                </c:pt>
                <c:pt idx="21">
                  <c:v>0</c:v>
                </c:pt>
              </c:numCache>
            </c:numRef>
          </c:xVal>
          <c:yVal>
            <c:numRef>
              <c:f>Data!$C$149:$X$149</c:f>
              <c:numCache>
                <c:formatCode>0.00</c:formatCode>
                <c:ptCount val="22"/>
                <c:pt idx="0">
                  <c:v>6.5</c:v>
                </c:pt>
                <c:pt idx="1">
                  <c:v>6.5</c:v>
                </c:pt>
                <c:pt idx="2">
                  <c:v>6.5</c:v>
                </c:pt>
                <c:pt idx="3">
                  <c:v>6.5</c:v>
                </c:pt>
                <c:pt idx="4">
                  <c:v>6.5</c:v>
                </c:pt>
                <c:pt idx="5">
                  <c:v>6.5</c:v>
                </c:pt>
                <c:pt idx="6">
                  <c:v>6.5</c:v>
                </c:pt>
                <c:pt idx="7">
                  <c:v>6.5</c:v>
                </c:pt>
                <c:pt idx="8">
                  <c:v>6.5</c:v>
                </c:pt>
                <c:pt idx="9">
                  <c:v>6.5</c:v>
                </c:pt>
                <c:pt idx="10">
                  <c:v>6.5</c:v>
                </c:pt>
                <c:pt idx="11">
                  <c:v>6.5</c:v>
                </c:pt>
                <c:pt idx="12">
                  <c:v>6.5</c:v>
                </c:pt>
                <c:pt idx="13">
                  <c:v>3.5</c:v>
                </c:pt>
                <c:pt idx="14">
                  <c:v>3.5</c:v>
                </c:pt>
                <c:pt idx="15">
                  <c:v>3.5</c:v>
                </c:pt>
                <c:pt idx="16">
                  <c:v>3.5</c:v>
                </c:pt>
                <c:pt idx="17">
                  <c:v>3.5</c:v>
                </c:pt>
                <c:pt idx="18">
                  <c:v>3.5</c:v>
                </c:pt>
                <c:pt idx="19">
                  <c:v>3.5</c:v>
                </c:pt>
                <c:pt idx="20">
                  <c:v>3.5</c:v>
                </c:pt>
                <c:pt idx="21">
                  <c:v>3.5</c:v>
                </c:pt>
              </c:numCache>
            </c:numRef>
          </c:yVal>
          <c:smooth val="0"/>
          <c:extLst>
            <c:ext xmlns:c16="http://schemas.microsoft.com/office/drawing/2014/chart" uri="{C3380CC4-5D6E-409C-BE32-E72D297353CC}">
              <c16:uniqueId val="{00000007-43C1-4054-AAA8-777C71846B5F}"/>
            </c:ext>
          </c:extLst>
        </c:ser>
        <c:ser>
          <c:idx val="8"/>
          <c:order val="8"/>
          <c:tx>
            <c:strRef>
              <c:f>Data!$A$152</c:f>
              <c:strCache>
                <c:ptCount val="1"/>
                <c:pt idx="0">
                  <c:v>TV 10.1 EH</c:v>
                </c:pt>
              </c:strCache>
            </c:strRef>
          </c:tx>
          <c:spPr>
            <a:ln>
              <a:solidFill>
                <a:schemeClr val="accent6"/>
              </a:solidFill>
              <a:prstDash val="dash"/>
            </a:ln>
          </c:spPr>
          <c:marker>
            <c:symbol val="none"/>
          </c:marker>
          <c:xVal>
            <c:numRef>
              <c:f>Data!$C$153:$X$153</c:f>
              <c:numCache>
                <c:formatCode>General</c:formatCode>
                <c:ptCount val="22"/>
                <c:pt idx="0">
                  <c:v>0</c:v>
                </c:pt>
                <c:pt idx="1">
                  <c:v>600</c:v>
                </c:pt>
                <c:pt idx="2">
                  <c:v>600</c:v>
                </c:pt>
                <c:pt idx="3">
                  <c:v>910.5</c:v>
                </c:pt>
                <c:pt idx="4">
                  <c:v>1221</c:v>
                </c:pt>
                <c:pt idx="5">
                  <c:v>1531.5</c:v>
                </c:pt>
                <c:pt idx="6">
                  <c:v>1842</c:v>
                </c:pt>
                <c:pt idx="7">
                  <c:v>2152.5</c:v>
                </c:pt>
                <c:pt idx="8">
                  <c:v>2463</c:v>
                </c:pt>
                <c:pt idx="9">
                  <c:v>2773.5</c:v>
                </c:pt>
                <c:pt idx="10">
                  <c:v>3084</c:v>
                </c:pt>
                <c:pt idx="11">
                  <c:v>3083</c:v>
                </c:pt>
                <c:pt idx="12">
                  <c:v>3083</c:v>
                </c:pt>
                <c:pt idx="13">
                  <c:v>2462.25</c:v>
                </c:pt>
                <c:pt idx="14">
                  <c:v>2151.875</c:v>
                </c:pt>
                <c:pt idx="15">
                  <c:v>1841.5</c:v>
                </c:pt>
                <c:pt idx="16">
                  <c:v>1531.125</c:v>
                </c:pt>
                <c:pt idx="17">
                  <c:v>1220.75</c:v>
                </c:pt>
                <c:pt idx="18">
                  <c:v>910.375</c:v>
                </c:pt>
                <c:pt idx="19">
                  <c:v>600</c:v>
                </c:pt>
                <c:pt idx="20">
                  <c:v>600</c:v>
                </c:pt>
                <c:pt idx="21">
                  <c:v>0</c:v>
                </c:pt>
              </c:numCache>
            </c:numRef>
          </c:xVal>
          <c:yVal>
            <c:numRef>
              <c:f>Data!$C$159:$X$159</c:f>
              <c:numCache>
                <c:formatCode>0.00</c:formatCode>
                <c:ptCount val="22"/>
                <c:pt idx="0">
                  <c:v>6.5</c:v>
                </c:pt>
                <c:pt idx="1">
                  <c:v>6.5</c:v>
                </c:pt>
                <c:pt idx="2">
                  <c:v>6.5</c:v>
                </c:pt>
                <c:pt idx="3">
                  <c:v>6.5</c:v>
                </c:pt>
                <c:pt idx="4">
                  <c:v>6.5</c:v>
                </c:pt>
                <c:pt idx="5">
                  <c:v>6.5</c:v>
                </c:pt>
                <c:pt idx="6">
                  <c:v>6.5</c:v>
                </c:pt>
                <c:pt idx="7">
                  <c:v>6.0079487499999997</c:v>
                </c:pt>
                <c:pt idx="8">
                  <c:v>5.2561118632956561</c:v>
                </c:pt>
                <c:pt idx="9">
                  <c:v>4.4198285446460437</c:v>
                </c:pt>
                <c:pt idx="10">
                  <c:v>3.4990987940511591</c:v>
                </c:pt>
                <c:pt idx="11">
                  <c:v>3.5</c:v>
                </c:pt>
                <c:pt idx="12">
                  <c:v>3.5</c:v>
                </c:pt>
                <c:pt idx="13">
                  <c:v>3.5</c:v>
                </c:pt>
                <c:pt idx="14">
                  <c:v>3.5</c:v>
                </c:pt>
                <c:pt idx="15">
                  <c:v>3.5</c:v>
                </c:pt>
                <c:pt idx="16">
                  <c:v>3.5</c:v>
                </c:pt>
                <c:pt idx="17">
                  <c:v>3.5</c:v>
                </c:pt>
                <c:pt idx="18">
                  <c:v>3.5</c:v>
                </c:pt>
                <c:pt idx="19">
                  <c:v>3.5</c:v>
                </c:pt>
                <c:pt idx="20">
                  <c:v>3.5</c:v>
                </c:pt>
                <c:pt idx="21">
                  <c:v>3.5</c:v>
                </c:pt>
              </c:numCache>
            </c:numRef>
          </c:yVal>
          <c:smooth val="1"/>
          <c:extLst>
            <c:ext xmlns:c16="http://schemas.microsoft.com/office/drawing/2014/chart" uri="{C3380CC4-5D6E-409C-BE32-E72D297353CC}">
              <c16:uniqueId val="{00000008-43C1-4054-AAA8-777C71846B5F}"/>
            </c:ext>
          </c:extLst>
        </c:ser>
        <c:ser>
          <c:idx val="9"/>
          <c:order val="9"/>
          <c:tx>
            <c:strRef>
              <c:f>Data!$A$172</c:f>
              <c:strCache>
                <c:ptCount val="1"/>
                <c:pt idx="0">
                  <c:v>TV 14.1 E</c:v>
                </c:pt>
              </c:strCache>
            </c:strRef>
          </c:tx>
          <c:spPr>
            <a:ln>
              <a:solidFill>
                <a:srgbClr val="FFFF00"/>
              </a:solidFill>
            </a:ln>
          </c:spPr>
          <c:marker>
            <c:symbol val="none"/>
          </c:marker>
          <c:xVal>
            <c:numRef>
              <c:f>Data!$C$173:$X$173</c:f>
              <c:numCache>
                <c:formatCode>General</c:formatCode>
                <c:ptCount val="22"/>
                <c:pt idx="0">
                  <c:v>0</c:v>
                </c:pt>
                <c:pt idx="1">
                  <c:v>600</c:v>
                </c:pt>
                <c:pt idx="2">
                  <c:v>600</c:v>
                </c:pt>
                <c:pt idx="3">
                  <c:v>662.625</c:v>
                </c:pt>
                <c:pt idx="4">
                  <c:v>725.25</c:v>
                </c:pt>
                <c:pt idx="5">
                  <c:v>787.875</c:v>
                </c:pt>
                <c:pt idx="6">
                  <c:v>850.5</c:v>
                </c:pt>
                <c:pt idx="7">
                  <c:v>913.125</c:v>
                </c:pt>
                <c:pt idx="8">
                  <c:v>975.75</c:v>
                </c:pt>
                <c:pt idx="9">
                  <c:v>1038.375</c:v>
                </c:pt>
                <c:pt idx="10">
                  <c:v>1100</c:v>
                </c:pt>
                <c:pt idx="11">
                  <c:v>1100</c:v>
                </c:pt>
                <c:pt idx="12">
                  <c:v>1100</c:v>
                </c:pt>
                <c:pt idx="13">
                  <c:v>1094.5</c:v>
                </c:pt>
                <c:pt idx="14">
                  <c:v>912.5</c:v>
                </c:pt>
                <c:pt idx="15">
                  <c:v>850</c:v>
                </c:pt>
                <c:pt idx="16">
                  <c:v>787.5</c:v>
                </c:pt>
                <c:pt idx="17">
                  <c:v>725</c:v>
                </c:pt>
                <c:pt idx="18">
                  <c:v>662.5</c:v>
                </c:pt>
                <c:pt idx="19">
                  <c:v>600</c:v>
                </c:pt>
                <c:pt idx="20">
                  <c:v>600</c:v>
                </c:pt>
                <c:pt idx="21">
                  <c:v>0</c:v>
                </c:pt>
              </c:numCache>
            </c:numRef>
          </c:xVal>
          <c:yVal>
            <c:numRef>
              <c:f>Data!$C$179:$X$179</c:f>
              <c:numCache>
                <c:formatCode>0.00</c:formatCode>
                <c:ptCount val="22"/>
                <c:pt idx="0">
                  <c:v>10</c:v>
                </c:pt>
                <c:pt idx="1">
                  <c:v>10</c:v>
                </c:pt>
                <c:pt idx="2">
                  <c:v>10</c:v>
                </c:pt>
                <c:pt idx="3">
                  <c:v>10</c:v>
                </c:pt>
                <c:pt idx="4">
                  <c:v>10</c:v>
                </c:pt>
                <c:pt idx="5">
                  <c:v>10</c:v>
                </c:pt>
                <c:pt idx="6">
                  <c:v>10</c:v>
                </c:pt>
                <c:pt idx="7">
                  <c:v>10</c:v>
                </c:pt>
                <c:pt idx="8">
                  <c:v>10</c:v>
                </c:pt>
                <c:pt idx="9">
                  <c:v>10</c:v>
                </c:pt>
                <c:pt idx="10">
                  <c:v>10</c:v>
                </c:pt>
                <c:pt idx="11">
                  <c:v>10</c:v>
                </c:pt>
                <c:pt idx="12">
                  <c:v>10</c:v>
                </c:pt>
                <c:pt idx="13">
                  <c:v>5.5</c:v>
                </c:pt>
                <c:pt idx="14">
                  <c:v>5.5</c:v>
                </c:pt>
                <c:pt idx="15">
                  <c:v>5.5</c:v>
                </c:pt>
                <c:pt idx="16">
                  <c:v>5.5</c:v>
                </c:pt>
                <c:pt idx="17">
                  <c:v>5.5</c:v>
                </c:pt>
                <c:pt idx="18">
                  <c:v>5.5</c:v>
                </c:pt>
                <c:pt idx="19">
                  <c:v>5.5</c:v>
                </c:pt>
                <c:pt idx="20">
                  <c:v>5.5</c:v>
                </c:pt>
                <c:pt idx="21">
                  <c:v>5.5</c:v>
                </c:pt>
              </c:numCache>
            </c:numRef>
          </c:yVal>
          <c:smooth val="0"/>
          <c:extLst>
            <c:ext xmlns:c16="http://schemas.microsoft.com/office/drawing/2014/chart" uri="{C3380CC4-5D6E-409C-BE32-E72D297353CC}">
              <c16:uniqueId val="{00000009-43C1-4054-AAA8-777C71846B5F}"/>
            </c:ext>
          </c:extLst>
        </c:ser>
        <c:ser>
          <c:idx val="10"/>
          <c:order val="10"/>
          <c:tx>
            <c:strRef>
              <c:f>Data!$A$182</c:f>
              <c:strCache>
                <c:ptCount val="1"/>
                <c:pt idx="0">
                  <c:v>TV 14.1 EH</c:v>
                </c:pt>
              </c:strCache>
            </c:strRef>
          </c:tx>
          <c:spPr>
            <a:ln>
              <a:solidFill>
                <a:srgbClr val="FFFF00"/>
              </a:solidFill>
              <a:prstDash val="dash"/>
            </a:ln>
          </c:spPr>
          <c:marker>
            <c:symbol val="none"/>
          </c:marker>
          <c:xVal>
            <c:numRef>
              <c:f>Data!$C$183:$X$183</c:f>
              <c:numCache>
                <c:formatCode>General</c:formatCode>
                <c:ptCount val="22"/>
                <c:pt idx="0">
                  <c:v>0</c:v>
                </c:pt>
                <c:pt idx="1">
                  <c:v>600</c:v>
                </c:pt>
                <c:pt idx="2">
                  <c:v>600</c:v>
                </c:pt>
                <c:pt idx="3">
                  <c:v>817.25</c:v>
                </c:pt>
                <c:pt idx="4">
                  <c:v>1034.5</c:v>
                </c:pt>
                <c:pt idx="5">
                  <c:v>1251.75</c:v>
                </c:pt>
                <c:pt idx="6">
                  <c:v>1469</c:v>
                </c:pt>
                <c:pt idx="7">
                  <c:v>1686.25</c:v>
                </c:pt>
                <c:pt idx="8">
                  <c:v>1903.5</c:v>
                </c:pt>
                <c:pt idx="9">
                  <c:v>2120.75</c:v>
                </c:pt>
                <c:pt idx="10">
                  <c:v>2338</c:v>
                </c:pt>
                <c:pt idx="11">
                  <c:v>2337</c:v>
                </c:pt>
                <c:pt idx="12">
                  <c:v>2337</c:v>
                </c:pt>
                <c:pt idx="13">
                  <c:v>1902.75</c:v>
                </c:pt>
                <c:pt idx="14">
                  <c:v>1685.625</c:v>
                </c:pt>
                <c:pt idx="15">
                  <c:v>1468.5</c:v>
                </c:pt>
                <c:pt idx="16">
                  <c:v>1251.375</c:v>
                </c:pt>
                <c:pt idx="17">
                  <c:v>1034.25</c:v>
                </c:pt>
                <c:pt idx="18">
                  <c:v>817.125</c:v>
                </c:pt>
                <c:pt idx="19">
                  <c:v>600</c:v>
                </c:pt>
                <c:pt idx="20">
                  <c:v>600</c:v>
                </c:pt>
                <c:pt idx="21">
                  <c:v>0</c:v>
                </c:pt>
              </c:numCache>
            </c:numRef>
          </c:xVal>
          <c:yVal>
            <c:numRef>
              <c:f>Data!$C$189:$X$189</c:f>
              <c:numCache>
                <c:formatCode>0.00</c:formatCode>
                <c:ptCount val="22"/>
                <c:pt idx="0">
                  <c:v>10</c:v>
                </c:pt>
                <c:pt idx="1">
                  <c:v>10</c:v>
                </c:pt>
                <c:pt idx="2">
                  <c:v>10</c:v>
                </c:pt>
                <c:pt idx="3">
                  <c:v>10</c:v>
                </c:pt>
                <c:pt idx="4">
                  <c:v>10</c:v>
                </c:pt>
                <c:pt idx="5">
                  <c:v>10</c:v>
                </c:pt>
                <c:pt idx="6">
                  <c:v>10</c:v>
                </c:pt>
                <c:pt idx="7">
                  <c:v>9.7533943967928813</c:v>
                </c:pt>
                <c:pt idx="8">
                  <c:v>8.5283181873610587</c:v>
                </c:pt>
                <c:pt idx="9">
                  <c:v>7.1102571390133997</c:v>
                </c:pt>
                <c:pt idx="10">
                  <c:v>5.4992112517499034</c:v>
                </c:pt>
                <c:pt idx="11">
                  <c:v>5.5</c:v>
                </c:pt>
                <c:pt idx="12">
                  <c:v>5.5</c:v>
                </c:pt>
                <c:pt idx="13">
                  <c:v>5.5</c:v>
                </c:pt>
                <c:pt idx="14">
                  <c:v>5.5</c:v>
                </c:pt>
                <c:pt idx="15">
                  <c:v>5.5</c:v>
                </c:pt>
                <c:pt idx="16">
                  <c:v>5.5</c:v>
                </c:pt>
                <c:pt idx="17">
                  <c:v>5.5</c:v>
                </c:pt>
                <c:pt idx="18">
                  <c:v>5.5</c:v>
                </c:pt>
                <c:pt idx="19">
                  <c:v>5.5</c:v>
                </c:pt>
                <c:pt idx="20">
                  <c:v>5.5</c:v>
                </c:pt>
                <c:pt idx="21">
                  <c:v>5.5</c:v>
                </c:pt>
              </c:numCache>
            </c:numRef>
          </c:yVal>
          <c:smooth val="0"/>
          <c:extLst>
            <c:ext xmlns:c16="http://schemas.microsoft.com/office/drawing/2014/chart" uri="{C3380CC4-5D6E-409C-BE32-E72D297353CC}">
              <c16:uniqueId val="{0000000A-43C1-4054-AAA8-777C71846B5F}"/>
            </c:ext>
          </c:extLst>
        </c:ser>
        <c:dLbls>
          <c:showLegendKey val="0"/>
          <c:showVal val="0"/>
          <c:showCatName val="0"/>
          <c:showSerName val="0"/>
          <c:showPercent val="0"/>
          <c:showBubbleSize val="0"/>
        </c:dLbls>
        <c:axId val="275493760"/>
        <c:axId val="275494320"/>
      </c:scatterChart>
      <c:valAx>
        <c:axId val="275493760"/>
        <c:scaling>
          <c:orientation val="minMax"/>
          <c:min val="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0" i="0" u="none" strike="noStrike" baseline="0">
                    <a:solidFill>
                      <a:srgbClr val="000000"/>
                    </a:solidFill>
                    <a:latin typeface="Arial"/>
                    <a:ea typeface="Arial"/>
                    <a:cs typeface="Arial"/>
                  </a:defRPr>
                </a:pPr>
                <a:r>
                  <a:rPr lang="pl-PL" sz="1200"/>
                  <a:t>qN l/h</a:t>
                </a:r>
              </a:p>
            </c:rich>
          </c:tx>
          <c:layout>
            <c:manualLayout>
              <c:xMode val="edge"/>
              <c:yMode val="edge"/>
              <c:x val="0.40164603461585402"/>
              <c:y val="0.9234599936371590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75494320"/>
        <c:crossesAt val="0"/>
        <c:crossBetween val="midCat"/>
        <c:majorUnit val="500"/>
        <c:minorUnit val="100"/>
      </c:valAx>
      <c:valAx>
        <c:axId val="275494320"/>
        <c:scaling>
          <c:orientation val="minMax"/>
          <c:min val="0"/>
        </c:scaling>
        <c:delete val="0"/>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pl-PL" sz="1200"/>
                  <a:t>Pman bar</a:t>
                </a:r>
              </a:p>
            </c:rich>
          </c:tx>
          <c:layout>
            <c:manualLayout>
              <c:xMode val="edge"/>
              <c:yMode val="edge"/>
              <c:x val="7.157861858154254E-3"/>
              <c:y val="0.38595346768094707"/>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75493760"/>
        <c:crosses val="autoZero"/>
        <c:crossBetween val="midCat"/>
        <c:majorUnit val="1"/>
        <c:minorUnit val="0.5"/>
      </c:valAx>
      <c:spPr>
        <a:solidFill>
          <a:srgbClr val="CCCCFF"/>
        </a:solidFill>
        <a:ln w="12700">
          <a:solidFill>
            <a:srgbClr val="CCCCFF"/>
          </a:solidFill>
          <a:prstDash val="solid"/>
        </a:ln>
      </c:spPr>
    </c:plotArea>
    <c:legend>
      <c:legendPos val="r"/>
      <c:layout>
        <c:manualLayout>
          <c:xMode val="edge"/>
          <c:yMode val="edge"/>
          <c:x val="0.8043958918920916"/>
          <c:y val="0.28770763824013523"/>
          <c:w val="0.18398315044913802"/>
          <c:h val="0.5287505530950467"/>
        </c:manualLayout>
      </c:layout>
      <c:overlay val="0"/>
      <c:spPr>
        <a:solidFill>
          <a:srgbClr val="FFFFFF"/>
        </a:solidFill>
        <a:ln w="25400">
          <a:noFill/>
        </a:ln>
      </c:spPr>
      <c:txPr>
        <a:bodyPr/>
        <a:lstStyle/>
        <a:p>
          <a:pPr>
            <a:defRPr sz="108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67" l="0.78740157499999996" r="0.78740157499999996" t="0.98425196899999967" header="0.49212598450000017" footer="0.49212598450000017"/>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a:t>Transfero TV.2 Connect - p0/Q </a:t>
            </a:r>
          </a:p>
        </c:rich>
      </c:tx>
      <c:layout>
        <c:manualLayout>
          <c:xMode val="edge"/>
          <c:yMode val="edge"/>
          <c:x val="0.39387366136195051"/>
          <c:y val="2.7149373318626453E-2"/>
        </c:manualLayout>
      </c:layout>
      <c:overlay val="0"/>
      <c:spPr>
        <a:noFill/>
        <a:ln w="25400">
          <a:noFill/>
        </a:ln>
      </c:spPr>
    </c:title>
    <c:autoTitleDeleted val="0"/>
    <c:plotArea>
      <c:layout>
        <c:manualLayout>
          <c:layoutTarget val="inner"/>
          <c:xMode val="edge"/>
          <c:yMode val="edge"/>
          <c:x val="8.3125976993110473E-2"/>
          <c:y val="0.13040760310173441"/>
          <c:w val="0.70346472368837765"/>
          <c:h val="0.73798244086723208"/>
        </c:manualLayout>
      </c:layout>
      <c:scatterChart>
        <c:scatterStyle val="smoothMarker"/>
        <c:varyColors val="0"/>
        <c:ser>
          <c:idx val="4"/>
          <c:order val="0"/>
          <c:tx>
            <c:v>Arbeitspunkt</c:v>
          </c:tx>
          <c:spPr>
            <a:ln w="28575">
              <a:noFill/>
            </a:ln>
          </c:spPr>
          <c:marker>
            <c:symbol val="diamond"/>
            <c:size val="10"/>
            <c:spPr>
              <a:solidFill>
                <a:srgbClr val="000000"/>
              </a:solidFill>
              <a:ln w="9525">
                <a:noFill/>
              </a:ln>
            </c:spPr>
          </c:marker>
          <c:xVal>
            <c:numRef>
              <c:f>'Selection pman-p0-Q'!$P$25</c:f>
              <c:numCache>
                <c:formatCode>General</c:formatCode>
                <c:ptCount val="1"/>
                <c:pt idx="0">
                  <c:v>616</c:v>
                </c:pt>
              </c:numCache>
            </c:numRef>
          </c:xVal>
          <c:yVal>
            <c:numRef>
              <c:f>'Selection pman-p0-Q'!$P$22</c:f>
              <c:numCache>
                <c:formatCode>0.0</c:formatCode>
                <c:ptCount val="1"/>
                <c:pt idx="0">
                  <c:v>1.8284000000000005</c:v>
                </c:pt>
              </c:numCache>
            </c:numRef>
          </c:yVal>
          <c:smooth val="0"/>
          <c:extLst>
            <c:ext xmlns:c16="http://schemas.microsoft.com/office/drawing/2014/chart" uri="{C3380CC4-5D6E-409C-BE32-E72D297353CC}">
              <c16:uniqueId val="{00000000-65BD-4052-BF4B-BE0304C5F74E}"/>
            </c:ext>
          </c:extLst>
        </c:ser>
        <c:ser>
          <c:idx val="0"/>
          <c:order val="1"/>
          <c:tx>
            <c:strRef>
              <c:f>Data!$A$72</c:f>
              <c:strCache>
                <c:ptCount val="1"/>
                <c:pt idx="0">
                  <c:v>TV 4.2 EH</c:v>
                </c:pt>
              </c:strCache>
            </c:strRef>
          </c:tx>
          <c:spPr>
            <a:ln w="28575">
              <a:solidFill>
                <a:srgbClr val="FF0000"/>
              </a:solidFill>
              <a:prstDash val="solid"/>
            </a:ln>
          </c:spPr>
          <c:marker>
            <c:symbol val="none"/>
          </c:marker>
          <c:xVal>
            <c:numRef>
              <c:f>Data!$C$74:$X$74</c:f>
              <c:numCache>
                <c:formatCode>0</c:formatCode>
                <c:ptCount val="22"/>
                <c:pt idx="0">
                  <c:v>0</c:v>
                </c:pt>
                <c:pt idx="1">
                  <c:v>1562.5</c:v>
                </c:pt>
                <c:pt idx="2">
                  <c:v>1562.5</c:v>
                </c:pt>
                <c:pt idx="3">
                  <c:v>2704.7526041666665</c:v>
                </c:pt>
                <c:pt idx="4">
                  <c:v>3847.005208333333</c:v>
                </c:pt>
                <c:pt idx="5">
                  <c:v>4989.2578125</c:v>
                </c:pt>
                <c:pt idx="6">
                  <c:v>6131.510416666667</c:v>
                </c:pt>
                <c:pt idx="7">
                  <c:v>7273.763020833333</c:v>
                </c:pt>
                <c:pt idx="8">
                  <c:v>8416.015625</c:v>
                </c:pt>
                <c:pt idx="9">
                  <c:v>9558.2682291666661</c:v>
                </c:pt>
                <c:pt idx="10">
                  <c:v>10700.520833333334</c:v>
                </c:pt>
                <c:pt idx="11">
                  <c:v>10697.916666666666</c:v>
                </c:pt>
                <c:pt idx="12">
                  <c:v>10697.916666666666</c:v>
                </c:pt>
                <c:pt idx="13">
                  <c:v>8414.0625</c:v>
                </c:pt>
                <c:pt idx="14">
                  <c:v>7272.1354166666661</c:v>
                </c:pt>
                <c:pt idx="15">
                  <c:v>6130.208333333333</c:v>
                </c:pt>
                <c:pt idx="16">
                  <c:v>4988.28125</c:v>
                </c:pt>
                <c:pt idx="17">
                  <c:v>3846.3541666666665</c:v>
                </c:pt>
                <c:pt idx="18">
                  <c:v>2704.4270833333335</c:v>
                </c:pt>
                <c:pt idx="19">
                  <c:v>1562.5</c:v>
                </c:pt>
                <c:pt idx="20">
                  <c:v>1562.5</c:v>
                </c:pt>
                <c:pt idx="21">
                  <c:v>0</c:v>
                </c:pt>
              </c:numCache>
            </c:numRef>
          </c:xVal>
          <c:yVal>
            <c:numRef>
              <c:f>Data!$C$80:$X$80</c:f>
              <c:numCache>
                <c:formatCode>0.00</c:formatCode>
                <c:ptCount val="22"/>
                <c:pt idx="0">
                  <c:v>2</c:v>
                </c:pt>
                <c:pt idx="1">
                  <c:v>2</c:v>
                </c:pt>
                <c:pt idx="2">
                  <c:v>2</c:v>
                </c:pt>
                <c:pt idx="3">
                  <c:v>2</c:v>
                </c:pt>
                <c:pt idx="4">
                  <c:v>2</c:v>
                </c:pt>
                <c:pt idx="5">
                  <c:v>2</c:v>
                </c:pt>
                <c:pt idx="6">
                  <c:v>2</c:v>
                </c:pt>
                <c:pt idx="7">
                  <c:v>2</c:v>
                </c:pt>
                <c:pt idx="8">
                  <c:v>1.8397275804041238</c:v>
                </c:pt>
                <c:pt idx="9">
                  <c:v>1.3470441940418127</c:v>
                </c:pt>
                <c:pt idx="10">
                  <c:v>0.80307959506635007</c:v>
                </c:pt>
                <c:pt idx="11">
                  <c:v>0.80213456790123416</c:v>
                </c:pt>
                <c:pt idx="12">
                  <c:v>0.80213456790123416</c:v>
                </c:pt>
                <c:pt idx="13">
                  <c:v>0.5</c:v>
                </c:pt>
                <c:pt idx="14">
                  <c:v>0.5</c:v>
                </c:pt>
                <c:pt idx="15">
                  <c:v>0.5</c:v>
                </c:pt>
                <c:pt idx="16">
                  <c:v>0.5</c:v>
                </c:pt>
                <c:pt idx="17">
                  <c:v>0.5</c:v>
                </c:pt>
                <c:pt idx="18">
                  <c:v>0.5</c:v>
                </c:pt>
                <c:pt idx="19">
                  <c:v>0.5</c:v>
                </c:pt>
                <c:pt idx="20">
                  <c:v>0.5</c:v>
                </c:pt>
                <c:pt idx="21">
                  <c:v>0.5</c:v>
                </c:pt>
              </c:numCache>
            </c:numRef>
          </c:yVal>
          <c:smooth val="0"/>
          <c:extLst>
            <c:ext xmlns:c16="http://schemas.microsoft.com/office/drawing/2014/chart" uri="{C3380CC4-5D6E-409C-BE32-E72D297353CC}">
              <c16:uniqueId val="{00000001-65BD-4052-BF4B-BE0304C5F74E}"/>
            </c:ext>
          </c:extLst>
        </c:ser>
        <c:ser>
          <c:idx val="1"/>
          <c:order val="2"/>
          <c:tx>
            <c:strRef>
              <c:f>Data!$A$102</c:f>
              <c:strCache>
                <c:ptCount val="1"/>
                <c:pt idx="0">
                  <c:v>TV 6.2 EH</c:v>
                </c:pt>
              </c:strCache>
            </c:strRef>
          </c:tx>
          <c:spPr>
            <a:ln>
              <a:solidFill>
                <a:schemeClr val="accent1"/>
              </a:solidFill>
            </a:ln>
          </c:spPr>
          <c:marker>
            <c:symbol val="none"/>
          </c:marker>
          <c:xVal>
            <c:numRef>
              <c:f>Data!$C$104:$X$104</c:f>
              <c:numCache>
                <c:formatCode>0</c:formatCode>
                <c:ptCount val="22"/>
                <c:pt idx="0">
                  <c:v>0</c:v>
                </c:pt>
                <c:pt idx="1">
                  <c:v>1562.5</c:v>
                </c:pt>
                <c:pt idx="2">
                  <c:v>1562.5</c:v>
                </c:pt>
                <c:pt idx="3">
                  <c:v>2884.6028645833335</c:v>
                </c:pt>
                <c:pt idx="4">
                  <c:v>4206.705729166667</c:v>
                </c:pt>
                <c:pt idx="5">
                  <c:v>5528.80859375</c:v>
                </c:pt>
                <c:pt idx="6">
                  <c:v>6850.911458333333</c:v>
                </c:pt>
                <c:pt idx="7">
                  <c:v>8173.0143229166661</c:v>
                </c:pt>
                <c:pt idx="8">
                  <c:v>9495.1171875</c:v>
                </c:pt>
                <c:pt idx="9">
                  <c:v>10817.220052083334</c:v>
                </c:pt>
                <c:pt idx="10">
                  <c:v>12139.322916666666</c:v>
                </c:pt>
                <c:pt idx="11">
                  <c:v>12136.71875</c:v>
                </c:pt>
                <c:pt idx="12">
                  <c:v>12136.71875</c:v>
                </c:pt>
                <c:pt idx="13">
                  <c:v>9493.1640625</c:v>
                </c:pt>
                <c:pt idx="14">
                  <c:v>8171.38671875</c:v>
                </c:pt>
                <c:pt idx="15">
                  <c:v>6849.609375</c:v>
                </c:pt>
                <c:pt idx="16">
                  <c:v>5527.83203125</c:v>
                </c:pt>
                <c:pt idx="17">
                  <c:v>4206.0546875</c:v>
                </c:pt>
                <c:pt idx="18">
                  <c:v>2884.27734375</c:v>
                </c:pt>
                <c:pt idx="19">
                  <c:v>1562.5</c:v>
                </c:pt>
                <c:pt idx="20">
                  <c:v>1562.5</c:v>
                </c:pt>
                <c:pt idx="21">
                  <c:v>0</c:v>
                </c:pt>
              </c:numCache>
            </c:numRef>
          </c:xVal>
          <c:yVal>
            <c:numRef>
              <c:f>Data!$C$110:$X$110</c:f>
              <c:numCache>
                <c:formatCode>0.00</c:formatCode>
                <c:ptCount val="22"/>
                <c:pt idx="0">
                  <c:v>3</c:v>
                </c:pt>
                <c:pt idx="1">
                  <c:v>3</c:v>
                </c:pt>
                <c:pt idx="2">
                  <c:v>3</c:v>
                </c:pt>
                <c:pt idx="3">
                  <c:v>3</c:v>
                </c:pt>
                <c:pt idx="4">
                  <c:v>3</c:v>
                </c:pt>
                <c:pt idx="5">
                  <c:v>3</c:v>
                </c:pt>
                <c:pt idx="6">
                  <c:v>3</c:v>
                </c:pt>
                <c:pt idx="7">
                  <c:v>3</c:v>
                </c:pt>
                <c:pt idx="8">
                  <c:v>2.6062457737213967</c:v>
                </c:pt>
                <c:pt idx="9">
                  <c:v>1.9323509443828089</c:v>
                </c:pt>
                <c:pt idx="10">
                  <c:v>1.1766977084278216</c:v>
                </c:pt>
                <c:pt idx="11">
                  <c:v>1.1759460069444443</c:v>
                </c:pt>
                <c:pt idx="12">
                  <c:v>1.1759460069444443</c:v>
                </c:pt>
                <c:pt idx="13">
                  <c:v>1</c:v>
                </c:pt>
                <c:pt idx="14">
                  <c:v>1</c:v>
                </c:pt>
                <c:pt idx="15">
                  <c:v>1</c:v>
                </c:pt>
                <c:pt idx="16">
                  <c:v>1</c:v>
                </c:pt>
                <c:pt idx="17">
                  <c:v>1</c:v>
                </c:pt>
                <c:pt idx="18">
                  <c:v>1</c:v>
                </c:pt>
                <c:pt idx="19">
                  <c:v>1</c:v>
                </c:pt>
                <c:pt idx="20">
                  <c:v>1</c:v>
                </c:pt>
                <c:pt idx="21">
                  <c:v>1</c:v>
                </c:pt>
              </c:numCache>
            </c:numRef>
          </c:yVal>
          <c:smooth val="0"/>
          <c:extLst>
            <c:ext xmlns:c16="http://schemas.microsoft.com/office/drawing/2014/chart" uri="{C3380CC4-5D6E-409C-BE32-E72D297353CC}">
              <c16:uniqueId val="{00000002-65BD-4052-BF4B-BE0304C5F74E}"/>
            </c:ext>
          </c:extLst>
        </c:ser>
        <c:ser>
          <c:idx val="3"/>
          <c:order val="3"/>
          <c:tx>
            <c:strRef>
              <c:f>Data!$A$132</c:f>
              <c:strCache>
                <c:ptCount val="1"/>
                <c:pt idx="0">
                  <c:v>TV 8.2 EH</c:v>
                </c:pt>
              </c:strCache>
            </c:strRef>
          </c:tx>
          <c:spPr>
            <a:ln w="28575">
              <a:solidFill>
                <a:srgbClr val="92D050"/>
              </a:solidFill>
            </a:ln>
          </c:spPr>
          <c:marker>
            <c:symbol val="none"/>
          </c:marker>
          <c:xVal>
            <c:numRef>
              <c:f>Data!$C$134:$X$134</c:f>
              <c:numCache>
                <c:formatCode>0</c:formatCode>
                <c:ptCount val="22"/>
                <c:pt idx="0">
                  <c:v>0</c:v>
                </c:pt>
                <c:pt idx="1">
                  <c:v>1562.5</c:v>
                </c:pt>
                <c:pt idx="2">
                  <c:v>1562.5</c:v>
                </c:pt>
                <c:pt idx="3">
                  <c:v>2975.2604166666665</c:v>
                </c:pt>
                <c:pt idx="4">
                  <c:v>4388.020833333333</c:v>
                </c:pt>
                <c:pt idx="5">
                  <c:v>5800.78125</c:v>
                </c:pt>
                <c:pt idx="6">
                  <c:v>7213.541666666667</c:v>
                </c:pt>
                <c:pt idx="7">
                  <c:v>8626.3020833333339</c:v>
                </c:pt>
                <c:pt idx="8">
                  <c:v>10039.0625</c:v>
                </c:pt>
                <c:pt idx="9">
                  <c:v>11451.822916666666</c:v>
                </c:pt>
                <c:pt idx="10">
                  <c:v>12864.583333333334</c:v>
                </c:pt>
                <c:pt idx="11">
                  <c:v>12861.979166666666</c:v>
                </c:pt>
                <c:pt idx="12">
                  <c:v>12861.979166666666</c:v>
                </c:pt>
                <c:pt idx="13">
                  <c:v>10037.109375</c:v>
                </c:pt>
                <c:pt idx="14">
                  <c:v>8624.6744791666661</c:v>
                </c:pt>
                <c:pt idx="15">
                  <c:v>7212.239583333333</c:v>
                </c:pt>
                <c:pt idx="16">
                  <c:v>5799.8046875</c:v>
                </c:pt>
                <c:pt idx="17">
                  <c:v>4387.369791666667</c:v>
                </c:pt>
                <c:pt idx="18">
                  <c:v>2974.9348958333335</c:v>
                </c:pt>
                <c:pt idx="19">
                  <c:v>1562.5</c:v>
                </c:pt>
                <c:pt idx="20">
                  <c:v>1562.5</c:v>
                </c:pt>
                <c:pt idx="21">
                  <c:v>0</c:v>
                </c:pt>
              </c:numCache>
            </c:numRef>
          </c:xVal>
          <c:yVal>
            <c:numRef>
              <c:f>Data!$C$140:$X$140</c:f>
              <c:numCache>
                <c:formatCode>0.00</c:formatCode>
                <c:ptCount val="22"/>
                <c:pt idx="0">
                  <c:v>4</c:v>
                </c:pt>
                <c:pt idx="1">
                  <c:v>4</c:v>
                </c:pt>
                <c:pt idx="2">
                  <c:v>4</c:v>
                </c:pt>
                <c:pt idx="3">
                  <c:v>4</c:v>
                </c:pt>
                <c:pt idx="4">
                  <c:v>4</c:v>
                </c:pt>
                <c:pt idx="5">
                  <c:v>4</c:v>
                </c:pt>
                <c:pt idx="6">
                  <c:v>4</c:v>
                </c:pt>
                <c:pt idx="7">
                  <c:v>3.8694998734242736</c:v>
                </c:pt>
                <c:pt idx="8">
                  <c:v>3.169004518766616</c:v>
                </c:pt>
                <c:pt idx="9">
                  <c:v>2.3792996713885581</c:v>
                </c:pt>
                <c:pt idx="10">
                  <c:v>1.5004343389239909</c:v>
                </c:pt>
                <c:pt idx="11">
                  <c:v>1.5</c:v>
                </c:pt>
                <c:pt idx="12">
                  <c:v>1.5</c:v>
                </c:pt>
                <c:pt idx="13">
                  <c:v>1.5</c:v>
                </c:pt>
                <c:pt idx="14">
                  <c:v>1.5</c:v>
                </c:pt>
                <c:pt idx="15">
                  <c:v>1.5</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3-65BD-4052-BF4B-BE0304C5F74E}"/>
            </c:ext>
          </c:extLst>
        </c:ser>
        <c:ser>
          <c:idx val="7"/>
          <c:order val="4"/>
          <c:tx>
            <c:strRef>
              <c:f>Data!$A$162</c:f>
              <c:strCache>
                <c:ptCount val="1"/>
                <c:pt idx="0">
                  <c:v>TV 10.2 EH</c:v>
                </c:pt>
              </c:strCache>
            </c:strRef>
          </c:tx>
          <c:spPr>
            <a:ln>
              <a:solidFill>
                <a:schemeClr val="accent6"/>
              </a:solidFill>
            </a:ln>
          </c:spPr>
          <c:marker>
            <c:symbol val="none"/>
          </c:marker>
          <c:xVal>
            <c:numRef>
              <c:f>Data!$C$164:$X$164</c:f>
              <c:numCache>
                <c:formatCode>0</c:formatCode>
                <c:ptCount val="22"/>
                <c:pt idx="0">
                  <c:v>0</c:v>
                </c:pt>
                <c:pt idx="1">
                  <c:v>1562.5</c:v>
                </c:pt>
                <c:pt idx="2">
                  <c:v>1562.5</c:v>
                </c:pt>
                <c:pt idx="3">
                  <c:v>2976.2369791666665</c:v>
                </c:pt>
                <c:pt idx="4">
                  <c:v>4389.973958333333</c:v>
                </c:pt>
                <c:pt idx="5">
                  <c:v>5803.7109375</c:v>
                </c:pt>
                <c:pt idx="6">
                  <c:v>7217.447916666667</c:v>
                </c:pt>
                <c:pt idx="7">
                  <c:v>8631.1848958333339</c:v>
                </c:pt>
                <c:pt idx="8">
                  <c:v>10044.921875</c:v>
                </c:pt>
                <c:pt idx="9">
                  <c:v>11458.658854166666</c:v>
                </c:pt>
                <c:pt idx="10">
                  <c:v>12872.395833333334</c:v>
                </c:pt>
                <c:pt idx="11">
                  <c:v>12869.791666666666</c:v>
                </c:pt>
                <c:pt idx="12">
                  <c:v>12869.791666666666</c:v>
                </c:pt>
                <c:pt idx="13">
                  <c:v>10042.96875</c:v>
                </c:pt>
                <c:pt idx="14">
                  <c:v>8629.5572916666661</c:v>
                </c:pt>
                <c:pt idx="15">
                  <c:v>7216.145833333333</c:v>
                </c:pt>
                <c:pt idx="16">
                  <c:v>5802.734375</c:v>
                </c:pt>
                <c:pt idx="17">
                  <c:v>4389.322916666667</c:v>
                </c:pt>
                <c:pt idx="18">
                  <c:v>2975.9114583333335</c:v>
                </c:pt>
                <c:pt idx="19">
                  <c:v>1562.5</c:v>
                </c:pt>
                <c:pt idx="20">
                  <c:v>1562.5</c:v>
                </c:pt>
                <c:pt idx="21">
                  <c:v>0</c:v>
                </c:pt>
              </c:numCache>
            </c:numRef>
          </c:xVal>
          <c:yVal>
            <c:numRef>
              <c:f>Data!$C$170:$X$170</c:f>
              <c:numCache>
                <c:formatCode>0.00</c:formatCode>
                <c:ptCount val="22"/>
                <c:pt idx="0">
                  <c:v>6</c:v>
                </c:pt>
                <c:pt idx="1">
                  <c:v>6</c:v>
                </c:pt>
                <c:pt idx="2">
                  <c:v>6</c:v>
                </c:pt>
                <c:pt idx="3">
                  <c:v>6</c:v>
                </c:pt>
                <c:pt idx="4">
                  <c:v>6</c:v>
                </c:pt>
                <c:pt idx="5">
                  <c:v>6</c:v>
                </c:pt>
                <c:pt idx="6">
                  <c:v>6</c:v>
                </c:pt>
                <c:pt idx="7">
                  <c:v>5.7542981944059504</c:v>
                </c:pt>
                <c:pt idx="8">
                  <c:v>4.9436497364144829</c:v>
                </c:pt>
                <c:pt idx="9">
                  <c:v>4.0267106877947763</c:v>
                </c:pt>
                <c:pt idx="10">
                  <c:v>3.0034810485468335</c:v>
                </c:pt>
                <c:pt idx="11">
                  <c:v>3</c:v>
                </c:pt>
                <c:pt idx="12">
                  <c:v>3</c:v>
                </c:pt>
                <c:pt idx="13">
                  <c:v>3</c:v>
                </c:pt>
                <c:pt idx="14">
                  <c:v>3</c:v>
                </c:pt>
                <c:pt idx="15">
                  <c:v>3</c:v>
                </c:pt>
                <c:pt idx="16">
                  <c:v>3</c:v>
                </c:pt>
                <c:pt idx="17">
                  <c:v>3</c:v>
                </c:pt>
                <c:pt idx="18">
                  <c:v>3</c:v>
                </c:pt>
                <c:pt idx="19">
                  <c:v>3</c:v>
                </c:pt>
                <c:pt idx="20">
                  <c:v>3</c:v>
                </c:pt>
                <c:pt idx="21">
                  <c:v>3</c:v>
                </c:pt>
              </c:numCache>
            </c:numRef>
          </c:yVal>
          <c:smooth val="0"/>
          <c:extLst>
            <c:ext xmlns:c16="http://schemas.microsoft.com/office/drawing/2014/chart" uri="{C3380CC4-5D6E-409C-BE32-E72D297353CC}">
              <c16:uniqueId val="{00000004-65BD-4052-BF4B-BE0304C5F74E}"/>
            </c:ext>
          </c:extLst>
        </c:ser>
        <c:ser>
          <c:idx val="9"/>
          <c:order val="5"/>
          <c:tx>
            <c:strRef>
              <c:f>Data!$A$192</c:f>
              <c:strCache>
                <c:ptCount val="1"/>
                <c:pt idx="0">
                  <c:v>TV 14.2 EH</c:v>
                </c:pt>
              </c:strCache>
            </c:strRef>
          </c:tx>
          <c:spPr>
            <a:ln>
              <a:solidFill>
                <a:srgbClr val="FFFF00"/>
              </a:solidFill>
            </a:ln>
          </c:spPr>
          <c:marker>
            <c:symbol val="none"/>
          </c:marker>
          <c:xVal>
            <c:numRef>
              <c:f>Data!$C$194:$X$194</c:f>
              <c:numCache>
                <c:formatCode>0</c:formatCode>
                <c:ptCount val="22"/>
                <c:pt idx="0">
                  <c:v>0</c:v>
                </c:pt>
                <c:pt idx="1">
                  <c:v>1562.5</c:v>
                </c:pt>
                <c:pt idx="2">
                  <c:v>1562.5</c:v>
                </c:pt>
                <c:pt idx="3">
                  <c:v>2774.0885416666665</c:v>
                </c:pt>
                <c:pt idx="4">
                  <c:v>3985.677083333333</c:v>
                </c:pt>
                <c:pt idx="5">
                  <c:v>5197.265625</c:v>
                </c:pt>
                <c:pt idx="6">
                  <c:v>6408.854166666667</c:v>
                </c:pt>
                <c:pt idx="7">
                  <c:v>7620.442708333333</c:v>
                </c:pt>
                <c:pt idx="8">
                  <c:v>8832.03125</c:v>
                </c:pt>
                <c:pt idx="9">
                  <c:v>10043.619791666666</c:v>
                </c:pt>
                <c:pt idx="10">
                  <c:v>11255.208333333334</c:v>
                </c:pt>
                <c:pt idx="11">
                  <c:v>11252.604166666666</c:v>
                </c:pt>
                <c:pt idx="12">
                  <c:v>11252.604166666666</c:v>
                </c:pt>
                <c:pt idx="13">
                  <c:v>8830.078125</c:v>
                </c:pt>
                <c:pt idx="14">
                  <c:v>7618.8151041666661</c:v>
                </c:pt>
                <c:pt idx="15">
                  <c:v>6407.552083333333</c:v>
                </c:pt>
                <c:pt idx="16">
                  <c:v>5196.2890625</c:v>
                </c:pt>
                <c:pt idx="17">
                  <c:v>3985.0260416666665</c:v>
                </c:pt>
                <c:pt idx="18">
                  <c:v>2773.7630208333335</c:v>
                </c:pt>
                <c:pt idx="19">
                  <c:v>1562.5</c:v>
                </c:pt>
                <c:pt idx="20">
                  <c:v>1562.5</c:v>
                </c:pt>
                <c:pt idx="21">
                  <c:v>0</c:v>
                </c:pt>
              </c:numCache>
            </c:numRef>
          </c:xVal>
          <c:yVal>
            <c:numRef>
              <c:f>Data!$C$200:$X$200</c:f>
              <c:numCache>
                <c:formatCode>0.00</c:formatCode>
                <c:ptCount val="22"/>
                <c:pt idx="0">
                  <c:v>9.5</c:v>
                </c:pt>
                <c:pt idx="1">
                  <c:v>9.5</c:v>
                </c:pt>
                <c:pt idx="2">
                  <c:v>9.5</c:v>
                </c:pt>
                <c:pt idx="3">
                  <c:v>9.5</c:v>
                </c:pt>
                <c:pt idx="4">
                  <c:v>9.5</c:v>
                </c:pt>
                <c:pt idx="5">
                  <c:v>9.5</c:v>
                </c:pt>
                <c:pt idx="6">
                  <c:v>9.5</c:v>
                </c:pt>
                <c:pt idx="7">
                  <c:v>9.5</c:v>
                </c:pt>
                <c:pt idx="8">
                  <c:v>8.5072527638888893</c:v>
                </c:pt>
                <c:pt idx="9">
                  <c:v>6.8873266161882913</c:v>
                </c:pt>
                <c:pt idx="10">
                  <c:v>4.9997142814169662</c:v>
                </c:pt>
                <c:pt idx="11">
                  <c:v>5</c:v>
                </c:pt>
                <c:pt idx="12">
                  <c:v>5</c:v>
                </c:pt>
                <c:pt idx="13">
                  <c:v>5</c:v>
                </c:pt>
                <c:pt idx="14">
                  <c:v>5</c:v>
                </c:pt>
                <c:pt idx="15">
                  <c:v>5</c:v>
                </c:pt>
                <c:pt idx="16">
                  <c:v>5</c:v>
                </c:pt>
                <c:pt idx="17">
                  <c:v>5</c:v>
                </c:pt>
                <c:pt idx="18">
                  <c:v>5</c:v>
                </c:pt>
                <c:pt idx="19">
                  <c:v>5</c:v>
                </c:pt>
                <c:pt idx="20">
                  <c:v>5</c:v>
                </c:pt>
                <c:pt idx="21">
                  <c:v>5</c:v>
                </c:pt>
              </c:numCache>
            </c:numRef>
          </c:yVal>
          <c:smooth val="0"/>
          <c:extLst>
            <c:ext xmlns:c16="http://schemas.microsoft.com/office/drawing/2014/chart" uri="{C3380CC4-5D6E-409C-BE32-E72D297353CC}">
              <c16:uniqueId val="{00000005-65BD-4052-BF4B-BE0304C5F74E}"/>
            </c:ext>
          </c:extLst>
        </c:ser>
        <c:dLbls>
          <c:showLegendKey val="0"/>
          <c:showVal val="0"/>
          <c:showCatName val="0"/>
          <c:showSerName val="0"/>
          <c:showPercent val="0"/>
          <c:showBubbleSize val="0"/>
        </c:dLbls>
        <c:axId val="357930320"/>
        <c:axId val="357930880"/>
      </c:scatterChart>
      <c:valAx>
        <c:axId val="357930320"/>
        <c:scaling>
          <c:orientation val="minMax"/>
          <c:min val="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400" b="0" i="0" u="none" strike="noStrike" baseline="0">
                    <a:solidFill>
                      <a:srgbClr val="000000"/>
                    </a:solidFill>
                    <a:latin typeface="Arial"/>
                    <a:ea typeface="Arial"/>
                    <a:cs typeface="Arial"/>
                  </a:defRPr>
                </a:pPr>
                <a:r>
                  <a:rPr lang="pl-PL"/>
                  <a:t>Q kW</a:t>
                </a:r>
              </a:p>
            </c:rich>
          </c:tx>
          <c:layout>
            <c:manualLayout>
              <c:xMode val="edge"/>
              <c:yMode val="edge"/>
              <c:x val="0.41914011539696788"/>
              <c:y val="0.930824860484672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7930880"/>
        <c:crosses val="autoZero"/>
        <c:crossBetween val="midCat"/>
        <c:majorUnit val="500"/>
        <c:minorUnit val="100"/>
      </c:valAx>
      <c:valAx>
        <c:axId val="357930880"/>
        <c:scaling>
          <c:orientation val="minMax"/>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pl-PL"/>
                  <a:t>p0 bar</a:t>
                </a:r>
              </a:p>
            </c:rich>
          </c:tx>
          <c:layout>
            <c:manualLayout>
              <c:xMode val="edge"/>
              <c:yMode val="edge"/>
              <c:x val="2.7107988083768027E-2"/>
              <c:y val="0.43340344592848246"/>
            </c:manualLayout>
          </c:layout>
          <c:overlay val="0"/>
          <c:spPr>
            <a:noFill/>
            <a:ln w="25400">
              <a:noFill/>
            </a:ln>
          </c:spPr>
        </c:title>
        <c:numFmt formatCode="0.0" sourceLinked="1"/>
        <c:majorTickMark val="out"/>
        <c:minorTickMark val="out"/>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7930320"/>
        <c:crosses val="autoZero"/>
        <c:crossBetween val="midCat"/>
        <c:majorUnit val="1"/>
        <c:minorUnit val="0.5"/>
      </c:valAx>
      <c:spPr>
        <a:solidFill>
          <a:srgbClr val="CCCCFF"/>
        </a:solidFill>
        <a:ln w="12700">
          <a:solidFill>
            <a:srgbClr val="CCCCFF"/>
          </a:solidFill>
          <a:prstDash val="solid"/>
        </a:ln>
      </c:spPr>
    </c:plotArea>
    <c:legend>
      <c:legendPos val="r"/>
      <c:layout>
        <c:manualLayout>
          <c:xMode val="edge"/>
          <c:yMode val="edge"/>
          <c:x val="0.83367841678018184"/>
          <c:y val="0.38714267512677442"/>
          <c:w val="7.661367487291941E-2"/>
          <c:h val="0.40841161845060631"/>
        </c:manualLayout>
      </c:layout>
      <c:overlay val="0"/>
      <c:spPr>
        <a:solidFill>
          <a:srgbClr val="FFFFFF"/>
        </a:solidFill>
        <a:ln w="25400">
          <a:noFill/>
        </a:ln>
      </c:spPr>
      <c:txPr>
        <a:bodyPr/>
        <a:lstStyle/>
        <a:p>
          <a:pPr>
            <a:defRPr sz="108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039" footer="0.49212598450000039"/>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sz="1400" b="1"/>
              <a:t>Transfero TV.2 Connect </a:t>
            </a:r>
          </a:p>
        </c:rich>
      </c:tx>
      <c:layout>
        <c:manualLayout>
          <c:xMode val="edge"/>
          <c:yMode val="edge"/>
          <c:x val="0.27708033443766278"/>
          <c:y val="2.6958205150986781E-2"/>
        </c:manualLayout>
      </c:layout>
      <c:overlay val="0"/>
      <c:spPr>
        <a:noFill/>
        <a:ln w="25400">
          <a:noFill/>
        </a:ln>
      </c:spPr>
    </c:title>
    <c:autoTitleDeleted val="0"/>
    <c:plotArea>
      <c:layout>
        <c:manualLayout>
          <c:layoutTarget val="inner"/>
          <c:xMode val="edge"/>
          <c:yMode val="edge"/>
          <c:x val="8.2823623246335687E-2"/>
          <c:y val="9.5145891871480814E-2"/>
          <c:w val="0.70930416833215182"/>
          <c:h val="0.7620260266964477"/>
        </c:manualLayout>
      </c:layout>
      <c:scatterChart>
        <c:scatterStyle val="smoothMarker"/>
        <c:varyColors val="0"/>
        <c:ser>
          <c:idx val="4"/>
          <c:order val="0"/>
          <c:tx>
            <c:v>Arbeitspunkt</c:v>
          </c:tx>
          <c:spPr>
            <a:ln w="28575">
              <a:noFill/>
            </a:ln>
          </c:spPr>
          <c:marker>
            <c:symbol val="diamond"/>
            <c:size val="10"/>
            <c:spPr>
              <a:solidFill>
                <a:srgbClr val="000000"/>
              </a:solidFill>
              <a:ln w="9525">
                <a:noFill/>
              </a:ln>
            </c:spPr>
          </c:marker>
          <c:xVal>
            <c:numRef>
              <c:f>'Selection pman-p0-qN'!$P$25</c:f>
              <c:numCache>
                <c:formatCode>General</c:formatCode>
                <c:ptCount val="1"/>
                <c:pt idx="0">
                  <c:v>1739.52</c:v>
                </c:pt>
              </c:numCache>
            </c:numRef>
          </c:xVal>
          <c:yVal>
            <c:numRef>
              <c:f>'Selection pman-p0-qN'!$P$22</c:f>
              <c:numCache>
                <c:formatCode>0.0</c:formatCode>
                <c:ptCount val="1"/>
                <c:pt idx="0">
                  <c:v>3.4284000000000003</c:v>
                </c:pt>
              </c:numCache>
            </c:numRef>
          </c:yVal>
          <c:smooth val="0"/>
          <c:extLst>
            <c:ext xmlns:c16="http://schemas.microsoft.com/office/drawing/2014/chart" uri="{C3380CC4-5D6E-409C-BE32-E72D297353CC}">
              <c16:uniqueId val="{00000000-74E6-482F-9948-730248892732}"/>
            </c:ext>
          </c:extLst>
        </c:ser>
        <c:ser>
          <c:idx val="0"/>
          <c:order val="1"/>
          <c:tx>
            <c:strRef>
              <c:f>Data!$A$72</c:f>
              <c:strCache>
                <c:ptCount val="1"/>
                <c:pt idx="0">
                  <c:v>TV 4.2 EH</c:v>
                </c:pt>
              </c:strCache>
            </c:strRef>
          </c:tx>
          <c:spPr>
            <a:ln w="28575">
              <a:solidFill>
                <a:srgbClr val="FF0000"/>
              </a:solidFill>
              <a:prstDash val="solid"/>
            </a:ln>
          </c:spPr>
          <c:marker>
            <c:symbol val="none"/>
          </c:marker>
          <c:xVal>
            <c:numRef>
              <c:f>Data!$C$73:$X$73</c:f>
              <c:numCache>
                <c:formatCode>General</c:formatCode>
                <c:ptCount val="22"/>
                <c:pt idx="0">
                  <c:v>0</c:v>
                </c:pt>
                <c:pt idx="1">
                  <c:v>600</c:v>
                </c:pt>
                <c:pt idx="2">
                  <c:v>600</c:v>
                </c:pt>
                <c:pt idx="3">
                  <c:v>1038.625</c:v>
                </c:pt>
                <c:pt idx="4">
                  <c:v>1477.25</c:v>
                </c:pt>
                <c:pt idx="5">
                  <c:v>1915.875</c:v>
                </c:pt>
                <c:pt idx="6">
                  <c:v>2354.5</c:v>
                </c:pt>
                <c:pt idx="7">
                  <c:v>2793.125</c:v>
                </c:pt>
                <c:pt idx="8">
                  <c:v>3231.75</c:v>
                </c:pt>
                <c:pt idx="9">
                  <c:v>3670.375</c:v>
                </c:pt>
                <c:pt idx="10">
                  <c:v>4109</c:v>
                </c:pt>
                <c:pt idx="11">
                  <c:v>4108</c:v>
                </c:pt>
                <c:pt idx="12">
                  <c:v>4108</c:v>
                </c:pt>
                <c:pt idx="13">
                  <c:v>3231</c:v>
                </c:pt>
                <c:pt idx="14">
                  <c:v>2792.5</c:v>
                </c:pt>
                <c:pt idx="15">
                  <c:v>2354</c:v>
                </c:pt>
                <c:pt idx="16">
                  <c:v>1915.5</c:v>
                </c:pt>
                <c:pt idx="17">
                  <c:v>1477</c:v>
                </c:pt>
                <c:pt idx="18">
                  <c:v>1038.5</c:v>
                </c:pt>
                <c:pt idx="19">
                  <c:v>600</c:v>
                </c:pt>
                <c:pt idx="20">
                  <c:v>600</c:v>
                </c:pt>
                <c:pt idx="21">
                  <c:v>0</c:v>
                </c:pt>
              </c:numCache>
            </c:numRef>
          </c:xVal>
          <c:yVal>
            <c:numRef>
              <c:f>Data!$C$79:$X$79</c:f>
              <c:numCache>
                <c:formatCode>0.00</c:formatCode>
                <c:ptCount val="22"/>
                <c:pt idx="0">
                  <c:v>2.5</c:v>
                </c:pt>
                <c:pt idx="1">
                  <c:v>2.5</c:v>
                </c:pt>
                <c:pt idx="2">
                  <c:v>2.5</c:v>
                </c:pt>
                <c:pt idx="3">
                  <c:v>2.5</c:v>
                </c:pt>
                <c:pt idx="4">
                  <c:v>2.5</c:v>
                </c:pt>
                <c:pt idx="5">
                  <c:v>2.5</c:v>
                </c:pt>
                <c:pt idx="6">
                  <c:v>2.5</c:v>
                </c:pt>
                <c:pt idx="7">
                  <c:v>2.5</c:v>
                </c:pt>
                <c:pt idx="8">
                  <c:v>2.3397275804041238</c:v>
                </c:pt>
                <c:pt idx="9">
                  <c:v>1.8470441940418127</c:v>
                </c:pt>
                <c:pt idx="10">
                  <c:v>1.3030795950663501</c:v>
                </c:pt>
                <c:pt idx="11">
                  <c:v>1.3021345679012342</c:v>
                </c:pt>
                <c:pt idx="12">
                  <c:v>1.3021345679012342</c:v>
                </c:pt>
                <c:pt idx="13">
                  <c:v>1</c:v>
                </c:pt>
                <c:pt idx="14">
                  <c:v>1</c:v>
                </c:pt>
                <c:pt idx="15">
                  <c:v>1</c:v>
                </c:pt>
                <c:pt idx="16">
                  <c:v>1</c:v>
                </c:pt>
                <c:pt idx="17">
                  <c:v>1</c:v>
                </c:pt>
                <c:pt idx="18">
                  <c:v>1</c:v>
                </c:pt>
                <c:pt idx="19">
                  <c:v>1</c:v>
                </c:pt>
                <c:pt idx="20">
                  <c:v>1</c:v>
                </c:pt>
                <c:pt idx="21">
                  <c:v>1</c:v>
                </c:pt>
              </c:numCache>
            </c:numRef>
          </c:yVal>
          <c:smooth val="0"/>
          <c:extLst>
            <c:ext xmlns:c16="http://schemas.microsoft.com/office/drawing/2014/chart" uri="{C3380CC4-5D6E-409C-BE32-E72D297353CC}">
              <c16:uniqueId val="{00000001-74E6-482F-9948-730248892732}"/>
            </c:ext>
          </c:extLst>
        </c:ser>
        <c:ser>
          <c:idx val="1"/>
          <c:order val="2"/>
          <c:tx>
            <c:strRef>
              <c:f>Data!$A$102</c:f>
              <c:strCache>
                <c:ptCount val="1"/>
                <c:pt idx="0">
                  <c:v>TV 6.2 EH</c:v>
                </c:pt>
              </c:strCache>
            </c:strRef>
          </c:tx>
          <c:spPr>
            <a:ln>
              <a:solidFill>
                <a:schemeClr val="accent1"/>
              </a:solidFill>
            </a:ln>
          </c:spPr>
          <c:marker>
            <c:symbol val="none"/>
          </c:marker>
          <c:xVal>
            <c:numRef>
              <c:f>Data!$C$103:$X$103</c:f>
              <c:numCache>
                <c:formatCode>General</c:formatCode>
                <c:ptCount val="22"/>
                <c:pt idx="0">
                  <c:v>0</c:v>
                </c:pt>
                <c:pt idx="1">
                  <c:v>600</c:v>
                </c:pt>
                <c:pt idx="2">
                  <c:v>600</c:v>
                </c:pt>
                <c:pt idx="3">
                  <c:v>1107.6875</c:v>
                </c:pt>
                <c:pt idx="4">
                  <c:v>1615.375</c:v>
                </c:pt>
                <c:pt idx="5">
                  <c:v>2123.0625</c:v>
                </c:pt>
                <c:pt idx="6">
                  <c:v>2630.75</c:v>
                </c:pt>
                <c:pt idx="7">
                  <c:v>3138.4375</c:v>
                </c:pt>
                <c:pt idx="8">
                  <c:v>3646.125</c:v>
                </c:pt>
                <c:pt idx="9">
                  <c:v>4153.8125</c:v>
                </c:pt>
                <c:pt idx="10">
                  <c:v>4661.5</c:v>
                </c:pt>
                <c:pt idx="11">
                  <c:v>4660.5</c:v>
                </c:pt>
                <c:pt idx="12">
                  <c:v>4660.5</c:v>
                </c:pt>
                <c:pt idx="13">
                  <c:v>3645.375</c:v>
                </c:pt>
                <c:pt idx="14">
                  <c:v>3137.8125</c:v>
                </c:pt>
                <c:pt idx="15">
                  <c:v>2630.25</c:v>
                </c:pt>
                <c:pt idx="16">
                  <c:v>2122.6875</c:v>
                </c:pt>
                <c:pt idx="17">
                  <c:v>1615.125</c:v>
                </c:pt>
                <c:pt idx="18">
                  <c:v>1107.5625</c:v>
                </c:pt>
                <c:pt idx="19">
                  <c:v>600</c:v>
                </c:pt>
                <c:pt idx="20">
                  <c:v>600</c:v>
                </c:pt>
                <c:pt idx="21">
                  <c:v>0</c:v>
                </c:pt>
              </c:numCache>
            </c:numRef>
          </c:xVal>
          <c:yVal>
            <c:numRef>
              <c:f>Data!$C$109:$X$109</c:f>
              <c:numCache>
                <c:formatCode>0.00</c:formatCode>
                <c:ptCount val="22"/>
                <c:pt idx="0">
                  <c:v>3.5</c:v>
                </c:pt>
                <c:pt idx="1">
                  <c:v>3.5</c:v>
                </c:pt>
                <c:pt idx="2">
                  <c:v>3.5</c:v>
                </c:pt>
                <c:pt idx="3">
                  <c:v>3.5</c:v>
                </c:pt>
                <c:pt idx="4">
                  <c:v>3.5</c:v>
                </c:pt>
                <c:pt idx="5">
                  <c:v>3.5</c:v>
                </c:pt>
                <c:pt idx="6">
                  <c:v>3.5</c:v>
                </c:pt>
                <c:pt idx="7">
                  <c:v>3.5</c:v>
                </c:pt>
                <c:pt idx="8">
                  <c:v>3.1062457737213967</c:v>
                </c:pt>
                <c:pt idx="9">
                  <c:v>2.4323509443828089</c:v>
                </c:pt>
                <c:pt idx="10">
                  <c:v>1.6766977084278216</c:v>
                </c:pt>
                <c:pt idx="11">
                  <c:v>1.6759460069444443</c:v>
                </c:pt>
                <c:pt idx="12">
                  <c:v>1.6759460069444443</c:v>
                </c:pt>
                <c:pt idx="13">
                  <c:v>1.5</c:v>
                </c:pt>
                <c:pt idx="14">
                  <c:v>1.5</c:v>
                </c:pt>
                <c:pt idx="15">
                  <c:v>1.5</c:v>
                </c:pt>
                <c:pt idx="16">
                  <c:v>1.5</c:v>
                </c:pt>
                <c:pt idx="17">
                  <c:v>1.5</c:v>
                </c:pt>
                <c:pt idx="18">
                  <c:v>1.5</c:v>
                </c:pt>
                <c:pt idx="19">
                  <c:v>1.5</c:v>
                </c:pt>
                <c:pt idx="20">
                  <c:v>1.5</c:v>
                </c:pt>
                <c:pt idx="21">
                  <c:v>1.5</c:v>
                </c:pt>
              </c:numCache>
            </c:numRef>
          </c:yVal>
          <c:smooth val="0"/>
          <c:extLst>
            <c:ext xmlns:c16="http://schemas.microsoft.com/office/drawing/2014/chart" uri="{C3380CC4-5D6E-409C-BE32-E72D297353CC}">
              <c16:uniqueId val="{00000002-74E6-482F-9948-730248892732}"/>
            </c:ext>
          </c:extLst>
        </c:ser>
        <c:ser>
          <c:idx val="3"/>
          <c:order val="3"/>
          <c:tx>
            <c:strRef>
              <c:f>Data!$A$132</c:f>
              <c:strCache>
                <c:ptCount val="1"/>
                <c:pt idx="0">
                  <c:v>TV 8.2 EH</c:v>
                </c:pt>
              </c:strCache>
            </c:strRef>
          </c:tx>
          <c:spPr>
            <a:ln w="28575">
              <a:solidFill>
                <a:srgbClr val="92D050"/>
              </a:solidFill>
            </a:ln>
          </c:spPr>
          <c:marker>
            <c:symbol val="none"/>
          </c:marker>
          <c:xVal>
            <c:numRef>
              <c:f>Data!$C$133:$X$133</c:f>
              <c:numCache>
                <c:formatCode>General</c:formatCode>
                <c:ptCount val="22"/>
                <c:pt idx="0">
                  <c:v>0</c:v>
                </c:pt>
                <c:pt idx="1">
                  <c:v>600</c:v>
                </c:pt>
                <c:pt idx="2">
                  <c:v>600</c:v>
                </c:pt>
                <c:pt idx="3">
                  <c:v>1142.5</c:v>
                </c:pt>
                <c:pt idx="4">
                  <c:v>1685</c:v>
                </c:pt>
                <c:pt idx="5">
                  <c:v>2227.5</c:v>
                </c:pt>
                <c:pt idx="6">
                  <c:v>2770</c:v>
                </c:pt>
                <c:pt idx="7">
                  <c:v>3312.5</c:v>
                </c:pt>
                <c:pt idx="8">
                  <c:v>3855</c:v>
                </c:pt>
                <c:pt idx="9">
                  <c:v>4397.5</c:v>
                </c:pt>
                <c:pt idx="10">
                  <c:v>4940</c:v>
                </c:pt>
                <c:pt idx="11">
                  <c:v>4939</c:v>
                </c:pt>
                <c:pt idx="12">
                  <c:v>4939</c:v>
                </c:pt>
                <c:pt idx="13">
                  <c:v>3854.25</c:v>
                </c:pt>
                <c:pt idx="14">
                  <c:v>3311.875</c:v>
                </c:pt>
                <c:pt idx="15">
                  <c:v>2769.5</c:v>
                </c:pt>
                <c:pt idx="16">
                  <c:v>2227.125</c:v>
                </c:pt>
                <c:pt idx="17">
                  <c:v>1684.75</c:v>
                </c:pt>
                <c:pt idx="18">
                  <c:v>1142.375</c:v>
                </c:pt>
                <c:pt idx="19">
                  <c:v>600</c:v>
                </c:pt>
                <c:pt idx="20">
                  <c:v>600</c:v>
                </c:pt>
                <c:pt idx="21">
                  <c:v>0</c:v>
                </c:pt>
              </c:numCache>
            </c:numRef>
          </c:xVal>
          <c:yVal>
            <c:numRef>
              <c:f>Data!$C$139:$X$139</c:f>
              <c:numCache>
                <c:formatCode>0.00</c:formatCode>
                <c:ptCount val="22"/>
                <c:pt idx="0">
                  <c:v>4.5</c:v>
                </c:pt>
                <c:pt idx="1">
                  <c:v>4.5</c:v>
                </c:pt>
                <c:pt idx="2">
                  <c:v>4.5</c:v>
                </c:pt>
                <c:pt idx="3">
                  <c:v>4.5</c:v>
                </c:pt>
                <c:pt idx="4">
                  <c:v>4.5</c:v>
                </c:pt>
                <c:pt idx="5">
                  <c:v>4.5</c:v>
                </c:pt>
                <c:pt idx="6">
                  <c:v>4.5</c:v>
                </c:pt>
                <c:pt idx="7">
                  <c:v>4.3694998734242736</c:v>
                </c:pt>
                <c:pt idx="8">
                  <c:v>3.669004518766616</c:v>
                </c:pt>
                <c:pt idx="9">
                  <c:v>2.8792996713885581</c:v>
                </c:pt>
                <c:pt idx="10">
                  <c:v>2.0004343389239909</c:v>
                </c:pt>
                <c:pt idx="11">
                  <c:v>2</c:v>
                </c:pt>
                <c:pt idx="12">
                  <c:v>2</c:v>
                </c:pt>
                <c:pt idx="13">
                  <c:v>2</c:v>
                </c:pt>
                <c:pt idx="14">
                  <c:v>2</c:v>
                </c:pt>
                <c:pt idx="15">
                  <c:v>2</c:v>
                </c:pt>
                <c:pt idx="16">
                  <c:v>2</c:v>
                </c:pt>
                <c:pt idx="17">
                  <c:v>2</c:v>
                </c:pt>
                <c:pt idx="18">
                  <c:v>2</c:v>
                </c:pt>
                <c:pt idx="19">
                  <c:v>2</c:v>
                </c:pt>
                <c:pt idx="20">
                  <c:v>2</c:v>
                </c:pt>
                <c:pt idx="21">
                  <c:v>2</c:v>
                </c:pt>
              </c:numCache>
            </c:numRef>
          </c:yVal>
          <c:smooth val="0"/>
          <c:extLst>
            <c:ext xmlns:c16="http://schemas.microsoft.com/office/drawing/2014/chart" uri="{C3380CC4-5D6E-409C-BE32-E72D297353CC}">
              <c16:uniqueId val="{00000003-74E6-482F-9948-730248892732}"/>
            </c:ext>
          </c:extLst>
        </c:ser>
        <c:ser>
          <c:idx val="7"/>
          <c:order val="4"/>
          <c:tx>
            <c:strRef>
              <c:f>Data!$A$162</c:f>
              <c:strCache>
                <c:ptCount val="1"/>
                <c:pt idx="0">
                  <c:v>TV 10.2 EH</c:v>
                </c:pt>
              </c:strCache>
            </c:strRef>
          </c:tx>
          <c:spPr>
            <a:ln>
              <a:solidFill>
                <a:schemeClr val="accent6"/>
              </a:solidFill>
            </a:ln>
          </c:spPr>
          <c:marker>
            <c:symbol val="none"/>
          </c:marker>
          <c:xVal>
            <c:numRef>
              <c:f>Data!$C$163:$X$163</c:f>
              <c:numCache>
                <c:formatCode>General</c:formatCode>
                <c:ptCount val="22"/>
                <c:pt idx="0">
                  <c:v>0</c:v>
                </c:pt>
                <c:pt idx="1">
                  <c:v>600</c:v>
                </c:pt>
                <c:pt idx="2">
                  <c:v>600</c:v>
                </c:pt>
                <c:pt idx="3">
                  <c:v>1142.875</c:v>
                </c:pt>
                <c:pt idx="4">
                  <c:v>1685.75</c:v>
                </c:pt>
                <c:pt idx="5">
                  <c:v>2228.625</c:v>
                </c:pt>
                <c:pt idx="6">
                  <c:v>2771.5</c:v>
                </c:pt>
                <c:pt idx="7">
                  <c:v>3314.375</c:v>
                </c:pt>
                <c:pt idx="8">
                  <c:v>3857.25</c:v>
                </c:pt>
                <c:pt idx="9">
                  <c:v>4400.125</c:v>
                </c:pt>
                <c:pt idx="10">
                  <c:v>4943</c:v>
                </c:pt>
                <c:pt idx="11">
                  <c:v>4942</c:v>
                </c:pt>
                <c:pt idx="12">
                  <c:v>4942</c:v>
                </c:pt>
                <c:pt idx="13">
                  <c:v>3856.5</c:v>
                </c:pt>
                <c:pt idx="14">
                  <c:v>3313.75</c:v>
                </c:pt>
                <c:pt idx="15">
                  <c:v>2771</c:v>
                </c:pt>
                <c:pt idx="16">
                  <c:v>2228.25</c:v>
                </c:pt>
                <c:pt idx="17">
                  <c:v>1685.5</c:v>
                </c:pt>
                <c:pt idx="18">
                  <c:v>1142.75</c:v>
                </c:pt>
                <c:pt idx="19">
                  <c:v>600</c:v>
                </c:pt>
                <c:pt idx="20">
                  <c:v>600</c:v>
                </c:pt>
                <c:pt idx="21">
                  <c:v>0</c:v>
                </c:pt>
              </c:numCache>
            </c:numRef>
          </c:xVal>
          <c:yVal>
            <c:numRef>
              <c:f>Data!$C$169:$X$169</c:f>
              <c:numCache>
                <c:formatCode>0.00</c:formatCode>
                <c:ptCount val="22"/>
                <c:pt idx="0">
                  <c:v>6.5</c:v>
                </c:pt>
                <c:pt idx="1">
                  <c:v>6.5</c:v>
                </c:pt>
                <c:pt idx="2">
                  <c:v>6.5</c:v>
                </c:pt>
                <c:pt idx="3">
                  <c:v>6.5</c:v>
                </c:pt>
                <c:pt idx="4">
                  <c:v>6.5</c:v>
                </c:pt>
                <c:pt idx="5">
                  <c:v>6.5</c:v>
                </c:pt>
                <c:pt idx="6">
                  <c:v>6.5</c:v>
                </c:pt>
                <c:pt idx="7">
                  <c:v>6.2542981944059504</c:v>
                </c:pt>
                <c:pt idx="8">
                  <c:v>5.4436497364144829</c:v>
                </c:pt>
                <c:pt idx="9">
                  <c:v>4.5267106877947763</c:v>
                </c:pt>
                <c:pt idx="10">
                  <c:v>3.5034810485468335</c:v>
                </c:pt>
                <c:pt idx="11">
                  <c:v>3.5</c:v>
                </c:pt>
                <c:pt idx="12">
                  <c:v>3.5</c:v>
                </c:pt>
                <c:pt idx="13">
                  <c:v>3.5</c:v>
                </c:pt>
                <c:pt idx="14">
                  <c:v>3.5</c:v>
                </c:pt>
                <c:pt idx="15">
                  <c:v>3.5</c:v>
                </c:pt>
                <c:pt idx="16">
                  <c:v>3.5</c:v>
                </c:pt>
                <c:pt idx="17">
                  <c:v>3.5</c:v>
                </c:pt>
                <c:pt idx="18">
                  <c:v>3.5</c:v>
                </c:pt>
                <c:pt idx="19">
                  <c:v>3.5</c:v>
                </c:pt>
                <c:pt idx="20">
                  <c:v>3.5</c:v>
                </c:pt>
                <c:pt idx="21">
                  <c:v>3.5</c:v>
                </c:pt>
              </c:numCache>
            </c:numRef>
          </c:yVal>
          <c:smooth val="0"/>
          <c:extLst>
            <c:ext xmlns:c16="http://schemas.microsoft.com/office/drawing/2014/chart" uri="{C3380CC4-5D6E-409C-BE32-E72D297353CC}">
              <c16:uniqueId val="{00000004-74E6-482F-9948-730248892732}"/>
            </c:ext>
          </c:extLst>
        </c:ser>
        <c:ser>
          <c:idx val="9"/>
          <c:order val="5"/>
          <c:tx>
            <c:strRef>
              <c:f>Data!$A$192</c:f>
              <c:strCache>
                <c:ptCount val="1"/>
                <c:pt idx="0">
                  <c:v>TV 14.2 EH</c:v>
                </c:pt>
              </c:strCache>
            </c:strRef>
          </c:tx>
          <c:spPr>
            <a:ln>
              <a:solidFill>
                <a:srgbClr val="FFFF00"/>
              </a:solidFill>
            </a:ln>
          </c:spPr>
          <c:marker>
            <c:symbol val="none"/>
          </c:marker>
          <c:xVal>
            <c:numRef>
              <c:f>Data!$C$193:$X$193</c:f>
              <c:numCache>
                <c:formatCode>General</c:formatCode>
                <c:ptCount val="22"/>
                <c:pt idx="0">
                  <c:v>0</c:v>
                </c:pt>
                <c:pt idx="1">
                  <c:v>600</c:v>
                </c:pt>
                <c:pt idx="2">
                  <c:v>600</c:v>
                </c:pt>
                <c:pt idx="3">
                  <c:v>1065.25</c:v>
                </c:pt>
                <c:pt idx="4">
                  <c:v>1530.5</c:v>
                </c:pt>
                <c:pt idx="5">
                  <c:v>1995.75</c:v>
                </c:pt>
                <c:pt idx="6">
                  <c:v>2461</c:v>
                </c:pt>
                <c:pt idx="7">
                  <c:v>2926.25</c:v>
                </c:pt>
                <c:pt idx="8">
                  <c:v>3391.5</c:v>
                </c:pt>
                <c:pt idx="9">
                  <c:v>3856.75</c:v>
                </c:pt>
                <c:pt idx="10">
                  <c:v>4322</c:v>
                </c:pt>
                <c:pt idx="11">
                  <c:v>4321</c:v>
                </c:pt>
                <c:pt idx="12">
                  <c:v>4321</c:v>
                </c:pt>
                <c:pt idx="13">
                  <c:v>3390.75</c:v>
                </c:pt>
                <c:pt idx="14">
                  <c:v>2925.625</c:v>
                </c:pt>
                <c:pt idx="15">
                  <c:v>2460.5</c:v>
                </c:pt>
                <c:pt idx="16">
                  <c:v>1995.375</c:v>
                </c:pt>
                <c:pt idx="17">
                  <c:v>1530.25</c:v>
                </c:pt>
                <c:pt idx="18">
                  <c:v>1065.125</c:v>
                </c:pt>
                <c:pt idx="19">
                  <c:v>600</c:v>
                </c:pt>
                <c:pt idx="20">
                  <c:v>600</c:v>
                </c:pt>
                <c:pt idx="21">
                  <c:v>0</c:v>
                </c:pt>
              </c:numCache>
            </c:numRef>
          </c:xVal>
          <c:yVal>
            <c:numRef>
              <c:f>Data!$C$199:$X$199</c:f>
              <c:numCache>
                <c:formatCode>0.00</c:formatCode>
                <c:ptCount val="22"/>
                <c:pt idx="0">
                  <c:v>10</c:v>
                </c:pt>
                <c:pt idx="1">
                  <c:v>10</c:v>
                </c:pt>
                <c:pt idx="2">
                  <c:v>10</c:v>
                </c:pt>
                <c:pt idx="3">
                  <c:v>10</c:v>
                </c:pt>
                <c:pt idx="4">
                  <c:v>10</c:v>
                </c:pt>
                <c:pt idx="5">
                  <c:v>10</c:v>
                </c:pt>
                <c:pt idx="6">
                  <c:v>10</c:v>
                </c:pt>
                <c:pt idx="7">
                  <c:v>10</c:v>
                </c:pt>
                <c:pt idx="8">
                  <c:v>9.0072527638888893</c:v>
                </c:pt>
                <c:pt idx="9">
                  <c:v>7.3873266161882913</c:v>
                </c:pt>
                <c:pt idx="10">
                  <c:v>5.4997142814169662</c:v>
                </c:pt>
                <c:pt idx="11">
                  <c:v>5.5</c:v>
                </c:pt>
                <c:pt idx="12">
                  <c:v>5.5</c:v>
                </c:pt>
                <c:pt idx="13">
                  <c:v>5.5</c:v>
                </c:pt>
                <c:pt idx="14">
                  <c:v>5.5</c:v>
                </c:pt>
                <c:pt idx="15">
                  <c:v>5.5</c:v>
                </c:pt>
                <c:pt idx="16">
                  <c:v>5.5</c:v>
                </c:pt>
                <c:pt idx="17">
                  <c:v>5.5</c:v>
                </c:pt>
                <c:pt idx="18">
                  <c:v>5.5</c:v>
                </c:pt>
                <c:pt idx="19">
                  <c:v>5.5</c:v>
                </c:pt>
                <c:pt idx="20">
                  <c:v>5.5</c:v>
                </c:pt>
                <c:pt idx="21">
                  <c:v>5.5</c:v>
                </c:pt>
              </c:numCache>
            </c:numRef>
          </c:yVal>
          <c:smooth val="0"/>
          <c:extLst>
            <c:ext xmlns:c16="http://schemas.microsoft.com/office/drawing/2014/chart" uri="{C3380CC4-5D6E-409C-BE32-E72D297353CC}">
              <c16:uniqueId val="{00000005-74E6-482F-9948-730248892732}"/>
            </c:ext>
          </c:extLst>
        </c:ser>
        <c:dLbls>
          <c:showLegendKey val="0"/>
          <c:showVal val="0"/>
          <c:showCatName val="0"/>
          <c:showSerName val="0"/>
          <c:showPercent val="0"/>
          <c:showBubbleSize val="0"/>
        </c:dLbls>
        <c:axId val="277514784"/>
        <c:axId val="277515344"/>
      </c:scatterChart>
      <c:valAx>
        <c:axId val="277514784"/>
        <c:scaling>
          <c:orientation val="minMax"/>
          <c:min val="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0" i="0" u="none" strike="noStrike" baseline="0">
                    <a:solidFill>
                      <a:srgbClr val="000000"/>
                    </a:solidFill>
                    <a:latin typeface="Arial"/>
                    <a:ea typeface="Arial"/>
                    <a:cs typeface="Arial"/>
                  </a:defRPr>
                </a:pPr>
                <a:r>
                  <a:rPr lang="pl-PL" sz="1200"/>
                  <a:t>qN l/h</a:t>
                </a:r>
              </a:p>
            </c:rich>
          </c:tx>
          <c:layout>
            <c:manualLayout>
              <c:xMode val="edge"/>
              <c:yMode val="edge"/>
              <c:x val="0.39091494007930605"/>
              <c:y val="0.92596664316867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77515344"/>
        <c:crosses val="autoZero"/>
        <c:crossBetween val="midCat"/>
        <c:majorUnit val="500"/>
        <c:minorUnit val="100"/>
      </c:valAx>
      <c:valAx>
        <c:axId val="277515344"/>
        <c:scaling>
          <c:orientation val="minMax"/>
          <c:min val="0"/>
        </c:scaling>
        <c:delete val="0"/>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pl-PL" sz="1200"/>
                  <a:t>Pman bar</a:t>
                </a:r>
              </a:p>
            </c:rich>
          </c:tx>
          <c:layout>
            <c:manualLayout>
              <c:xMode val="edge"/>
              <c:yMode val="edge"/>
              <c:x val="7.5759154857046275E-3"/>
              <c:y val="0.43119974511611375"/>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77514784"/>
        <c:crosses val="autoZero"/>
        <c:crossBetween val="midCat"/>
        <c:majorUnit val="1"/>
        <c:minorUnit val="0.5"/>
      </c:valAx>
      <c:spPr>
        <a:solidFill>
          <a:srgbClr val="CCCCFF"/>
        </a:solidFill>
        <a:ln w="12700">
          <a:solidFill>
            <a:srgbClr val="CCCCFF"/>
          </a:solidFill>
          <a:prstDash val="solid"/>
        </a:ln>
      </c:spPr>
    </c:plotArea>
    <c:legend>
      <c:legendPos val="r"/>
      <c:layout>
        <c:manualLayout>
          <c:xMode val="edge"/>
          <c:yMode val="edge"/>
          <c:x val="0.80253482806059051"/>
          <c:y val="0.33645384463744327"/>
          <c:w val="0.18967928266824272"/>
          <c:h val="0.39582167617864761"/>
        </c:manualLayout>
      </c:layout>
      <c:overlay val="0"/>
      <c:spPr>
        <a:solidFill>
          <a:srgbClr val="FFFFFF"/>
        </a:solidFill>
        <a:ln w="25400">
          <a:noFill/>
        </a:ln>
      </c:spPr>
      <c:txPr>
        <a:bodyPr/>
        <a:lstStyle/>
        <a:p>
          <a:pPr>
            <a:defRPr sz="108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022" footer="0.49212598450000022"/>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75" b="0" i="0" u="none" strike="noStrike" baseline="0">
                <a:solidFill>
                  <a:srgbClr val="000000"/>
                </a:solidFill>
                <a:latin typeface="Arial"/>
                <a:ea typeface="Arial"/>
                <a:cs typeface="Arial"/>
              </a:defRPr>
            </a:pPr>
            <a:r>
              <a:rPr lang="pl-PL"/>
              <a:t>Compresso C</a:t>
            </a:r>
          </a:p>
        </c:rich>
      </c:tx>
      <c:layout>
        <c:manualLayout>
          <c:xMode val="edge"/>
          <c:yMode val="edge"/>
          <c:x val="0.42327002003385883"/>
          <c:y val="2.8239202657807844E-2"/>
        </c:manualLayout>
      </c:layout>
      <c:overlay val="0"/>
      <c:spPr>
        <a:noFill/>
        <a:ln w="25400">
          <a:noFill/>
        </a:ln>
      </c:spPr>
    </c:title>
    <c:autoTitleDeleted val="0"/>
    <c:plotArea>
      <c:layout>
        <c:manualLayout>
          <c:layoutTarget val="inner"/>
          <c:xMode val="edge"/>
          <c:yMode val="edge"/>
          <c:x val="0.14142434208110144"/>
          <c:y val="0.15282392026578068"/>
          <c:w val="0.60280872050170065"/>
          <c:h val="0.65448504983389511"/>
        </c:manualLayout>
      </c:layout>
      <c:scatterChart>
        <c:scatterStyle val="smoothMarker"/>
        <c:varyColors val="0"/>
        <c:ser>
          <c:idx val="0"/>
          <c:order val="0"/>
          <c:tx>
            <c:v>C 10.1</c:v>
          </c:tx>
          <c:spPr>
            <a:ln w="25400">
              <a:solidFill>
                <a:srgbClr val="0000FF"/>
              </a:solidFill>
              <a:prstDash val="solid"/>
            </a:ln>
          </c:spPr>
          <c:marker>
            <c:symbol val="none"/>
          </c:marker>
          <c:xVal>
            <c:numRef>
              <c:f>'C Daten'!$C$17:$S$17</c:f>
              <c:numCache>
                <c:formatCode>0</c:formatCode>
                <c:ptCount val="17"/>
                <c:pt idx="0">
                  <c:v>0</c:v>
                </c:pt>
                <c:pt idx="1">
                  <c:v>458</c:v>
                </c:pt>
                <c:pt idx="2">
                  <c:v>458</c:v>
                </c:pt>
                <c:pt idx="3">
                  <c:v>500</c:v>
                </c:pt>
                <c:pt idx="4">
                  <c:v>600</c:v>
                </c:pt>
                <c:pt idx="5">
                  <c:v>700</c:v>
                </c:pt>
                <c:pt idx="6">
                  <c:v>800</c:v>
                </c:pt>
                <c:pt idx="7">
                  <c:v>900</c:v>
                </c:pt>
                <c:pt idx="8">
                  <c:v>1000</c:v>
                </c:pt>
                <c:pt idx="9">
                  <c:v>1200</c:v>
                </c:pt>
                <c:pt idx="10">
                  <c:v>1400</c:v>
                </c:pt>
                <c:pt idx="11">
                  <c:v>1600</c:v>
                </c:pt>
                <c:pt idx="12">
                  <c:v>1800</c:v>
                </c:pt>
                <c:pt idx="13">
                  <c:v>2000</c:v>
                </c:pt>
                <c:pt idx="14">
                  <c:v>2215</c:v>
                </c:pt>
                <c:pt idx="15">
                  <c:v>2215</c:v>
                </c:pt>
                <c:pt idx="16">
                  <c:v>2215</c:v>
                </c:pt>
              </c:numCache>
            </c:numRef>
          </c:xVal>
          <c:yVal>
            <c:numRef>
              <c:f>'C Daten'!$C$18:$S$18</c:f>
              <c:numCache>
                <c:formatCode>0.00</c:formatCode>
                <c:ptCount val="17"/>
                <c:pt idx="0">
                  <c:v>5.4</c:v>
                </c:pt>
                <c:pt idx="1">
                  <c:v>5.4</c:v>
                </c:pt>
                <c:pt idx="2">
                  <c:v>5.4030392004431844</c:v>
                </c:pt>
                <c:pt idx="3">
                  <c:v>4.9940655116848935</c:v>
                </c:pt>
                <c:pt idx="4">
                  <c:v>4.2348988529379925</c:v>
                </c:pt>
                <c:pt idx="5">
                  <c:v>3.6765376982160043</c:v>
                </c:pt>
                <c:pt idx="6">
                  <c:v>3.245701805058856</c:v>
                </c:pt>
                <c:pt idx="7">
                  <c:v>2.9008782017283115</c:v>
                </c:pt>
                <c:pt idx="8">
                  <c:v>2.6167355108197099</c:v>
                </c:pt>
                <c:pt idx="9">
                  <c:v>2.1703546524292392</c:v>
                </c:pt>
                <c:pt idx="10">
                  <c:v>1.8282065818909672</c:v>
                </c:pt>
                <c:pt idx="11">
                  <c:v>1.5501962453294338</c:v>
                </c:pt>
                <c:pt idx="12">
                  <c:v>1.3136099509977561</c:v>
                </c:pt>
                <c:pt idx="13">
                  <c:v>1.1045877155268458</c:v>
                </c:pt>
                <c:pt idx="14">
                  <c:v>0.9004646439763041</c:v>
                </c:pt>
                <c:pt idx="15">
                  <c:v>0.9004646439763041</c:v>
                </c:pt>
                <c:pt idx="16">
                  <c:v>0</c:v>
                </c:pt>
              </c:numCache>
            </c:numRef>
          </c:yVal>
          <c:smooth val="1"/>
          <c:extLst>
            <c:ext xmlns:c16="http://schemas.microsoft.com/office/drawing/2014/chart" uri="{C3380CC4-5D6E-409C-BE32-E72D297353CC}">
              <c16:uniqueId val="{00000000-7FB8-45C3-84C8-901EC4BA33B9}"/>
            </c:ext>
          </c:extLst>
        </c:ser>
        <c:ser>
          <c:idx val="1"/>
          <c:order val="1"/>
          <c:tx>
            <c:v>C 10.2</c:v>
          </c:tx>
          <c:spPr>
            <a:ln w="25400">
              <a:solidFill>
                <a:srgbClr val="FF0000"/>
              </a:solidFill>
              <a:prstDash val="solid"/>
            </a:ln>
          </c:spPr>
          <c:marker>
            <c:symbol val="none"/>
          </c:marker>
          <c:xVal>
            <c:numRef>
              <c:f>'C Daten'!$C$23:$N$23</c:f>
              <c:numCache>
                <c:formatCode>General</c:formatCode>
                <c:ptCount val="12"/>
                <c:pt idx="0">
                  <c:v>0</c:v>
                </c:pt>
                <c:pt idx="1">
                  <c:v>925</c:v>
                </c:pt>
                <c:pt idx="2">
                  <c:v>925</c:v>
                </c:pt>
                <c:pt idx="3">
                  <c:v>1500</c:v>
                </c:pt>
                <c:pt idx="4">
                  <c:v>2000</c:v>
                </c:pt>
                <c:pt idx="5">
                  <c:v>2500</c:v>
                </c:pt>
                <c:pt idx="6">
                  <c:v>3000</c:v>
                </c:pt>
                <c:pt idx="7">
                  <c:v>3500</c:v>
                </c:pt>
                <c:pt idx="8">
                  <c:v>4000</c:v>
                </c:pt>
                <c:pt idx="9">
                  <c:v>4455</c:v>
                </c:pt>
                <c:pt idx="10">
                  <c:v>4455</c:v>
                </c:pt>
                <c:pt idx="11">
                  <c:v>4455</c:v>
                </c:pt>
              </c:numCache>
            </c:numRef>
          </c:xVal>
          <c:yVal>
            <c:numRef>
              <c:f>'C Daten'!$C$24:$N$24</c:f>
              <c:numCache>
                <c:formatCode>0.00</c:formatCode>
                <c:ptCount val="12"/>
                <c:pt idx="0">
                  <c:v>5.4</c:v>
                </c:pt>
                <c:pt idx="1">
                  <c:v>5.4</c:v>
                </c:pt>
                <c:pt idx="2">
                  <c:v>5.3991953270272477</c:v>
                </c:pt>
                <c:pt idx="3">
                  <c:v>3.4766776002170645</c:v>
                </c:pt>
                <c:pt idx="4">
                  <c:v>2.6388484770446188</c:v>
                </c:pt>
                <c:pt idx="5">
                  <c:v>2.0952472136856253</c:v>
                </c:pt>
                <c:pt idx="6">
                  <c:v>1.6984185053711678</c:v>
                </c:pt>
                <c:pt idx="7">
                  <c:v>1.3833253799287228</c:v>
                </c:pt>
                <c:pt idx="8">
                  <c:v>1.1166867553549005</c:v>
                </c:pt>
                <c:pt idx="9">
                  <c:v>0.90010576388633889</c:v>
                </c:pt>
                <c:pt idx="10">
                  <c:v>0.90010576388633889</c:v>
                </c:pt>
                <c:pt idx="11">
                  <c:v>0</c:v>
                </c:pt>
              </c:numCache>
            </c:numRef>
          </c:yVal>
          <c:smooth val="1"/>
          <c:extLst>
            <c:ext xmlns:c16="http://schemas.microsoft.com/office/drawing/2014/chart" uri="{C3380CC4-5D6E-409C-BE32-E72D297353CC}">
              <c16:uniqueId val="{00000001-7FB8-45C3-84C8-901EC4BA33B9}"/>
            </c:ext>
          </c:extLst>
        </c:ser>
        <c:ser>
          <c:idx val="3"/>
          <c:order val="2"/>
          <c:tx>
            <c:v>C 20.1</c:v>
          </c:tx>
          <c:spPr>
            <a:ln w="25400">
              <a:solidFill>
                <a:srgbClr val="FFFF00"/>
              </a:solidFill>
              <a:prstDash val="solid"/>
            </a:ln>
          </c:spPr>
          <c:marker>
            <c:symbol val="none"/>
          </c:marker>
          <c:xVal>
            <c:numRef>
              <c:f>'C Daten'!$C$29:$T$29</c:f>
              <c:numCache>
                <c:formatCode>0</c:formatCode>
                <c:ptCount val="18"/>
                <c:pt idx="0">
                  <c:v>0</c:v>
                </c:pt>
                <c:pt idx="1">
                  <c:v>719.5</c:v>
                </c:pt>
                <c:pt idx="2">
                  <c:v>719.5</c:v>
                </c:pt>
                <c:pt idx="3">
                  <c:v>1000</c:v>
                </c:pt>
                <c:pt idx="4">
                  <c:v>2000</c:v>
                </c:pt>
                <c:pt idx="5">
                  <c:v>3000</c:v>
                </c:pt>
                <c:pt idx="6">
                  <c:v>4000</c:v>
                </c:pt>
                <c:pt idx="7">
                  <c:v>4280</c:v>
                </c:pt>
                <c:pt idx="8">
                  <c:v>4280</c:v>
                </c:pt>
                <c:pt idx="9">
                  <c:v>4280</c:v>
                </c:pt>
                <c:pt idx="10">
                  <c:v>4280</c:v>
                </c:pt>
                <c:pt idx="11">
                  <c:v>4280</c:v>
                </c:pt>
                <c:pt idx="12">
                  <c:v>4280</c:v>
                </c:pt>
                <c:pt idx="13">
                  <c:v>4280</c:v>
                </c:pt>
                <c:pt idx="14">
                  <c:v>4280</c:v>
                </c:pt>
                <c:pt idx="15">
                  <c:v>4280</c:v>
                </c:pt>
                <c:pt idx="16">
                  <c:v>4280</c:v>
                </c:pt>
                <c:pt idx="17">
                  <c:v>4280</c:v>
                </c:pt>
              </c:numCache>
            </c:numRef>
          </c:xVal>
          <c:yVal>
            <c:numRef>
              <c:f>'C Daten'!$C$30:$T$30</c:f>
              <c:numCache>
                <c:formatCode>0.00</c:formatCode>
                <c:ptCount val="18"/>
                <c:pt idx="0">
                  <c:v>9</c:v>
                </c:pt>
                <c:pt idx="1">
                  <c:v>9</c:v>
                </c:pt>
                <c:pt idx="2">
                  <c:v>8.9995365672910204</c:v>
                </c:pt>
                <c:pt idx="3">
                  <c:v>6.6550945522132015</c:v>
                </c:pt>
                <c:pt idx="4">
                  <c:v>3.3320028707747618</c:v>
                </c:pt>
                <c:pt idx="5">
                  <c:v>1.9693271220724888</c:v>
                </c:pt>
                <c:pt idx="6">
                  <c:v>1.102563183337222</c:v>
                </c:pt>
                <c:pt idx="7">
                  <c:v>0.90014594193165143</c:v>
                </c:pt>
                <c:pt idx="8">
                  <c:v>0.90014594193165143</c:v>
                </c:pt>
                <c:pt idx="9">
                  <c:v>0.90014594193165143</c:v>
                </c:pt>
                <c:pt idx="10">
                  <c:v>0.90014594193165143</c:v>
                </c:pt>
                <c:pt idx="11">
                  <c:v>0.90014594193165143</c:v>
                </c:pt>
                <c:pt idx="12">
                  <c:v>0.90014594193165143</c:v>
                </c:pt>
                <c:pt idx="13">
                  <c:v>0.90014594193165143</c:v>
                </c:pt>
                <c:pt idx="14">
                  <c:v>0.90014594193165143</c:v>
                </c:pt>
                <c:pt idx="15">
                  <c:v>0.90014594193165143</c:v>
                </c:pt>
                <c:pt idx="16">
                  <c:v>0.90014594193165143</c:v>
                </c:pt>
                <c:pt idx="17" formatCode="General">
                  <c:v>0</c:v>
                </c:pt>
              </c:numCache>
            </c:numRef>
          </c:yVal>
          <c:smooth val="1"/>
          <c:extLst>
            <c:ext xmlns:c16="http://schemas.microsoft.com/office/drawing/2014/chart" uri="{C3380CC4-5D6E-409C-BE32-E72D297353CC}">
              <c16:uniqueId val="{00000002-7FB8-45C3-84C8-901EC4BA33B9}"/>
            </c:ext>
          </c:extLst>
        </c:ser>
        <c:ser>
          <c:idx val="4"/>
          <c:order val="3"/>
          <c:tx>
            <c:v>C 20.2</c:v>
          </c:tx>
          <c:spPr>
            <a:ln w="25400">
              <a:solidFill>
                <a:srgbClr val="339966"/>
              </a:solidFill>
              <a:prstDash val="solid"/>
            </a:ln>
          </c:spPr>
          <c:marker>
            <c:symbol val="none"/>
          </c:marker>
          <c:xVal>
            <c:numRef>
              <c:f>'C Daten'!$C$35:$T$35</c:f>
              <c:numCache>
                <c:formatCode>0</c:formatCode>
                <c:ptCount val="18"/>
                <c:pt idx="0">
                  <c:v>0</c:v>
                </c:pt>
                <c:pt idx="1">
                  <c:v>1397</c:v>
                </c:pt>
                <c:pt idx="2">
                  <c:v>1397</c:v>
                </c:pt>
                <c:pt idx="3">
                  <c:v>1397</c:v>
                </c:pt>
                <c:pt idx="4">
                  <c:v>2000</c:v>
                </c:pt>
                <c:pt idx="5">
                  <c:v>3000</c:v>
                </c:pt>
                <c:pt idx="6">
                  <c:v>4000</c:v>
                </c:pt>
                <c:pt idx="7">
                  <c:v>5000</c:v>
                </c:pt>
                <c:pt idx="8">
                  <c:v>6000</c:v>
                </c:pt>
                <c:pt idx="9">
                  <c:v>7000</c:v>
                </c:pt>
                <c:pt idx="10">
                  <c:v>8000</c:v>
                </c:pt>
                <c:pt idx="11">
                  <c:v>8300</c:v>
                </c:pt>
                <c:pt idx="12">
                  <c:v>8300</c:v>
                </c:pt>
                <c:pt idx="13">
                  <c:v>8300</c:v>
                </c:pt>
                <c:pt idx="14">
                  <c:v>8300</c:v>
                </c:pt>
                <c:pt idx="15">
                  <c:v>8300</c:v>
                </c:pt>
                <c:pt idx="16">
                  <c:v>8300</c:v>
                </c:pt>
                <c:pt idx="17">
                  <c:v>8300</c:v>
                </c:pt>
              </c:numCache>
            </c:numRef>
          </c:xVal>
          <c:yVal>
            <c:numRef>
              <c:f>'C Daten'!$C$36:$T$36</c:f>
              <c:numCache>
                <c:formatCode>0.00</c:formatCode>
                <c:ptCount val="18"/>
                <c:pt idx="0">
                  <c:v>9</c:v>
                </c:pt>
                <c:pt idx="1">
                  <c:v>9</c:v>
                </c:pt>
                <c:pt idx="2">
                  <c:v>9.0027812245088334</c:v>
                </c:pt>
                <c:pt idx="3">
                  <c:v>9.0027812245088334</c:v>
                </c:pt>
                <c:pt idx="4">
                  <c:v>6.4635628483622529</c:v>
                </c:pt>
                <c:pt idx="5">
                  <c:v>4.3546988812902407</c:v>
                </c:pt>
                <c:pt idx="6">
                  <c:v>3.1954016588115177</c:v>
                </c:pt>
                <c:pt idx="7">
                  <c:v>2.4262564040426504</c:v>
                </c:pt>
                <c:pt idx="8">
                  <c:v>1.854709223868436</c:v>
                </c:pt>
                <c:pt idx="9">
                  <c:v>1.3963356230479469</c:v>
                </c:pt>
                <c:pt idx="10">
                  <c:v>1.0082003975959906</c:v>
                </c:pt>
                <c:pt idx="11">
                  <c:v>0.90154509529413729</c:v>
                </c:pt>
                <c:pt idx="12">
                  <c:v>0.90154509529413729</c:v>
                </c:pt>
                <c:pt idx="13">
                  <c:v>0.90154509529413729</c:v>
                </c:pt>
                <c:pt idx="14">
                  <c:v>0.90154509529413729</c:v>
                </c:pt>
                <c:pt idx="15">
                  <c:v>0.90154509529413729</c:v>
                </c:pt>
                <c:pt idx="16">
                  <c:v>0.90154509529413729</c:v>
                </c:pt>
                <c:pt idx="17" formatCode="General">
                  <c:v>0</c:v>
                </c:pt>
              </c:numCache>
            </c:numRef>
          </c:yVal>
          <c:smooth val="1"/>
          <c:extLst>
            <c:ext xmlns:c16="http://schemas.microsoft.com/office/drawing/2014/chart" uri="{C3380CC4-5D6E-409C-BE32-E72D297353CC}">
              <c16:uniqueId val="{00000003-7FB8-45C3-84C8-901EC4BA33B9}"/>
            </c:ext>
          </c:extLst>
        </c:ser>
        <c:ser>
          <c:idx val="5"/>
          <c:order val="4"/>
          <c:tx>
            <c:v>CPV 10.1</c:v>
          </c:tx>
          <c:spPr>
            <a:ln w="25400">
              <a:solidFill>
                <a:srgbClr val="FF9900"/>
              </a:solidFill>
              <a:prstDash val="solid"/>
            </a:ln>
          </c:spPr>
          <c:marker>
            <c:symbol val="none"/>
          </c:marker>
          <c:xVal>
            <c:numRef>
              <c:f>'C Daten'!$C$41:$S$41</c:f>
              <c:numCache>
                <c:formatCode>0</c:formatCode>
                <c:ptCount val="17"/>
                <c:pt idx="0">
                  <c:v>0</c:v>
                </c:pt>
                <c:pt idx="1">
                  <c:v>575</c:v>
                </c:pt>
                <c:pt idx="2">
                  <c:v>575</c:v>
                </c:pt>
                <c:pt idx="3">
                  <c:v>575</c:v>
                </c:pt>
                <c:pt idx="4">
                  <c:v>600</c:v>
                </c:pt>
                <c:pt idx="5">
                  <c:v>700</c:v>
                </c:pt>
                <c:pt idx="6">
                  <c:v>800</c:v>
                </c:pt>
                <c:pt idx="7">
                  <c:v>900</c:v>
                </c:pt>
                <c:pt idx="8">
                  <c:v>1000</c:v>
                </c:pt>
                <c:pt idx="9">
                  <c:v>1200</c:v>
                </c:pt>
                <c:pt idx="10">
                  <c:v>1400</c:v>
                </c:pt>
                <c:pt idx="11">
                  <c:v>1600</c:v>
                </c:pt>
                <c:pt idx="12">
                  <c:v>1640</c:v>
                </c:pt>
                <c:pt idx="13">
                  <c:v>1640</c:v>
                </c:pt>
                <c:pt idx="14">
                  <c:v>1640</c:v>
                </c:pt>
                <c:pt idx="15">
                  <c:v>1640</c:v>
                </c:pt>
                <c:pt idx="16">
                  <c:v>1640</c:v>
                </c:pt>
              </c:numCache>
            </c:numRef>
          </c:xVal>
          <c:yVal>
            <c:numRef>
              <c:f>'C Daten'!$C$42:$S$42</c:f>
              <c:numCache>
                <c:formatCode>0.00</c:formatCode>
                <c:ptCount val="17"/>
                <c:pt idx="0">
                  <c:v>4.4000000000000004</c:v>
                </c:pt>
                <c:pt idx="1">
                  <c:v>4.4019216236896588</c:v>
                </c:pt>
                <c:pt idx="2">
                  <c:v>4.4019216236896588</c:v>
                </c:pt>
                <c:pt idx="3">
                  <c:v>4.4019216236896588</c:v>
                </c:pt>
                <c:pt idx="4">
                  <c:v>4.2348988529379925</c:v>
                </c:pt>
                <c:pt idx="5">
                  <c:v>3.6765376982160043</c:v>
                </c:pt>
                <c:pt idx="6">
                  <c:v>3.245701805058856</c:v>
                </c:pt>
                <c:pt idx="7">
                  <c:v>2.9008782017283115</c:v>
                </c:pt>
                <c:pt idx="8">
                  <c:v>2.6167355108197099</c:v>
                </c:pt>
                <c:pt idx="9">
                  <c:v>2.1703546524292392</c:v>
                </c:pt>
                <c:pt idx="10">
                  <c:v>1.8282065818909672</c:v>
                </c:pt>
                <c:pt idx="11">
                  <c:v>1.5501962453294338</c:v>
                </c:pt>
                <c:pt idx="12">
                  <c:v>1.5001027230155621</c:v>
                </c:pt>
                <c:pt idx="13">
                  <c:v>1.5001027230155621</c:v>
                </c:pt>
                <c:pt idx="14">
                  <c:v>1.5001027230155621</c:v>
                </c:pt>
                <c:pt idx="15">
                  <c:v>1.5001027230155621</c:v>
                </c:pt>
                <c:pt idx="16">
                  <c:v>0</c:v>
                </c:pt>
              </c:numCache>
            </c:numRef>
          </c:yVal>
          <c:smooth val="1"/>
          <c:extLst>
            <c:ext xmlns:c16="http://schemas.microsoft.com/office/drawing/2014/chart" uri="{C3380CC4-5D6E-409C-BE32-E72D297353CC}">
              <c16:uniqueId val="{00000004-7FB8-45C3-84C8-901EC4BA33B9}"/>
            </c:ext>
          </c:extLst>
        </c:ser>
        <c:ser>
          <c:idx val="6"/>
          <c:order val="5"/>
          <c:tx>
            <c:v>Working point</c:v>
          </c:tx>
          <c:spPr>
            <a:ln w="12700">
              <a:solidFill>
                <a:srgbClr val="008080"/>
              </a:solidFill>
              <a:prstDash val="solid"/>
            </a:ln>
          </c:spPr>
          <c:marker>
            <c:symbol val="diamond"/>
            <c:size val="10"/>
            <c:spPr>
              <a:solidFill>
                <a:srgbClr val="000000"/>
              </a:solidFill>
              <a:ln>
                <a:solidFill>
                  <a:srgbClr val="000000"/>
                </a:solidFill>
                <a:prstDash val="solid"/>
              </a:ln>
            </c:spPr>
          </c:marker>
          <c:xVal>
            <c:numRef>
              <c:f>'C Auswahl'!$E$23</c:f>
              <c:numCache>
                <c:formatCode>General</c:formatCode>
                <c:ptCount val="1"/>
                <c:pt idx="0">
                  <c:v>1739.52</c:v>
                </c:pt>
              </c:numCache>
            </c:numRef>
          </c:xVal>
          <c:yVal>
            <c:numRef>
              <c:f>'C Auswahl'!$E$20</c:f>
              <c:numCache>
                <c:formatCode>0.0</c:formatCode>
                <c:ptCount val="1"/>
                <c:pt idx="0">
                  <c:v>3.3284000000000002</c:v>
                </c:pt>
              </c:numCache>
            </c:numRef>
          </c:yVal>
          <c:smooth val="1"/>
          <c:extLst>
            <c:ext xmlns:c16="http://schemas.microsoft.com/office/drawing/2014/chart" uri="{C3380CC4-5D6E-409C-BE32-E72D297353CC}">
              <c16:uniqueId val="{00000005-7FB8-45C3-84C8-901EC4BA33B9}"/>
            </c:ext>
          </c:extLst>
        </c:ser>
        <c:dLbls>
          <c:showLegendKey val="0"/>
          <c:showVal val="0"/>
          <c:showCatName val="0"/>
          <c:showSerName val="0"/>
          <c:showPercent val="0"/>
          <c:showBubbleSize val="0"/>
        </c:dLbls>
        <c:axId val="351349648"/>
        <c:axId val="351350208"/>
      </c:scatterChart>
      <c:valAx>
        <c:axId val="351349648"/>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775" b="0" i="0" u="none" strike="noStrike" baseline="0">
                    <a:solidFill>
                      <a:srgbClr val="000000"/>
                    </a:solidFill>
                    <a:latin typeface="Arial"/>
                    <a:ea typeface="Arial"/>
                    <a:cs typeface="Arial"/>
                  </a:defRPr>
                </a:pPr>
                <a:r>
                  <a:rPr lang="pl-PL"/>
                  <a:t>VD l/h</a:t>
                </a:r>
              </a:p>
            </c:rich>
          </c:tx>
          <c:layout>
            <c:manualLayout>
              <c:xMode val="edge"/>
              <c:yMode val="edge"/>
              <c:x val="0.40521585754638845"/>
              <c:y val="0.9053156146179401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775" b="0" i="0" u="none" strike="noStrike" baseline="0">
                <a:solidFill>
                  <a:srgbClr val="000000"/>
                </a:solidFill>
                <a:latin typeface="Arial"/>
                <a:ea typeface="Arial"/>
                <a:cs typeface="Arial"/>
              </a:defRPr>
            </a:pPr>
            <a:endParaRPr lang="pl-PL"/>
          </a:p>
        </c:txPr>
        <c:crossAx val="351350208"/>
        <c:crosses val="autoZero"/>
        <c:crossBetween val="midCat"/>
      </c:valAx>
      <c:valAx>
        <c:axId val="351350208"/>
        <c:scaling>
          <c:orientation val="minMax"/>
          <c:max val="10"/>
        </c:scaling>
        <c:delete val="0"/>
        <c:axPos val="l"/>
        <c:majorGridlines>
          <c:spPr>
            <a:ln w="3175">
              <a:solidFill>
                <a:srgbClr val="000000"/>
              </a:solidFill>
              <a:prstDash val="solid"/>
            </a:ln>
          </c:spPr>
        </c:majorGridlines>
        <c:title>
          <c:tx>
            <c:rich>
              <a:bodyPr/>
              <a:lstStyle/>
              <a:p>
                <a:pPr>
                  <a:defRPr sz="1775" b="0" i="0" u="none" strike="noStrike" baseline="0">
                    <a:solidFill>
                      <a:srgbClr val="000000"/>
                    </a:solidFill>
                    <a:latin typeface="Arial"/>
                    <a:ea typeface="Arial"/>
                    <a:cs typeface="Arial"/>
                  </a:defRPr>
                </a:pPr>
                <a:r>
                  <a:rPr lang="pl-PL"/>
                  <a:t>Pman bar</a:t>
                </a:r>
              </a:p>
            </c:rich>
          </c:tx>
          <c:layout>
            <c:manualLayout>
              <c:xMode val="edge"/>
              <c:yMode val="edge"/>
              <c:x val="1.5045135406218905E-2"/>
              <c:y val="0.38704318936877591"/>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775" b="0" i="0" u="none" strike="noStrike" baseline="0">
                <a:solidFill>
                  <a:srgbClr val="000000"/>
                </a:solidFill>
                <a:latin typeface="Arial"/>
                <a:ea typeface="Arial"/>
                <a:cs typeface="Arial"/>
              </a:defRPr>
            </a:pPr>
            <a:endParaRPr lang="pl-PL"/>
          </a:p>
        </c:txPr>
        <c:crossAx val="351349648"/>
        <c:crosses val="autoZero"/>
        <c:crossBetween val="midCat"/>
      </c:valAx>
      <c:spPr>
        <a:solidFill>
          <a:srgbClr val="CCCCFF"/>
        </a:solidFill>
        <a:ln w="12700">
          <a:solidFill>
            <a:srgbClr val="CCCCFF"/>
          </a:solidFill>
          <a:prstDash val="solid"/>
        </a:ln>
      </c:spPr>
    </c:plotArea>
    <c:legend>
      <c:legendPos val="r"/>
      <c:layout>
        <c:manualLayout>
          <c:xMode val="edge"/>
          <c:yMode val="edge"/>
          <c:x val="0.79237755260532261"/>
          <c:y val="0.33887043189369859"/>
          <c:w val="0.20060191071903377"/>
          <c:h val="0.30564784053156124"/>
        </c:manualLayout>
      </c:layout>
      <c:overlay val="0"/>
      <c:spPr>
        <a:solidFill>
          <a:srgbClr val="FFFFFF"/>
        </a:solidFill>
        <a:ln w="25400">
          <a:noFill/>
        </a:ln>
      </c:spPr>
      <c:txPr>
        <a:bodyPr/>
        <a:lstStyle/>
        <a:p>
          <a:pPr>
            <a:defRPr sz="154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775" b="0" i="0" u="none" strike="noStrike" baseline="0">
          <a:solidFill>
            <a:srgbClr val="000000"/>
          </a:solidFill>
          <a:latin typeface="Arial"/>
          <a:ea typeface="Arial"/>
          <a:cs typeface="Arial"/>
        </a:defRPr>
      </a:pPr>
      <a:endParaRPr lang="pl-PL"/>
    </a:p>
  </c:txPr>
  <c:printSettings>
    <c:headerFooter alignWithMargins="0"/>
    <c:pageMargins b="1" l="0.7500000000000081" r="0.7500000000000081" t="1" header="0.492125984500004" footer="0.49212598450000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pl-PL"/>
              <a:t>Compresso Connect</a:t>
            </a:r>
          </a:p>
        </c:rich>
      </c:tx>
      <c:layout>
        <c:manualLayout>
          <c:xMode val="edge"/>
          <c:yMode val="edge"/>
          <c:x val="0.39387366136195051"/>
          <c:y val="2.7149314668999742E-2"/>
        </c:manualLayout>
      </c:layout>
      <c:overlay val="0"/>
      <c:spPr>
        <a:noFill/>
        <a:ln w="25400">
          <a:noFill/>
        </a:ln>
      </c:spPr>
    </c:title>
    <c:autoTitleDeleted val="0"/>
    <c:plotArea>
      <c:layout>
        <c:manualLayout>
          <c:layoutTarget val="inner"/>
          <c:xMode val="edge"/>
          <c:yMode val="edge"/>
          <c:x val="8.3125976993110348E-2"/>
          <c:y val="0.13040760310173441"/>
          <c:w val="0.70346472368837754"/>
          <c:h val="0.73798244086723253"/>
        </c:manualLayout>
      </c:layout>
      <c:scatterChart>
        <c:scatterStyle val="smoothMarker"/>
        <c:varyColors val="0"/>
        <c:ser>
          <c:idx val="0"/>
          <c:order val="0"/>
          <c:tx>
            <c:strRef>
              <c:f>[1]Daten!$A$33</c:f>
              <c:strCache>
                <c:ptCount val="1"/>
                <c:pt idx="0">
                  <c:v>C 10.1 (F) Connect</c:v>
                </c:pt>
              </c:strCache>
            </c:strRef>
          </c:tx>
          <c:spPr>
            <a:ln w="31750">
              <a:solidFill>
                <a:schemeClr val="tx1"/>
              </a:solidFill>
              <a:prstDash val="solid"/>
            </a:ln>
          </c:spPr>
          <c:marker>
            <c:symbol val="none"/>
          </c:marker>
          <c:xVal>
            <c:numRef>
              <c:f>[1]Daten!$C$33:$Q$33</c:f>
              <c:numCache>
                <c:formatCode>General</c:formatCode>
                <c:ptCount val="15"/>
                <c:pt idx="0">
                  <c:v>0</c:v>
                </c:pt>
                <c:pt idx="1">
                  <c:v>356</c:v>
                </c:pt>
                <c:pt idx="2">
                  <c:v>356</c:v>
                </c:pt>
                <c:pt idx="3">
                  <c:v>627.625</c:v>
                </c:pt>
                <c:pt idx="4">
                  <c:v>899.25</c:v>
                </c:pt>
                <c:pt idx="5">
                  <c:v>1170.875</c:v>
                </c:pt>
                <c:pt idx="6">
                  <c:v>1442.5</c:v>
                </c:pt>
                <c:pt idx="7">
                  <c:v>1714.125</c:v>
                </c:pt>
                <c:pt idx="8">
                  <c:v>1985.75</c:v>
                </c:pt>
                <c:pt idx="9">
                  <c:v>2257.375</c:v>
                </c:pt>
                <c:pt idx="10">
                  <c:v>2529</c:v>
                </c:pt>
                <c:pt idx="11">
                  <c:v>2529</c:v>
                </c:pt>
                <c:pt idx="12">
                  <c:v>2529</c:v>
                </c:pt>
                <c:pt idx="13">
                  <c:v>2529</c:v>
                </c:pt>
                <c:pt idx="14">
                  <c:v>0</c:v>
                </c:pt>
              </c:numCache>
            </c:numRef>
          </c:xVal>
          <c:yVal>
            <c:numRef>
              <c:f>[1]Daten!$C$34:$Q$34</c:f>
              <c:numCache>
                <c:formatCode>General</c:formatCode>
                <c:ptCount val="15"/>
                <c:pt idx="0">
                  <c:v>5.3986528948426091</c:v>
                </c:pt>
                <c:pt idx="1">
                  <c:v>5.3986528948426091</c:v>
                </c:pt>
                <c:pt idx="2">
                  <c:v>5.3986528948426091</c:v>
                </c:pt>
                <c:pt idx="3">
                  <c:v>3.9247923916058425</c:v>
                </c:pt>
                <c:pt idx="4">
                  <c:v>3.0788141418321566</c:v>
                </c:pt>
                <c:pt idx="5">
                  <c:v>2.5015431702289255</c:v>
                </c:pt>
                <c:pt idx="6">
                  <c:v>2.0706110200920222</c:v>
                </c:pt>
                <c:pt idx="7">
                  <c:v>1.7305451044637641</c:v>
                </c:pt>
                <c:pt idx="8">
                  <c:v>1.4518113853400774</c:v>
                </c:pt>
                <c:pt idx="9">
                  <c:v>1.2169477082435178</c:v>
                </c:pt>
                <c:pt idx="10">
                  <c:v>1.0148335749734871</c:v>
                </c:pt>
                <c:pt idx="11">
                  <c:v>1.0148335749734871</c:v>
                </c:pt>
                <c:pt idx="12">
                  <c:v>0.83800000000000008</c:v>
                </c:pt>
                <c:pt idx="13">
                  <c:v>0.83800000000000008</c:v>
                </c:pt>
                <c:pt idx="14">
                  <c:v>0.83800000000000008</c:v>
                </c:pt>
              </c:numCache>
            </c:numRef>
          </c:yVal>
          <c:smooth val="1"/>
          <c:extLst>
            <c:ext xmlns:c16="http://schemas.microsoft.com/office/drawing/2014/chart" uri="{C3380CC4-5D6E-409C-BE32-E72D297353CC}">
              <c16:uniqueId val="{00000000-2D5F-4742-A0E0-D9ACF4F66ADF}"/>
            </c:ext>
          </c:extLst>
        </c:ser>
        <c:ser>
          <c:idx val="1"/>
          <c:order val="1"/>
          <c:tx>
            <c:strRef>
              <c:f>[1]Daten!$A$38</c:f>
              <c:strCache>
                <c:ptCount val="1"/>
                <c:pt idx="0">
                  <c:v>C 10.2 Connect</c:v>
                </c:pt>
              </c:strCache>
            </c:strRef>
          </c:tx>
          <c:spPr>
            <a:ln w="31750">
              <a:solidFill>
                <a:schemeClr val="tx1"/>
              </a:solidFill>
              <a:prstDash val="dash"/>
            </a:ln>
          </c:spPr>
          <c:marker>
            <c:symbol val="none"/>
          </c:marker>
          <c:xVal>
            <c:numRef>
              <c:f>[1]Daten!$C$38:$Q$38</c:f>
              <c:numCache>
                <c:formatCode>General</c:formatCode>
                <c:ptCount val="15"/>
                <c:pt idx="0">
                  <c:v>0</c:v>
                </c:pt>
                <c:pt idx="1">
                  <c:v>670</c:v>
                </c:pt>
                <c:pt idx="2">
                  <c:v>670</c:v>
                </c:pt>
                <c:pt idx="3">
                  <c:v>1218.625</c:v>
                </c:pt>
                <c:pt idx="4">
                  <c:v>1767.25</c:v>
                </c:pt>
                <c:pt idx="5">
                  <c:v>2315.875</c:v>
                </c:pt>
                <c:pt idx="6">
                  <c:v>2864.5</c:v>
                </c:pt>
                <c:pt idx="7">
                  <c:v>3413.125</c:v>
                </c:pt>
                <c:pt idx="8">
                  <c:v>3961.75</c:v>
                </c:pt>
                <c:pt idx="9">
                  <c:v>4510.375</c:v>
                </c:pt>
                <c:pt idx="10">
                  <c:v>5059</c:v>
                </c:pt>
                <c:pt idx="11">
                  <c:v>5059</c:v>
                </c:pt>
                <c:pt idx="12">
                  <c:v>5059</c:v>
                </c:pt>
                <c:pt idx="13">
                  <c:v>5059</c:v>
                </c:pt>
                <c:pt idx="14">
                  <c:v>0</c:v>
                </c:pt>
              </c:numCache>
            </c:numRef>
          </c:xVal>
          <c:yVal>
            <c:numRef>
              <c:f>[1]Daten!$C$39:$Q$39</c:f>
              <c:numCache>
                <c:formatCode>General</c:formatCode>
                <c:ptCount val="15"/>
                <c:pt idx="0">
                  <c:v>5.3957535495568987</c:v>
                </c:pt>
                <c:pt idx="1">
                  <c:v>5.3957535495568987</c:v>
                </c:pt>
                <c:pt idx="2">
                  <c:v>5.3957535495568987</c:v>
                </c:pt>
                <c:pt idx="3">
                  <c:v>3.8247384816862038</c:v>
                </c:pt>
                <c:pt idx="4">
                  <c:v>2.9827790679763764</c:v>
                </c:pt>
                <c:pt idx="5">
                  <c:v>2.4263284774758187</c:v>
                </c:pt>
                <c:pt idx="6">
                  <c:v>2.0182735536141849</c:v>
                </c:pt>
                <c:pt idx="7">
                  <c:v>1.6995252129969303</c:v>
                </c:pt>
                <c:pt idx="8">
                  <c:v>1.4396282575807349</c:v>
                </c:pt>
                <c:pt idx="9">
                  <c:v>1.2209864946712443</c:v>
                </c:pt>
                <c:pt idx="10">
                  <c:v>1.0325881769031664</c:v>
                </c:pt>
                <c:pt idx="11">
                  <c:v>1.0325881769031664</c:v>
                </c:pt>
                <c:pt idx="12">
                  <c:v>0.86899999999999999</c:v>
                </c:pt>
                <c:pt idx="13">
                  <c:v>0.86899999999999999</c:v>
                </c:pt>
                <c:pt idx="14">
                  <c:v>0.86899999999999999</c:v>
                </c:pt>
              </c:numCache>
            </c:numRef>
          </c:yVal>
          <c:smooth val="1"/>
          <c:extLst>
            <c:ext xmlns:c16="http://schemas.microsoft.com/office/drawing/2014/chart" uri="{C3380CC4-5D6E-409C-BE32-E72D297353CC}">
              <c16:uniqueId val="{00000001-2D5F-4742-A0E0-D9ACF4F66ADF}"/>
            </c:ext>
          </c:extLst>
        </c:ser>
        <c:ser>
          <c:idx val="2"/>
          <c:order val="2"/>
          <c:tx>
            <c:strRef>
              <c:f>[1]Daten!$A$43</c:f>
              <c:strCache>
                <c:ptCount val="1"/>
                <c:pt idx="0">
                  <c:v>C 15.1 Connect</c:v>
                </c:pt>
              </c:strCache>
            </c:strRef>
          </c:tx>
          <c:spPr>
            <a:ln w="31750">
              <a:solidFill>
                <a:srgbClr val="00B050"/>
              </a:solidFill>
              <a:prstDash val="solid"/>
            </a:ln>
          </c:spPr>
          <c:marker>
            <c:symbol val="none"/>
          </c:marker>
          <c:xVal>
            <c:numRef>
              <c:f>[1]Daten!$C$43:$Q$43</c:f>
              <c:numCache>
                <c:formatCode>General</c:formatCode>
                <c:ptCount val="15"/>
                <c:pt idx="0">
                  <c:v>0</c:v>
                </c:pt>
                <c:pt idx="1">
                  <c:v>368</c:v>
                </c:pt>
                <c:pt idx="2">
                  <c:v>368</c:v>
                </c:pt>
                <c:pt idx="3">
                  <c:v>796.25</c:v>
                </c:pt>
                <c:pt idx="4">
                  <c:v>1224.5</c:v>
                </c:pt>
                <c:pt idx="5">
                  <c:v>1652.75</c:v>
                </c:pt>
                <c:pt idx="6">
                  <c:v>2081</c:v>
                </c:pt>
                <c:pt idx="7">
                  <c:v>2509.25</c:v>
                </c:pt>
                <c:pt idx="8">
                  <c:v>2937.5</c:v>
                </c:pt>
                <c:pt idx="9">
                  <c:v>3365.75</c:v>
                </c:pt>
                <c:pt idx="10">
                  <c:v>3794</c:v>
                </c:pt>
                <c:pt idx="11">
                  <c:v>3794</c:v>
                </c:pt>
                <c:pt idx="12">
                  <c:v>3794</c:v>
                </c:pt>
                <c:pt idx="13">
                  <c:v>3794</c:v>
                </c:pt>
                <c:pt idx="14">
                  <c:v>0</c:v>
                </c:pt>
              </c:numCache>
            </c:numRef>
          </c:xVal>
          <c:yVal>
            <c:numRef>
              <c:f>[1]Daten!$C$44:$Q$44</c:f>
              <c:numCache>
                <c:formatCode>General</c:formatCode>
                <c:ptCount val="15"/>
                <c:pt idx="0">
                  <c:v>8.9034653752438011</c:v>
                </c:pt>
                <c:pt idx="1">
                  <c:v>8.9034653752438011</c:v>
                </c:pt>
                <c:pt idx="2">
                  <c:v>8.9034653752438011</c:v>
                </c:pt>
                <c:pt idx="3">
                  <c:v>5.1977258222703595</c:v>
                </c:pt>
                <c:pt idx="4">
                  <c:v>3.6530624715846951</c:v>
                </c:pt>
                <c:pt idx="5">
                  <c:v>2.7450438766688752</c:v>
                </c:pt>
                <c:pt idx="6">
                  <c:v>2.1267126016614486</c:v>
                </c:pt>
                <c:pt idx="7">
                  <c:v>1.6690516281300942</c:v>
                </c:pt>
                <c:pt idx="8">
                  <c:v>1.3114718845546061</c:v>
                </c:pt>
                <c:pt idx="9">
                  <c:v>1.0212079104987675</c:v>
                </c:pt>
                <c:pt idx="10">
                  <c:v>0.77876392842360453</c:v>
                </c:pt>
                <c:pt idx="11">
                  <c:v>0.77876392842360453</c:v>
                </c:pt>
                <c:pt idx="12">
                  <c:v>0.58200000000000007</c:v>
                </c:pt>
                <c:pt idx="13">
                  <c:v>0.58200000000000007</c:v>
                </c:pt>
                <c:pt idx="14">
                  <c:v>0.58200000000000007</c:v>
                </c:pt>
              </c:numCache>
            </c:numRef>
          </c:yVal>
          <c:smooth val="1"/>
          <c:extLst>
            <c:ext xmlns:c16="http://schemas.microsoft.com/office/drawing/2014/chart" uri="{C3380CC4-5D6E-409C-BE32-E72D297353CC}">
              <c16:uniqueId val="{00000002-2D5F-4742-A0E0-D9ACF4F66ADF}"/>
            </c:ext>
          </c:extLst>
        </c:ser>
        <c:ser>
          <c:idx val="3"/>
          <c:order val="3"/>
          <c:tx>
            <c:strRef>
              <c:f>[1]Daten!$A$48</c:f>
              <c:strCache>
                <c:ptCount val="1"/>
                <c:pt idx="0">
                  <c:v>C 15.2 Connect</c:v>
                </c:pt>
              </c:strCache>
            </c:strRef>
          </c:tx>
          <c:spPr>
            <a:ln w="31750">
              <a:solidFill>
                <a:srgbClr val="00B050"/>
              </a:solidFill>
              <a:prstDash val="lgDash"/>
            </a:ln>
          </c:spPr>
          <c:marker>
            <c:symbol val="none"/>
          </c:marker>
          <c:xVal>
            <c:numRef>
              <c:f>[1]Daten!$C$48:$Q$48</c:f>
              <c:numCache>
                <c:formatCode>General</c:formatCode>
                <c:ptCount val="15"/>
                <c:pt idx="0">
                  <c:v>0</c:v>
                </c:pt>
                <c:pt idx="1">
                  <c:v>816</c:v>
                </c:pt>
                <c:pt idx="2">
                  <c:v>816</c:v>
                </c:pt>
                <c:pt idx="3">
                  <c:v>1662.625</c:v>
                </c:pt>
                <c:pt idx="4">
                  <c:v>2509.25</c:v>
                </c:pt>
                <c:pt idx="5">
                  <c:v>3355.875</c:v>
                </c:pt>
                <c:pt idx="6">
                  <c:v>4202.5</c:v>
                </c:pt>
                <c:pt idx="7">
                  <c:v>5049.125</c:v>
                </c:pt>
                <c:pt idx="8">
                  <c:v>5895.75</c:v>
                </c:pt>
                <c:pt idx="9">
                  <c:v>6742.375</c:v>
                </c:pt>
                <c:pt idx="10">
                  <c:v>7589</c:v>
                </c:pt>
                <c:pt idx="11">
                  <c:v>7589</c:v>
                </c:pt>
                <c:pt idx="12">
                  <c:v>7589</c:v>
                </c:pt>
                <c:pt idx="13">
                  <c:v>7589</c:v>
                </c:pt>
                <c:pt idx="14">
                  <c:v>0</c:v>
                </c:pt>
              </c:numCache>
            </c:numRef>
          </c:xVal>
          <c:yVal>
            <c:numRef>
              <c:f>[1]Daten!$C$49:$Q$49</c:f>
              <c:numCache>
                <c:formatCode>General</c:formatCode>
                <c:ptCount val="15"/>
                <c:pt idx="0">
                  <c:v>8.8997815295352272</c:v>
                </c:pt>
                <c:pt idx="1">
                  <c:v>8.8997815295352272</c:v>
                </c:pt>
                <c:pt idx="2">
                  <c:v>8.8997815295352272</c:v>
                </c:pt>
                <c:pt idx="3">
                  <c:v>5.2625335894512419</c:v>
                </c:pt>
                <c:pt idx="4">
                  <c:v>3.7138328013400819</c:v>
                </c:pt>
                <c:pt idx="5">
                  <c:v>2.799255607767372</c:v>
                </c:pt>
                <c:pt idx="6">
                  <c:v>2.1741620990337895</c:v>
                </c:pt>
                <c:pt idx="7">
                  <c:v>1.70902076842343</c:v>
                </c:pt>
                <c:pt idx="8">
                  <c:v>1.3427858871876741</c:v>
                </c:pt>
                <c:pt idx="9">
                  <c:v>1.0424163104741022</c:v>
                </c:pt>
                <c:pt idx="10">
                  <c:v>0.78825824459880445</c:v>
                </c:pt>
                <c:pt idx="11">
                  <c:v>0.78825824459880445</c:v>
                </c:pt>
                <c:pt idx="12">
                  <c:v>0.57699999999999996</c:v>
                </c:pt>
                <c:pt idx="13">
                  <c:v>0.57699999999999996</c:v>
                </c:pt>
                <c:pt idx="14">
                  <c:v>0.57699999999999996</c:v>
                </c:pt>
              </c:numCache>
            </c:numRef>
          </c:yVal>
          <c:smooth val="1"/>
          <c:extLst>
            <c:ext xmlns:c16="http://schemas.microsoft.com/office/drawing/2014/chart" uri="{C3380CC4-5D6E-409C-BE32-E72D297353CC}">
              <c16:uniqueId val="{00000003-2D5F-4742-A0E0-D9ACF4F66ADF}"/>
            </c:ext>
          </c:extLst>
        </c:ser>
        <c:ser>
          <c:idx val="4"/>
          <c:order val="4"/>
          <c:tx>
            <c:v>Working point</c:v>
          </c:tx>
          <c:spPr>
            <a:ln w="28575">
              <a:noFill/>
            </a:ln>
          </c:spPr>
          <c:marker>
            <c:symbol val="diamond"/>
            <c:size val="15"/>
            <c:spPr>
              <a:solidFill>
                <a:srgbClr val="FF0000"/>
              </a:solidFill>
              <a:ln w="9525">
                <a:noFill/>
              </a:ln>
            </c:spPr>
          </c:marker>
          <c:xVal>
            <c:numRef>
              <c:f>'C-C Auswahl'!$P$23</c:f>
              <c:numCache>
                <c:formatCode>General</c:formatCode>
                <c:ptCount val="1"/>
                <c:pt idx="0">
                  <c:v>1739.52</c:v>
                </c:pt>
              </c:numCache>
            </c:numRef>
          </c:xVal>
          <c:yVal>
            <c:numRef>
              <c:f>'C-C Auswahl'!$P$20</c:f>
              <c:numCache>
                <c:formatCode>0.0</c:formatCode>
                <c:ptCount val="1"/>
                <c:pt idx="0">
                  <c:v>3.4787567787971461</c:v>
                </c:pt>
              </c:numCache>
            </c:numRef>
          </c:yVal>
          <c:smooth val="0"/>
          <c:extLst>
            <c:ext xmlns:c16="http://schemas.microsoft.com/office/drawing/2014/chart" uri="{C3380CC4-5D6E-409C-BE32-E72D297353CC}">
              <c16:uniqueId val="{00000004-2D5F-4742-A0E0-D9ACF4F66ADF}"/>
            </c:ext>
          </c:extLst>
        </c:ser>
        <c:dLbls>
          <c:showLegendKey val="0"/>
          <c:showVal val="0"/>
          <c:showCatName val="0"/>
          <c:showSerName val="0"/>
          <c:showPercent val="0"/>
          <c:showBubbleSize val="0"/>
        </c:dLbls>
        <c:axId val="351417600"/>
        <c:axId val="351418160"/>
      </c:scatterChart>
      <c:valAx>
        <c:axId val="351417600"/>
        <c:scaling>
          <c:orientation val="minMax"/>
          <c:max val="800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400" b="0" i="0" u="none" strike="noStrike" baseline="0">
                    <a:solidFill>
                      <a:srgbClr val="000000"/>
                    </a:solidFill>
                    <a:latin typeface="Arial"/>
                    <a:ea typeface="Arial"/>
                    <a:cs typeface="Arial"/>
                  </a:defRPr>
                </a:pPr>
                <a:r>
                  <a:rPr lang="pl-PL"/>
                  <a:t>VD l/h</a:t>
                </a:r>
              </a:p>
            </c:rich>
          </c:tx>
          <c:layout>
            <c:manualLayout>
              <c:xMode val="edge"/>
              <c:yMode val="edge"/>
              <c:x val="0.41914011539696788"/>
              <c:y val="0.930824876057160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1418160"/>
        <c:crosses val="autoZero"/>
        <c:crossBetween val="midCat"/>
        <c:majorUnit val="1000"/>
      </c:valAx>
      <c:valAx>
        <c:axId val="351418160"/>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pl-PL"/>
                  <a:t>Pman bar</a:t>
                </a:r>
              </a:p>
            </c:rich>
          </c:tx>
          <c:layout>
            <c:manualLayout>
              <c:xMode val="edge"/>
              <c:yMode val="edge"/>
              <c:x val="2.7107988083768027E-2"/>
              <c:y val="0.43340347039953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1417600"/>
        <c:crosses val="autoZero"/>
        <c:crossBetween val="midCat"/>
      </c:valAx>
      <c:spPr>
        <a:solidFill>
          <a:srgbClr val="CCCCFF"/>
        </a:solidFill>
        <a:ln w="12700">
          <a:solidFill>
            <a:srgbClr val="CCCCFF"/>
          </a:solidFill>
          <a:prstDash val="solid"/>
        </a:ln>
      </c:spPr>
    </c:plotArea>
    <c:legend>
      <c:legendPos val="r"/>
      <c:layout>
        <c:manualLayout>
          <c:xMode val="edge"/>
          <c:yMode val="edge"/>
          <c:x val="0.83367841678018184"/>
          <c:y val="0.38714260717410343"/>
          <c:w val="0.15268691097157161"/>
          <c:h val="0.18832997958588504"/>
        </c:manualLayout>
      </c:layout>
      <c:overlay val="0"/>
      <c:spPr>
        <a:solidFill>
          <a:srgbClr val="FFFFFF"/>
        </a:solidFill>
        <a:ln w="25400">
          <a:noFill/>
        </a:ln>
      </c:spPr>
      <c:txPr>
        <a:bodyPr/>
        <a:lstStyle/>
        <a:p>
          <a:pPr>
            <a:defRPr sz="118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67" l="0.78740157499999996" r="0.78740157499999996" t="0.98425196899999967" header="0.49212598450000017" footer="0.49212598450000017"/>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0" i="0" u="none" strike="noStrike" baseline="0">
                <a:solidFill>
                  <a:srgbClr val="000000"/>
                </a:solidFill>
                <a:latin typeface="Arial"/>
                <a:ea typeface="Arial"/>
                <a:cs typeface="Arial"/>
              </a:defRPr>
            </a:pPr>
            <a:r>
              <a:rPr lang="pl-PL"/>
              <a:t>Transfero T...1</a:t>
            </a:r>
          </a:p>
        </c:rich>
      </c:tx>
      <c:layout>
        <c:manualLayout>
          <c:xMode val="edge"/>
          <c:yMode val="edge"/>
          <c:x val="0.42200728545295924"/>
          <c:y val="2.7149254744983382E-2"/>
        </c:manualLayout>
      </c:layout>
      <c:overlay val="0"/>
      <c:spPr>
        <a:noFill/>
        <a:ln w="25400">
          <a:noFill/>
        </a:ln>
      </c:spPr>
    </c:title>
    <c:autoTitleDeleted val="0"/>
    <c:plotArea>
      <c:layout>
        <c:manualLayout>
          <c:layoutTarget val="inner"/>
          <c:xMode val="edge"/>
          <c:yMode val="edge"/>
          <c:x val="8.5446704700447559E-2"/>
          <c:y val="0.12240645600923222"/>
          <c:w val="0.55245714245979061"/>
          <c:h val="0.78193974883509432"/>
        </c:manualLayout>
      </c:layout>
      <c:scatterChart>
        <c:scatterStyle val="smoothMarker"/>
        <c:varyColors val="0"/>
        <c:ser>
          <c:idx val="0"/>
          <c:order val="0"/>
          <c:tx>
            <c:v>T...4.1</c:v>
          </c:tx>
          <c:spPr>
            <a:ln w="25400">
              <a:solidFill>
                <a:srgbClr val="FF0000"/>
              </a:solidFill>
              <a:prstDash val="solid"/>
            </a:ln>
          </c:spPr>
          <c:marker>
            <c:symbol val="none"/>
          </c:marker>
          <c:xVal>
            <c:numRef>
              <c:f>'[2]T Daten'!$C$113:$O$113</c:f>
              <c:numCache>
                <c:formatCode>General</c:formatCode>
                <c:ptCount val="13"/>
                <c:pt idx="0">
                  <c:v>0</c:v>
                </c:pt>
                <c:pt idx="1">
                  <c:v>1251</c:v>
                </c:pt>
                <c:pt idx="2">
                  <c:v>1251</c:v>
                </c:pt>
                <c:pt idx="3">
                  <c:v>1400</c:v>
                </c:pt>
                <c:pt idx="4">
                  <c:v>1600</c:v>
                </c:pt>
                <c:pt idx="5">
                  <c:v>1800</c:v>
                </c:pt>
                <c:pt idx="6">
                  <c:v>2000</c:v>
                </c:pt>
                <c:pt idx="7">
                  <c:v>2200</c:v>
                </c:pt>
                <c:pt idx="8">
                  <c:v>2400</c:v>
                </c:pt>
                <c:pt idx="9">
                  <c:v>2500</c:v>
                </c:pt>
                <c:pt idx="10">
                  <c:v>2636</c:v>
                </c:pt>
                <c:pt idx="11">
                  <c:v>2636</c:v>
                </c:pt>
                <c:pt idx="12">
                  <c:v>0</c:v>
                </c:pt>
              </c:numCache>
            </c:numRef>
          </c:xVal>
          <c:yVal>
            <c:numRef>
              <c:f>'[2]T Daten'!$C$114:$O$114</c:f>
              <c:numCache>
                <c:formatCode>General</c:formatCode>
                <c:ptCount val="13"/>
                <c:pt idx="0">
                  <c:v>3.7</c:v>
                </c:pt>
                <c:pt idx="1">
                  <c:v>3.7</c:v>
                </c:pt>
                <c:pt idx="2">
                  <c:v>3.7002496699999998</c:v>
                </c:pt>
                <c:pt idx="3">
                  <c:v>3.5251999999999999</c:v>
                </c:pt>
                <c:pt idx="4">
                  <c:v>3.2671999999999994</c:v>
                </c:pt>
                <c:pt idx="5">
                  <c:v>2.9827999999999997</c:v>
                </c:pt>
                <c:pt idx="6">
                  <c:v>2.6719999999999997</c:v>
                </c:pt>
                <c:pt idx="7">
                  <c:v>2.3347999999999995</c:v>
                </c:pt>
                <c:pt idx="8">
                  <c:v>1.9711999999999996</c:v>
                </c:pt>
                <c:pt idx="9">
                  <c:v>1.7794999999999996</c:v>
                </c:pt>
                <c:pt idx="10">
                  <c:v>1.5081963199999997</c:v>
                </c:pt>
                <c:pt idx="11">
                  <c:v>1.5081963199999997</c:v>
                </c:pt>
                <c:pt idx="12">
                  <c:v>1.51</c:v>
                </c:pt>
              </c:numCache>
            </c:numRef>
          </c:yVal>
          <c:smooth val="1"/>
          <c:extLst>
            <c:ext xmlns:c16="http://schemas.microsoft.com/office/drawing/2014/chart" uri="{C3380CC4-5D6E-409C-BE32-E72D297353CC}">
              <c16:uniqueId val="{00000000-E8CC-4827-8F20-A04F928C703E}"/>
            </c:ext>
          </c:extLst>
        </c:ser>
        <c:ser>
          <c:idx val="1"/>
          <c:order val="1"/>
          <c:tx>
            <c:v>T...6.1</c:v>
          </c:tx>
          <c:spPr>
            <a:ln w="25400">
              <a:solidFill>
                <a:srgbClr val="0000FF"/>
              </a:solidFill>
              <a:prstDash val="solid"/>
            </a:ln>
          </c:spPr>
          <c:marker>
            <c:symbol val="none"/>
          </c:marker>
          <c:xVal>
            <c:numRef>
              <c:f>'[2]T Daten'!$C$118:$O$118</c:f>
              <c:numCache>
                <c:formatCode>General</c:formatCode>
                <c:ptCount val="13"/>
                <c:pt idx="0">
                  <c:v>0</c:v>
                </c:pt>
                <c:pt idx="1">
                  <c:v>1363</c:v>
                </c:pt>
                <c:pt idx="2">
                  <c:v>1363</c:v>
                </c:pt>
                <c:pt idx="3">
                  <c:v>1500</c:v>
                </c:pt>
                <c:pt idx="4">
                  <c:v>1700</c:v>
                </c:pt>
                <c:pt idx="5">
                  <c:v>1900</c:v>
                </c:pt>
                <c:pt idx="6">
                  <c:v>2100</c:v>
                </c:pt>
                <c:pt idx="7">
                  <c:v>2300</c:v>
                </c:pt>
                <c:pt idx="8">
                  <c:v>2500</c:v>
                </c:pt>
                <c:pt idx="9">
                  <c:v>2700</c:v>
                </c:pt>
                <c:pt idx="10">
                  <c:v>2940</c:v>
                </c:pt>
                <c:pt idx="11">
                  <c:v>2941</c:v>
                </c:pt>
                <c:pt idx="12">
                  <c:v>0</c:v>
                </c:pt>
              </c:numCache>
            </c:numRef>
          </c:xVal>
          <c:yVal>
            <c:numRef>
              <c:f>'[2]T Daten'!$C$119:$O$119</c:f>
              <c:numCache>
                <c:formatCode>General</c:formatCode>
                <c:ptCount val="13"/>
                <c:pt idx="0">
                  <c:v>4.7</c:v>
                </c:pt>
                <c:pt idx="1">
                  <c:v>4.7</c:v>
                </c:pt>
                <c:pt idx="2">
                  <c:v>4.7013622979057299</c:v>
                </c:pt>
                <c:pt idx="3">
                  <c:v>4.5236719153392553</c:v>
                </c:pt>
                <c:pt idx="4">
                  <c:v>4.2384443712579767</c:v>
                </c:pt>
                <c:pt idx="5">
                  <c:v>3.9225633841665388</c:v>
                </c:pt>
                <c:pt idx="6">
                  <c:v>3.5760289540649399</c:v>
                </c:pt>
                <c:pt idx="7">
                  <c:v>3.1988410809531818</c:v>
                </c:pt>
                <c:pt idx="8">
                  <c:v>2.7909997648312643</c:v>
                </c:pt>
                <c:pt idx="9">
                  <c:v>2.3525050056991863</c:v>
                </c:pt>
                <c:pt idx="10">
                  <c:v>1.7858487499672822</c:v>
                </c:pt>
                <c:pt idx="11">
                  <c:v>1.7833953387379977</c:v>
                </c:pt>
                <c:pt idx="12">
                  <c:v>1.78</c:v>
                </c:pt>
              </c:numCache>
            </c:numRef>
          </c:yVal>
          <c:smooth val="1"/>
          <c:extLst>
            <c:ext xmlns:c16="http://schemas.microsoft.com/office/drawing/2014/chart" uri="{C3380CC4-5D6E-409C-BE32-E72D297353CC}">
              <c16:uniqueId val="{00000001-E8CC-4827-8F20-A04F928C703E}"/>
            </c:ext>
          </c:extLst>
        </c:ser>
        <c:ser>
          <c:idx val="2"/>
          <c:order val="2"/>
          <c:tx>
            <c:v>T...8.1</c:v>
          </c:tx>
          <c:spPr>
            <a:ln w="25400">
              <a:solidFill>
                <a:srgbClr val="FFFF00"/>
              </a:solidFill>
              <a:prstDash val="solid"/>
            </a:ln>
          </c:spPr>
          <c:marker>
            <c:symbol val="none"/>
          </c:marker>
          <c:xVal>
            <c:numRef>
              <c:f>'[2]T Daten'!$C$123:$Q$123</c:f>
              <c:numCache>
                <c:formatCode>General</c:formatCode>
                <c:ptCount val="15"/>
                <c:pt idx="0">
                  <c:v>0</c:v>
                </c:pt>
                <c:pt idx="1">
                  <c:v>910</c:v>
                </c:pt>
                <c:pt idx="2">
                  <c:v>910</c:v>
                </c:pt>
                <c:pt idx="3">
                  <c:v>1100</c:v>
                </c:pt>
                <c:pt idx="4">
                  <c:v>1300</c:v>
                </c:pt>
                <c:pt idx="5">
                  <c:v>1500</c:v>
                </c:pt>
                <c:pt idx="6">
                  <c:v>1700</c:v>
                </c:pt>
                <c:pt idx="7">
                  <c:v>1900</c:v>
                </c:pt>
                <c:pt idx="8">
                  <c:v>2100</c:v>
                </c:pt>
                <c:pt idx="9">
                  <c:v>2300</c:v>
                </c:pt>
                <c:pt idx="10">
                  <c:v>2500</c:v>
                </c:pt>
                <c:pt idx="11">
                  <c:v>2700</c:v>
                </c:pt>
                <c:pt idx="12">
                  <c:v>3000</c:v>
                </c:pt>
                <c:pt idx="13">
                  <c:v>3000</c:v>
                </c:pt>
                <c:pt idx="14">
                  <c:v>0</c:v>
                </c:pt>
              </c:numCache>
            </c:numRef>
          </c:xVal>
          <c:yVal>
            <c:numRef>
              <c:f>'[2]T Daten'!$C$124:$Q$124</c:f>
              <c:numCache>
                <c:formatCode>General</c:formatCode>
                <c:ptCount val="15"/>
                <c:pt idx="0">
                  <c:v>6.5</c:v>
                </c:pt>
                <c:pt idx="1">
                  <c:v>6.5</c:v>
                </c:pt>
                <c:pt idx="2">
                  <c:v>6.499586403984094</c:v>
                </c:pt>
                <c:pt idx="3">
                  <c:v>6.2303943470845953</c:v>
                </c:pt>
                <c:pt idx="4">
                  <c:v>5.9153375591512116</c:v>
                </c:pt>
                <c:pt idx="5">
                  <c:v>5.567771306562264</c:v>
                </c:pt>
                <c:pt idx="6">
                  <c:v>5.1876955893177517</c:v>
                </c:pt>
                <c:pt idx="7">
                  <c:v>4.7751104074176762</c:v>
                </c:pt>
                <c:pt idx="8">
                  <c:v>4.330015760862036</c:v>
                </c:pt>
                <c:pt idx="9">
                  <c:v>3.8524116496508327</c:v>
                </c:pt>
                <c:pt idx="10">
                  <c:v>3.3422980737840646</c:v>
                </c:pt>
                <c:pt idx="11">
                  <c:v>2.7996750332617331</c:v>
                </c:pt>
                <c:pt idx="12">
                  <c:v>1.9247852262490537</c:v>
                </c:pt>
                <c:pt idx="13">
                  <c:v>1.86</c:v>
                </c:pt>
                <c:pt idx="14">
                  <c:v>1.86</c:v>
                </c:pt>
              </c:numCache>
            </c:numRef>
          </c:yVal>
          <c:smooth val="1"/>
          <c:extLst>
            <c:ext xmlns:c16="http://schemas.microsoft.com/office/drawing/2014/chart" uri="{C3380CC4-5D6E-409C-BE32-E72D297353CC}">
              <c16:uniqueId val="{00000002-E8CC-4827-8F20-A04F928C703E}"/>
            </c:ext>
          </c:extLst>
        </c:ser>
        <c:ser>
          <c:idx val="3"/>
          <c:order val="3"/>
          <c:tx>
            <c:v>T...10.1</c:v>
          </c:tx>
          <c:spPr>
            <a:ln w="25400">
              <a:solidFill>
                <a:srgbClr val="008000"/>
              </a:solidFill>
              <a:prstDash val="solid"/>
            </a:ln>
          </c:spPr>
          <c:marker>
            <c:symbol val="none"/>
          </c:marker>
          <c:xVal>
            <c:numRef>
              <c:f>'[2]T Daten'!$C$128:$R$128</c:f>
              <c:numCache>
                <c:formatCode>General</c:formatCode>
                <c:ptCount val="16"/>
                <c:pt idx="0">
                  <c:v>0</c:v>
                </c:pt>
                <c:pt idx="1">
                  <c:v>810</c:v>
                </c:pt>
                <c:pt idx="2">
                  <c:v>810</c:v>
                </c:pt>
                <c:pt idx="3">
                  <c:v>1000</c:v>
                </c:pt>
                <c:pt idx="4">
                  <c:v>1200</c:v>
                </c:pt>
                <c:pt idx="5">
                  <c:v>1400</c:v>
                </c:pt>
                <c:pt idx="6">
                  <c:v>1600</c:v>
                </c:pt>
                <c:pt idx="7">
                  <c:v>1800</c:v>
                </c:pt>
                <c:pt idx="8">
                  <c:v>2000</c:v>
                </c:pt>
                <c:pt idx="9">
                  <c:v>2200</c:v>
                </c:pt>
                <c:pt idx="10">
                  <c:v>2400</c:v>
                </c:pt>
                <c:pt idx="11">
                  <c:v>2600</c:v>
                </c:pt>
                <c:pt idx="12">
                  <c:v>2800</c:v>
                </c:pt>
                <c:pt idx="13">
                  <c:v>3060</c:v>
                </c:pt>
                <c:pt idx="14">
                  <c:v>3060</c:v>
                </c:pt>
                <c:pt idx="15">
                  <c:v>0</c:v>
                </c:pt>
              </c:numCache>
            </c:numRef>
          </c:xVal>
          <c:yVal>
            <c:numRef>
              <c:f>'[2]T Daten'!$C$129:$R$129</c:f>
              <c:numCache>
                <c:formatCode>General</c:formatCode>
                <c:ptCount val="16"/>
                <c:pt idx="0">
                  <c:v>8.5</c:v>
                </c:pt>
                <c:pt idx="1">
                  <c:v>8.5</c:v>
                </c:pt>
                <c:pt idx="2">
                  <c:v>8.4996112667690227</c:v>
                </c:pt>
                <c:pt idx="3">
                  <c:v>8.204337885640939</c:v>
                </c:pt>
                <c:pt idx="4">
                  <c:v>7.8567185553229528</c:v>
                </c:pt>
                <c:pt idx="5">
                  <c:v>7.4713502558562404</c:v>
                </c:pt>
                <c:pt idx="6">
                  <c:v>7.0482329872408034</c:v>
                </c:pt>
                <c:pt idx="7">
                  <c:v>6.5873667494766419</c:v>
                </c:pt>
                <c:pt idx="8">
                  <c:v>6.0887515425637559</c:v>
                </c:pt>
                <c:pt idx="9">
                  <c:v>5.5523873665021437</c:v>
                </c:pt>
                <c:pt idx="10">
                  <c:v>4.9782742212918079</c:v>
                </c:pt>
                <c:pt idx="11">
                  <c:v>4.3664121069327457</c:v>
                </c:pt>
                <c:pt idx="12">
                  <c:v>3.71680102342496</c:v>
                </c:pt>
                <c:pt idx="13">
                  <c:v>2.8158719059874944</c:v>
                </c:pt>
                <c:pt idx="14">
                  <c:v>1.94</c:v>
                </c:pt>
                <c:pt idx="15">
                  <c:v>1.94</c:v>
                </c:pt>
              </c:numCache>
            </c:numRef>
          </c:yVal>
          <c:smooth val="0"/>
          <c:extLst>
            <c:ext xmlns:c16="http://schemas.microsoft.com/office/drawing/2014/chart" uri="{C3380CC4-5D6E-409C-BE32-E72D297353CC}">
              <c16:uniqueId val="{00000003-E8CC-4827-8F20-A04F928C703E}"/>
            </c:ext>
          </c:extLst>
        </c:ser>
        <c:ser>
          <c:idx val="4"/>
          <c:order val="4"/>
          <c:tx>
            <c:v>Working point</c:v>
          </c:tx>
          <c:spPr>
            <a:ln w="12700">
              <a:solidFill>
                <a:srgbClr val="800080"/>
              </a:solidFill>
              <a:prstDash val="solid"/>
            </a:ln>
          </c:spPr>
          <c:marker>
            <c:symbol val="diamond"/>
            <c:size val="10"/>
            <c:spPr>
              <a:solidFill>
                <a:srgbClr val="000000"/>
              </a:solidFill>
              <a:ln>
                <a:solidFill>
                  <a:srgbClr val="800080"/>
                </a:solidFill>
                <a:prstDash val="solid"/>
              </a:ln>
            </c:spPr>
          </c:marker>
          <c:xVal>
            <c:numRef>
              <c:f>'T Auswahl'!$P$23</c:f>
              <c:numCache>
                <c:formatCode>General</c:formatCode>
                <c:ptCount val="1"/>
                <c:pt idx="0">
                  <c:v>1739.52</c:v>
                </c:pt>
              </c:numCache>
            </c:numRef>
          </c:xVal>
          <c:yVal>
            <c:numRef>
              <c:f>'T Auswahl'!$P$20</c:f>
              <c:numCache>
                <c:formatCode>0.0</c:formatCode>
                <c:ptCount val="1"/>
                <c:pt idx="0">
                  <c:v>3.4284000000000003</c:v>
                </c:pt>
              </c:numCache>
            </c:numRef>
          </c:yVal>
          <c:smooth val="1"/>
          <c:extLst>
            <c:ext xmlns:c16="http://schemas.microsoft.com/office/drawing/2014/chart" uri="{C3380CC4-5D6E-409C-BE32-E72D297353CC}">
              <c16:uniqueId val="{00000004-E8CC-4827-8F20-A04F928C703E}"/>
            </c:ext>
          </c:extLst>
        </c:ser>
        <c:dLbls>
          <c:showLegendKey val="0"/>
          <c:showVal val="0"/>
          <c:showCatName val="0"/>
          <c:showSerName val="0"/>
          <c:showPercent val="0"/>
          <c:showBubbleSize val="0"/>
        </c:dLbls>
        <c:axId val="351423200"/>
        <c:axId val="351423760"/>
      </c:scatterChart>
      <c:valAx>
        <c:axId val="351423200"/>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450" b="0" i="0" u="none" strike="noStrike" baseline="0">
                    <a:solidFill>
                      <a:srgbClr val="000000"/>
                    </a:solidFill>
                    <a:latin typeface="Arial"/>
                    <a:ea typeface="Arial"/>
                    <a:cs typeface="Arial"/>
                  </a:defRPr>
                </a:pPr>
                <a:r>
                  <a:rPr lang="pl-PL"/>
                  <a:t>VD l/h</a:t>
                </a:r>
              </a:p>
            </c:rich>
          </c:tx>
          <c:layout>
            <c:manualLayout>
              <c:xMode val="edge"/>
              <c:yMode val="edge"/>
              <c:x val="0.35429265887218625"/>
              <c:y val="0.915535421086062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1423760"/>
        <c:crosses val="autoZero"/>
        <c:crossBetween val="midCat"/>
      </c:valAx>
      <c:valAx>
        <c:axId val="351423760"/>
        <c:scaling>
          <c:orientation val="minMax"/>
        </c:scaling>
        <c:delete val="0"/>
        <c:axPos val="l"/>
        <c:majorGridlines>
          <c:spPr>
            <a:ln w="3175">
              <a:solidFill>
                <a:srgbClr val="000000"/>
              </a:solidFill>
              <a:prstDash val="solid"/>
            </a:ln>
          </c:spPr>
        </c:majorGridlines>
        <c:title>
          <c:tx>
            <c:rich>
              <a:bodyPr/>
              <a:lstStyle/>
              <a:p>
                <a:pPr>
                  <a:defRPr sz="1450" b="0" i="0" u="none" strike="noStrike" baseline="0">
                    <a:solidFill>
                      <a:srgbClr val="000000"/>
                    </a:solidFill>
                    <a:latin typeface="Arial"/>
                    <a:ea typeface="Arial"/>
                    <a:cs typeface="Arial"/>
                  </a:defRPr>
                </a:pPr>
                <a:r>
                  <a:rPr lang="pl-PL"/>
                  <a:t>Pman bar</a:t>
                </a:r>
              </a:p>
            </c:rich>
          </c:tx>
          <c:layout>
            <c:manualLayout>
              <c:xMode val="edge"/>
              <c:yMode val="edge"/>
              <c:x val="2.7811341764098142E-2"/>
              <c:y val="0.438914017026415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50" b="0" i="0" u="none" strike="noStrike" baseline="0">
                <a:solidFill>
                  <a:srgbClr val="000000"/>
                </a:solidFill>
                <a:latin typeface="Arial"/>
                <a:ea typeface="Arial"/>
                <a:cs typeface="Arial"/>
              </a:defRPr>
            </a:pPr>
            <a:endParaRPr lang="pl-PL"/>
          </a:p>
        </c:txPr>
        <c:crossAx val="351423200"/>
        <c:crosses val="autoZero"/>
        <c:crossBetween val="midCat"/>
      </c:valAx>
      <c:spPr>
        <a:solidFill>
          <a:srgbClr val="CCCCFF"/>
        </a:solidFill>
        <a:ln w="12700">
          <a:solidFill>
            <a:srgbClr val="CCCCFF"/>
          </a:solidFill>
          <a:prstDash val="solid"/>
        </a:ln>
      </c:spPr>
    </c:plotArea>
    <c:legend>
      <c:legendPos val="r"/>
      <c:layout>
        <c:manualLayout>
          <c:xMode val="edge"/>
          <c:yMode val="edge"/>
          <c:x val="0.71893091545375065"/>
          <c:y val="0.38914288681951814"/>
          <c:w val="0.13240295872106941"/>
          <c:h val="0.23268914158290308"/>
        </c:manualLayout>
      </c:layout>
      <c:overlay val="0"/>
      <c:spPr>
        <a:solidFill>
          <a:srgbClr val="FFFFFF"/>
        </a:solidFill>
        <a:ln w="25400">
          <a:noFill/>
        </a:ln>
      </c:spPr>
      <c:txPr>
        <a:bodyPr/>
        <a:lstStyle/>
        <a:p>
          <a:pPr>
            <a:defRPr sz="106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45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355" footer="0.4921259845000035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pl-PL"/>
              <a:t>Transfero T...2</a:t>
            </a:r>
          </a:p>
        </c:rich>
      </c:tx>
      <c:layout>
        <c:manualLayout>
          <c:xMode val="edge"/>
          <c:yMode val="edge"/>
          <c:x val="0.4366802819538827"/>
          <c:y val="2.8816388391221647E-2"/>
        </c:manualLayout>
      </c:layout>
      <c:overlay val="0"/>
      <c:spPr>
        <a:noFill/>
        <a:ln w="25400">
          <a:noFill/>
        </a:ln>
      </c:spPr>
    </c:title>
    <c:autoTitleDeleted val="0"/>
    <c:plotArea>
      <c:layout>
        <c:manualLayout>
          <c:layoutTarget val="inner"/>
          <c:xMode val="edge"/>
          <c:yMode val="edge"/>
          <c:x val="0.12217369692312115"/>
          <c:y val="0.13063400212104528"/>
          <c:w val="0.65562518546863091"/>
          <c:h val="0.71656592339926317"/>
        </c:manualLayout>
      </c:layout>
      <c:scatterChart>
        <c:scatterStyle val="smoothMarker"/>
        <c:varyColors val="0"/>
        <c:ser>
          <c:idx val="0"/>
          <c:order val="0"/>
          <c:tx>
            <c:v>T...4.2</c:v>
          </c:tx>
          <c:spPr>
            <a:ln w="25400">
              <a:solidFill>
                <a:srgbClr val="FF0000"/>
              </a:solidFill>
              <a:prstDash val="solid"/>
            </a:ln>
          </c:spPr>
          <c:marker>
            <c:symbol val="none"/>
          </c:marker>
          <c:xVal>
            <c:numRef>
              <c:f>'[2]T Daten'!$C$133:$M$133</c:f>
              <c:numCache>
                <c:formatCode>General</c:formatCode>
                <c:ptCount val="11"/>
                <c:pt idx="0">
                  <c:v>0</c:v>
                </c:pt>
                <c:pt idx="1">
                  <c:v>2502</c:v>
                </c:pt>
                <c:pt idx="2">
                  <c:v>2502</c:v>
                </c:pt>
                <c:pt idx="3">
                  <c:v>3000</c:v>
                </c:pt>
                <c:pt idx="4">
                  <c:v>3500</c:v>
                </c:pt>
                <c:pt idx="5">
                  <c:v>4000</c:v>
                </c:pt>
                <c:pt idx="6">
                  <c:v>4500</c:v>
                </c:pt>
                <c:pt idx="7">
                  <c:v>5000</c:v>
                </c:pt>
                <c:pt idx="8">
                  <c:v>5272</c:v>
                </c:pt>
                <c:pt idx="9">
                  <c:v>5272</c:v>
                </c:pt>
                <c:pt idx="10">
                  <c:v>0</c:v>
                </c:pt>
              </c:numCache>
            </c:numRef>
          </c:xVal>
          <c:yVal>
            <c:numRef>
              <c:f>'[2]T Daten'!$C$134:$M$134</c:f>
              <c:numCache>
                <c:formatCode>General</c:formatCode>
                <c:ptCount val="11"/>
                <c:pt idx="0">
                  <c:v>3.7</c:v>
                </c:pt>
                <c:pt idx="1">
                  <c:v>3.7</c:v>
                </c:pt>
                <c:pt idx="2">
                  <c:v>3.7002496699999998</c:v>
                </c:pt>
                <c:pt idx="3">
                  <c:v>3.3994999999999997</c:v>
                </c:pt>
                <c:pt idx="4">
                  <c:v>3.0563749999999996</c:v>
                </c:pt>
                <c:pt idx="5">
                  <c:v>2.6719999999999997</c:v>
                </c:pt>
                <c:pt idx="6">
                  <c:v>2.2463749999999996</c:v>
                </c:pt>
                <c:pt idx="7">
                  <c:v>1.7794999999999996</c:v>
                </c:pt>
                <c:pt idx="8">
                  <c:v>1.5081963199999993</c:v>
                </c:pt>
                <c:pt idx="9">
                  <c:v>1.5081963199999993</c:v>
                </c:pt>
                <c:pt idx="10">
                  <c:v>1.51</c:v>
                </c:pt>
              </c:numCache>
            </c:numRef>
          </c:yVal>
          <c:smooth val="1"/>
          <c:extLst>
            <c:ext xmlns:c16="http://schemas.microsoft.com/office/drawing/2014/chart" uri="{C3380CC4-5D6E-409C-BE32-E72D297353CC}">
              <c16:uniqueId val="{00000000-88EE-4227-B6ED-ED34130EA6FE}"/>
            </c:ext>
          </c:extLst>
        </c:ser>
        <c:ser>
          <c:idx val="1"/>
          <c:order val="1"/>
          <c:tx>
            <c:v>T...6.2</c:v>
          </c:tx>
          <c:spPr>
            <a:ln w="25400">
              <a:solidFill>
                <a:srgbClr val="0000FF"/>
              </a:solidFill>
              <a:prstDash val="solid"/>
            </a:ln>
          </c:spPr>
          <c:marker>
            <c:symbol val="none"/>
          </c:marker>
          <c:xVal>
            <c:numRef>
              <c:f>'[2]T Daten'!$C$138:$N$138</c:f>
              <c:numCache>
                <c:formatCode>General</c:formatCode>
                <c:ptCount val="12"/>
                <c:pt idx="0">
                  <c:v>0</c:v>
                </c:pt>
                <c:pt idx="1">
                  <c:v>2726</c:v>
                </c:pt>
                <c:pt idx="2">
                  <c:v>2726</c:v>
                </c:pt>
                <c:pt idx="3">
                  <c:v>3000</c:v>
                </c:pt>
                <c:pt idx="4">
                  <c:v>3500</c:v>
                </c:pt>
                <c:pt idx="5">
                  <c:v>4000</c:v>
                </c:pt>
                <c:pt idx="6">
                  <c:v>4500</c:v>
                </c:pt>
                <c:pt idx="7">
                  <c:v>5000</c:v>
                </c:pt>
                <c:pt idx="8">
                  <c:v>5500</c:v>
                </c:pt>
                <c:pt idx="9">
                  <c:v>5881</c:v>
                </c:pt>
                <c:pt idx="10">
                  <c:v>5881</c:v>
                </c:pt>
                <c:pt idx="11">
                  <c:v>0</c:v>
                </c:pt>
              </c:numCache>
            </c:numRef>
          </c:xVal>
          <c:yVal>
            <c:numRef>
              <c:f>'[2]T Daten'!$C$139:$N$139</c:f>
              <c:numCache>
                <c:formatCode>General</c:formatCode>
                <c:ptCount val="12"/>
                <c:pt idx="0">
                  <c:v>4.7</c:v>
                </c:pt>
                <c:pt idx="1">
                  <c:v>4.7</c:v>
                </c:pt>
                <c:pt idx="2">
                  <c:v>4.7017145195548942</c:v>
                </c:pt>
                <c:pt idx="3">
                  <c:v>4.5240985015890089</c:v>
                </c:pt>
                <c:pt idx="4">
                  <c:v>4.1629285160517071</c:v>
                </c:pt>
                <c:pt idx="5">
                  <c:v>3.7538862250471272</c:v>
                </c:pt>
                <c:pt idx="6">
                  <c:v>3.296971628575271</c:v>
                </c:pt>
                <c:pt idx="7">
                  <c:v>2.7921847266361368</c:v>
                </c:pt>
                <c:pt idx="8">
                  <c:v>2.2395255192297254</c:v>
                </c:pt>
                <c:pt idx="9">
                  <c:v>1.7862614713351359</c:v>
                </c:pt>
                <c:pt idx="10">
                  <c:v>1.7862614713351359</c:v>
                </c:pt>
                <c:pt idx="11">
                  <c:v>1.79</c:v>
                </c:pt>
              </c:numCache>
            </c:numRef>
          </c:yVal>
          <c:smooth val="1"/>
          <c:extLst>
            <c:ext xmlns:c16="http://schemas.microsoft.com/office/drawing/2014/chart" uri="{C3380CC4-5D6E-409C-BE32-E72D297353CC}">
              <c16:uniqueId val="{00000001-88EE-4227-B6ED-ED34130EA6FE}"/>
            </c:ext>
          </c:extLst>
        </c:ser>
        <c:ser>
          <c:idx val="2"/>
          <c:order val="2"/>
          <c:tx>
            <c:v>T...8.2</c:v>
          </c:tx>
          <c:spPr>
            <a:ln w="25400">
              <a:solidFill>
                <a:srgbClr val="FFFF00"/>
              </a:solidFill>
              <a:prstDash val="solid"/>
            </a:ln>
          </c:spPr>
          <c:marker>
            <c:symbol val="none"/>
          </c:marker>
          <c:xVal>
            <c:numRef>
              <c:f>'[2]T Daten'!$C$143:$N$143</c:f>
              <c:numCache>
                <c:formatCode>General</c:formatCode>
                <c:ptCount val="12"/>
                <c:pt idx="0">
                  <c:v>0</c:v>
                </c:pt>
                <c:pt idx="1">
                  <c:v>1820</c:v>
                </c:pt>
                <c:pt idx="2">
                  <c:v>1820</c:v>
                </c:pt>
                <c:pt idx="3">
                  <c:v>3000</c:v>
                </c:pt>
                <c:pt idx="4">
                  <c:v>3500</c:v>
                </c:pt>
                <c:pt idx="5">
                  <c:v>4000</c:v>
                </c:pt>
                <c:pt idx="6">
                  <c:v>4500</c:v>
                </c:pt>
                <c:pt idx="7">
                  <c:v>5000</c:v>
                </c:pt>
                <c:pt idx="8">
                  <c:v>5500</c:v>
                </c:pt>
                <c:pt idx="9">
                  <c:v>6000</c:v>
                </c:pt>
                <c:pt idx="10">
                  <c:v>6000</c:v>
                </c:pt>
                <c:pt idx="11">
                  <c:v>0</c:v>
                </c:pt>
              </c:numCache>
            </c:numRef>
          </c:xVal>
          <c:yVal>
            <c:numRef>
              <c:f>'[2]T Daten'!$C$144:$N$144</c:f>
              <c:numCache>
                <c:formatCode>General</c:formatCode>
                <c:ptCount val="12"/>
                <c:pt idx="0">
                  <c:v>6.5</c:v>
                </c:pt>
                <c:pt idx="1">
                  <c:v>6.5</c:v>
                </c:pt>
                <c:pt idx="2">
                  <c:v>6.4967419996211202</c:v>
                </c:pt>
                <c:pt idx="3">
                  <c:v>5.5600428802650894</c:v>
                </c:pt>
                <c:pt idx="4">
                  <c:v>5.0770778092497046</c:v>
                </c:pt>
                <c:pt idx="5">
                  <c:v>4.5428873426934917</c:v>
                </c:pt>
                <c:pt idx="6">
                  <c:v>3.957471480596451</c:v>
                </c:pt>
                <c:pt idx="7">
                  <c:v>3.3208302229585804</c:v>
                </c:pt>
                <c:pt idx="8">
                  <c:v>2.6329635697798834</c:v>
                </c:pt>
                <c:pt idx="9">
                  <c:v>1.8938715210603565</c:v>
                </c:pt>
                <c:pt idx="10">
                  <c:v>1.86</c:v>
                </c:pt>
                <c:pt idx="11">
                  <c:v>1.86</c:v>
                </c:pt>
              </c:numCache>
            </c:numRef>
          </c:yVal>
          <c:smooth val="1"/>
          <c:extLst>
            <c:ext xmlns:c16="http://schemas.microsoft.com/office/drawing/2014/chart" uri="{C3380CC4-5D6E-409C-BE32-E72D297353CC}">
              <c16:uniqueId val="{00000002-88EE-4227-B6ED-ED34130EA6FE}"/>
            </c:ext>
          </c:extLst>
        </c:ser>
        <c:ser>
          <c:idx val="3"/>
          <c:order val="3"/>
          <c:tx>
            <c:v>T...10.2</c:v>
          </c:tx>
          <c:spPr>
            <a:ln w="25400">
              <a:solidFill>
                <a:srgbClr val="008000"/>
              </a:solidFill>
              <a:prstDash val="solid"/>
            </a:ln>
          </c:spPr>
          <c:marker>
            <c:symbol val="none"/>
          </c:marker>
          <c:xVal>
            <c:numRef>
              <c:f>'[2]T Daten'!$C$148:$N$148</c:f>
              <c:numCache>
                <c:formatCode>General</c:formatCode>
                <c:ptCount val="12"/>
                <c:pt idx="0">
                  <c:v>0</c:v>
                </c:pt>
                <c:pt idx="1">
                  <c:v>1590</c:v>
                </c:pt>
                <c:pt idx="2">
                  <c:v>1590</c:v>
                </c:pt>
                <c:pt idx="3">
                  <c:v>3000</c:v>
                </c:pt>
                <c:pt idx="4">
                  <c:v>3500</c:v>
                </c:pt>
                <c:pt idx="5">
                  <c:v>4000</c:v>
                </c:pt>
                <c:pt idx="6">
                  <c:v>4500</c:v>
                </c:pt>
                <c:pt idx="7">
                  <c:v>5000</c:v>
                </c:pt>
                <c:pt idx="8">
                  <c:v>5500</c:v>
                </c:pt>
                <c:pt idx="9">
                  <c:v>6120</c:v>
                </c:pt>
                <c:pt idx="10">
                  <c:v>6120</c:v>
                </c:pt>
                <c:pt idx="11">
                  <c:v>0</c:v>
                </c:pt>
              </c:numCache>
            </c:numRef>
          </c:xVal>
          <c:yVal>
            <c:numRef>
              <c:f>'[2]T Daten'!$C$149:$N$149</c:f>
              <c:numCache>
                <c:formatCode>General</c:formatCode>
                <c:ptCount val="12"/>
                <c:pt idx="0">
                  <c:v>8.5</c:v>
                </c:pt>
                <c:pt idx="1">
                  <c:v>8.5</c:v>
                </c:pt>
                <c:pt idx="2">
                  <c:v>8.5098117910343181</c:v>
                </c:pt>
                <c:pt idx="3">
                  <c:v>7.2621033667484269</c:v>
                </c:pt>
                <c:pt idx="4">
                  <c:v>6.7173261860916877</c:v>
                </c:pt>
                <c:pt idx="5">
                  <c:v>6.1187862781332267</c:v>
                </c:pt>
                <c:pt idx="6">
                  <c:v>5.4663897813383118</c:v>
                </c:pt>
                <c:pt idx="7">
                  <c:v>4.7600535393543408</c:v>
                </c:pt>
                <c:pt idx="8">
                  <c:v>3.9997028665134433</c:v>
                </c:pt>
                <c:pt idx="9">
                  <c:v>2.9817516055737787</c:v>
                </c:pt>
                <c:pt idx="10">
                  <c:v>1.94</c:v>
                </c:pt>
                <c:pt idx="11">
                  <c:v>1.94</c:v>
                </c:pt>
              </c:numCache>
            </c:numRef>
          </c:yVal>
          <c:smooth val="0"/>
          <c:extLst>
            <c:ext xmlns:c16="http://schemas.microsoft.com/office/drawing/2014/chart" uri="{C3380CC4-5D6E-409C-BE32-E72D297353CC}">
              <c16:uniqueId val="{00000003-88EE-4227-B6ED-ED34130EA6FE}"/>
            </c:ext>
          </c:extLst>
        </c:ser>
        <c:ser>
          <c:idx val="4"/>
          <c:order val="4"/>
          <c:tx>
            <c:v>Arbeitspunkt</c:v>
          </c:tx>
          <c:spPr>
            <a:ln w="12700">
              <a:solidFill>
                <a:srgbClr val="800080"/>
              </a:solidFill>
              <a:prstDash val="solid"/>
            </a:ln>
          </c:spPr>
          <c:marker>
            <c:symbol val="diamond"/>
            <c:size val="10"/>
            <c:spPr>
              <a:solidFill>
                <a:srgbClr val="000000"/>
              </a:solidFill>
              <a:ln>
                <a:solidFill>
                  <a:srgbClr val="800080"/>
                </a:solidFill>
                <a:prstDash val="solid"/>
              </a:ln>
            </c:spPr>
          </c:marker>
          <c:xVal>
            <c:numRef>
              <c:f>'T Auswahl'!$P$23</c:f>
              <c:numCache>
                <c:formatCode>General</c:formatCode>
                <c:ptCount val="1"/>
                <c:pt idx="0">
                  <c:v>1739.52</c:v>
                </c:pt>
              </c:numCache>
            </c:numRef>
          </c:xVal>
          <c:yVal>
            <c:numRef>
              <c:f>'T Auswahl'!$P$20</c:f>
              <c:numCache>
                <c:formatCode>0.0</c:formatCode>
                <c:ptCount val="1"/>
                <c:pt idx="0">
                  <c:v>3.4284000000000003</c:v>
                </c:pt>
              </c:numCache>
            </c:numRef>
          </c:yVal>
          <c:smooth val="1"/>
          <c:extLst>
            <c:ext xmlns:c16="http://schemas.microsoft.com/office/drawing/2014/chart" uri="{C3380CC4-5D6E-409C-BE32-E72D297353CC}">
              <c16:uniqueId val="{00000004-88EE-4227-B6ED-ED34130EA6FE}"/>
            </c:ext>
          </c:extLst>
        </c:ser>
        <c:dLbls>
          <c:showLegendKey val="0"/>
          <c:showVal val="0"/>
          <c:showCatName val="0"/>
          <c:showSerName val="0"/>
          <c:showPercent val="0"/>
          <c:showBubbleSize val="0"/>
        </c:dLbls>
        <c:axId val="352294320"/>
        <c:axId val="352294880"/>
      </c:scatterChart>
      <c:valAx>
        <c:axId val="352294320"/>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0" i="0" u="none" strike="noStrike" baseline="0">
                    <a:solidFill>
                      <a:srgbClr val="000000"/>
                    </a:solidFill>
                    <a:latin typeface="Arial"/>
                    <a:ea typeface="Arial"/>
                    <a:cs typeface="Arial"/>
                  </a:defRPr>
                </a:pPr>
                <a:r>
                  <a:rPr lang="pl-PL"/>
                  <a:t>VD l/h</a:t>
                </a:r>
              </a:p>
            </c:rich>
          </c:tx>
          <c:layout>
            <c:manualLayout>
              <c:xMode val="edge"/>
              <c:yMode val="edge"/>
              <c:x val="0.42095497434042795"/>
              <c:y val="0.916359183591534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352294880"/>
        <c:crosses val="autoZero"/>
        <c:crossBetween val="midCat"/>
      </c:valAx>
      <c:valAx>
        <c:axId val="352294880"/>
        <c:scaling>
          <c:orientation val="minMax"/>
        </c:scaling>
        <c:delete val="0"/>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pl-PL"/>
                  <a:t>Pman bar</a:t>
                </a:r>
              </a:p>
            </c:rich>
          </c:tx>
          <c:layout>
            <c:manualLayout>
              <c:xMode val="edge"/>
              <c:yMode val="edge"/>
              <c:x val="2.2983112600647303E-2"/>
              <c:y val="0.416876188755569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352294320"/>
        <c:crosses val="autoZero"/>
        <c:crossBetween val="midCat"/>
      </c:valAx>
      <c:spPr>
        <a:solidFill>
          <a:srgbClr val="CCCCFF"/>
        </a:solidFill>
        <a:ln w="12700">
          <a:solidFill>
            <a:srgbClr val="CCCCFF"/>
          </a:solidFill>
          <a:prstDash val="solid"/>
        </a:ln>
      </c:spPr>
    </c:plotArea>
    <c:legend>
      <c:legendPos val="r"/>
      <c:layout>
        <c:manualLayout>
          <c:xMode val="edge"/>
          <c:yMode val="edge"/>
          <c:x val="0.82651623202480573"/>
          <c:y val="0.37341021664835272"/>
          <c:w val="0.16071154950854838"/>
          <c:h val="0.2445172460517038"/>
        </c:manualLayout>
      </c:layout>
      <c:overlay val="0"/>
      <c:spPr>
        <a:solidFill>
          <a:srgbClr val="FFFFFF"/>
        </a:solidFill>
        <a:ln w="25400">
          <a:noFill/>
        </a:ln>
      </c:spPr>
      <c:txPr>
        <a:bodyPr/>
        <a:lstStyle/>
        <a:p>
          <a:pPr>
            <a:defRPr sz="85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20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355" footer="0.4921259845000035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pl-PL"/>
              <a:t>Transfero TI..0.2</a:t>
            </a:r>
          </a:p>
        </c:rich>
      </c:tx>
      <c:layout>
        <c:manualLayout>
          <c:xMode val="edge"/>
          <c:yMode val="edge"/>
          <c:x val="0.42943352153532194"/>
          <c:y val="2.8432209332612039E-2"/>
        </c:manualLayout>
      </c:layout>
      <c:overlay val="0"/>
      <c:spPr>
        <a:noFill/>
        <a:ln w="25400">
          <a:noFill/>
        </a:ln>
      </c:spPr>
    </c:title>
    <c:autoTitleDeleted val="0"/>
    <c:plotArea>
      <c:layout>
        <c:manualLayout>
          <c:layoutTarget val="inner"/>
          <c:xMode val="edge"/>
          <c:yMode val="edge"/>
          <c:x val="0.12062738017709686"/>
          <c:y val="0.11941544518057416"/>
          <c:w val="0.67068823378466746"/>
          <c:h val="0.73165653713813184"/>
        </c:manualLayout>
      </c:layout>
      <c:scatterChart>
        <c:scatterStyle val="smoothMarker"/>
        <c:varyColors val="0"/>
        <c:ser>
          <c:idx val="0"/>
          <c:order val="0"/>
          <c:tx>
            <c:strRef>
              <c:f>'[2]T Daten'!$A$164</c:f>
              <c:strCache>
                <c:ptCount val="1"/>
                <c:pt idx="0">
                  <c:v>TI 90.2</c:v>
                </c:pt>
              </c:strCache>
            </c:strRef>
          </c:tx>
          <c:spPr>
            <a:ln w="25400">
              <a:solidFill>
                <a:srgbClr val="FF0000"/>
              </a:solidFill>
              <a:prstDash val="solid"/>
            </a:ln>
          </c:spPr>
          <c:marker>
            <c:symbol val="none"/>
          </c:marker>
          <c:xVal>
            <c:numRef>
              <c:f>'[2]T Daten'!$C$164:$O$164</c:f>
              <c:numCache>
                <c:formatCode>General</c:formatCode>
                <c:ptCount val="13"/>
                <c:pt idx="0">
                  <c:v>0</c:v>
                </c:pt>
                <c:pt idx="1">
                  <c:v>3000</c:v>
                </c:pt>
                <c:pt idx="2">
                  <c:v>3000</c:v>
                </c:pt>
                <c:pt idx="3">
                  <c:v>3500</c:v>
                </c:pt>
                <c:pt idx="4">
                  <c:v>4000</c:v>
                </c:pt>
                <c:pt idx="5">
                  <c:v>4500</c:v>
                </c:pt>
                <c:pt idx="6">
                  <c:v>5000</c:v>
                </c:pt>
                <c:pt idx="7">
                  <c:v>5500</c:v>
                </c:pt>
                <c:pt idx="8">
                  <c:v>6000</c:v>
                </c:pt>
                <c:pt idx="9">
                  <c:v>6500</c:v>
                </c:pt>
                <c:pt idx="10">
                  <c:v>7000</c:v>
                </c:pt>
                <c:pt idx="11">
                  <c:v>7000</c:v>
                </c:pt>
                <c:pt idx="12">
                  <c:v>0</c:v>
                </c:pt>
              </c:numCache>
            </c:numRef>
          </c:xVal>
          <c:yVal>
            <c:numRef>
              <c:f>'[2]T Daten'!$C$165:$O$165</c:f>
              <c:numCache>
                <c:formatCode>General</c:formatCode>
                <c:ptCount val="13"/>
                <c:pt idx="0">
                  <c:v>7.9882536278700318</c:v>
                </c:pt>
                <c:pt idx="1">
                  <c:v>7.9882536278700318</c:v>
                </c:pt>
                <c:pt idx="2">
                  <c:v>7.9882536278700318</c:v>
                </c:pt>
                <c:pt idx="3">
                  <c:v>7.684181745214377</c:v>
                </c:pt>
                <c:pt idx="4">
                  <c:v>7.3219963159870236</c:v>
                </c:pt>
                <c:pt idx="5">
                  <c:v>6.9017228553151782</c:v>
                </c:pt>
                <c:pt idx="6">
                  <c:v>6.4233838397829111</c:v>
                </c:pt>
                <c:pt idx="7">
                  <c:v>5.8869993546804595</c:v>
                </c:pt>
                <c:pt idx="8">
                  <c:v>5.2925875540295095</c:v>
                </c:pt>
                <c:pt idx="9">
                  <c:v>4.6401649993523488</c:v>
                </c:pt>
                <c:pt idx="10">
                  <c:v>3.9297469164107204</c:v>
                </c:pt>
                <c:pt idx="11">
                  <c:v>2.75</c:v>
                </c:pt>
                <c:pt idx="12">
                  <c:v>2.75</c:v>
                </c:pt>
              </c:numCache>
            </c:numRef>
          </c:yVal>
          <c:smooth val="0"/>
          <c:extLst>
            <c:ext xmlns:c16="http://schemas.microsoft.com/office/drawing/2014/chart" uri="{C3380CC4-5D6E-409C-BE32-E72D297353CC}">
              <c16:uniqueId val="{00000000-5ECC-45CC-80F9-50F8DCD0AD6E}"/>
            </c:ext>
          </c:extLst>
        </c:ser>
        <c:ser>
          <c:idx val="1"/>
          <c:order val="1"/>
          <c:tx>
            <c:strRef>
              <c:f>'[2]T Daten'!$A$169</c:f>
              <c:strCache>
                <c:ptCount val="1"/>
                <c:pt idx="0">
                  <c:v>TI 120.2</c:v>
                </c:pt>
              </c:strCache>
            </c:strRef>
          </c:tx>
          <c:spPr>
            <a:ln w="25400">
              <a:solidFill>
                <a:srgbClr val="0000FF"/>
              </a:solidFill>
              <a:prstDash val="solid"/>
            </a:ln>
          </c:spPr>
          <c:marker>
            <c:symbol val="none"/>
          </c:marker>
          <c:xVal>
            <c:numRef>
              <c:f>'[2]T Daten'!$C$169:$O$169</c:f>
              <c:numCache>
                <c:formatCode>General</c:formatCode>
                <c:ptCount val="13"/>
                <c:pt idx="0">
                  <c:v>0</c:v>
                </c:pt>
                <c:pt idx="1">
                  <c:v>3060</c:v>
                </c:pt>
                <c:pt idx="2">
                  <c:v>3060</c:v>
                </c:pt>
                <c:pt idx="3">
                  <c:v>3552.5</c:v>
                </c:pt>
                <c:pt idx="4">
                  <c:v>4045</c:v>
                </c:pt>
                <c:pt idx="5">
                  <c:v>4537.5</c:v>
                </c:pt>
                <c:pt idx="6">
                  <c:v>5030</c:v>
                </c:pt>
                <c:pt idx="7">
                  <c:v>5522.5</c:v>
                </c:pt>
                <c:pt idx="8">
                  <c:v>6015</c:v>
                </c:pt>
                <c:pt idx="9">
                  <c:v>6507.5</c:v>
                </c:pt>
                <c:pt idx="10">
                  <c:v>7000</c:v>
                </c:pt>
                <c:pt idx="11">
                  <c:v>7000</c:v>
                </c:pt>
                <c:pt idx="12">
                  <c:v>0</c:v>
                </c:pt>
              </c:numCache>
            </c:numRef>
          </c:xVal>
          <c:yVal>
            <c:numRef>
              <c:f>'[2]T Daten'!$C$170:$O$170</c:f>
              <c:numCache>
                <c:formatCode>General</c:formatCode>
                <c:ptCount val="13"/>
                <c:pt idx="0">
                  <c:v>10.759980549612314</c:v>
                </c:pt>
                <c:pt idx="1">
                  <c:v>10.759980549612314</c:v>
                </c:pt>
                <c:pt idx="2">
                  <c:v>10.759980549612314</c:v>
                </c:pt>
                <c:pt idx="3">
                  <c:v>10.387828937810347</c:v>
                </c:pt>
                <c:pt idx="4">
                  <c:v>9.9444830921448535</c:v>
                </c:pt>
                <c:pt idx="5">
                  <c:v>9.4298079853899441</c:v>
                </c:pt>
                <c:pt idx="6">
                  <c:v>8.8436839027294862</c:v>
                </c:pt>
                <c:pt idx="7">
                  <c:v>8.1860032886841267</c:v>
                </c:pt>
                <c:pt idx="8">
                  <c:v>7.4566684811548365</c:v>
                </c:pt>
                <c:pt idx="9">
                  <c:v>6.655590027423588</c:v>
                </c:pt>
                <c:pt idx="10">
                  <c:v>5.7826853980414494</c:v>
                </c:pt>
                <c:pt idx="11">
                  <c:v>3.05</c:v>
                </c:pt>
                <c:pt idx="12">
                  <c:v>3.05</c:v>
                </c:pt>
              </c:numCache>
            </c:numRef>
          </c:yVal>
          <c:smooth val="0"/>
          <c:extLst>
            <c:ext xmlns:c16="http://schemas.microsoft.com/office/drawing/2014/chart" uri="{C3380CC4-5D6E-409C-BE32-E72D297353CC}">
              <c16:uniqueId val="{00000001-5ECC-45CC-80F9-50F8DCD0AD6E}"/>
            </c:ext>
          </c:extLst>
        </c:ser>
        <c:ser>
          <c:idx val="2"/>
          <c:order val="2"/>
          <c:tx>
            <c:strRef>
              <c:f>'[2]T Daten'!$A$174</c:f>
              <c:strCache>
                <c:ptCount val="1"/>
                <c:pt idx="0">
                  <c:v>TI 150.2</c:v>
                </c:pt>
              </c:strCache>
            </c:strRef>
          </c:tx>
          <c:spPr>
            <a:ln w="25400">
              <a:solidFill>
                <a:srgbClr val="FFFF00"/>
              </a:solidFill>
              <a:prstDash val="solid"/>
            </a:ln>
          </c:spPr>
          <c:marker>
            <c:symbol val="none"/>
          </c:marker>
          <c:xVal>
            <c:numRef>
              <c:f>'[2]T Daten'!$C$174:$O$174</c:f>
              <c:numCache>
                <c:formatCode>General</c:formatCode>
                <c:ptCount val="13"/>
                <c:pt idx="0">
                  <c:v>0</c:v>
                </c:pt>
                <c:pt idx="1">
                  <c:v>2870</c:v>
                </c:pt>
                <c:pt idx="2">
                  <c:v>2870</c:v>
                </c:pt>
                <c:pt idx="3">
                  <c:v>3386.25</c:v>
                </c:pt>
                <c:pt idx="4">
                  <c:v>3902.5</c:v>
                </c:pt>
                <c:pt idx="5">
                  <c:v>4418.75</c:v>
                </c:pt>
                <c:pt idx="6">
                  <c:v>4935</c:v>
                </c:pt>
                <c:pt idx="7">
                  <c:v>5451.25</c:v>
                </c:pt>
                <c:pt idx="8">
                  <c:v>5967.5</c:v>
                </c:pt>
                <c:pt idx="9">
                  <c:v>6483.75</c:v>
                </c:pt>
                <c:pt idx="10">
                  <c:v>7000</c:v>
                </c:pt>
                <c:pt idx="11">
                  <c:v>7000</c:v>
                </c:pt>
                <c:pt idx="12">
                  <c:v>0</c:v>
                </c:pt>
              </c:numCache>
            </c:numRef>
          </c:xVal>
          <c:yVal>
            <c:numRef>
              <c:f>'[2]T Daten'!$C$175:$O$175</c:f>
              <c:numCache>
                <c:formatCode>General</c:formatCode>
                <c:ptCount val="13"/>
                <c:pt idx="0">
                  <c:v>14.536897767549004</c:v>
                </c:pt>
                <c:pt idx="1">
                  <c:v>14.536897767549004</c:v>
                </c:pt>
                <c:pt idx="2">
                  <c:v>14.536897767549004</c:v>
                </c:pt>
                <c:pt idx="3">
                  <c:v>14.054227772216294</c:v>
                </c:pt>
                <c:pt idx="4">
                  <c:v>13.462457032222575</c:v>
                </c:pt>
                <c:pt idx="5">
                  <c:v>12.761044203480585</c:v>
                </c:pt>
                <c:pt idx="6">
                  <c:v>11.949512486105895</c:v>
                </c:pt>
                <c:pt idx="7">
                  <c:v>11.027435544902101</c:v>
                </c:pt>
                <c:pt idx="8">
                  <c:v>9.9944276194753172</c:v>
                </c:pt>
                <c:pt idx="9">
                  <c:v>8.850136304377239</c:v>
                </c:pt>
                <c:pt idx="10">
                  <c:v>7.5942371134239401</c:v>
                </c:pt>
                <c:pt idx="11">
                  <c:v>6.7</c:v>
                </c:pt>
                <c:pt idx="12">
                  <c:v>6.7</c:v>
                </c:pt>
              </c:numCache>
            </c:numRef>
          </c:yVal>
          <c:smooth val="0"/>
          <c:extLst>
            <c:ext xmlns:c16="http://schemas.microsoft.com/office/drawing/2014/chart" uri="{C3380CC4-5D6E-409C-BE32-E72D297353CC}">
              <c16:uniqueId val="{00000002-5ECC-45CC-80F9-50F8DCD0AD6E}"/>
            </c:ext>
          </c:extLst>
        </c:ser>
        <c:ser>
          <c:idx val="3"/>
          <c:order val="3"/>
          <c:tx>
            <c:strRef>
              <c:f>'[2]T Daten'!$A$179</c:f>
              <c:strCache>
                <c:ptCount val="1"/>
                <c:pt idx="0">
                  <c:v>TI 190.2</c:v>
                </c:pt>
              </c:strCache>
            </c:strRef>
          </c:tx>
          <c:spPr>
            <a:ln w="25400">
              <a:solidFill>
                <a:srgbClr val="008000"/>
              </a:solidFill>
              <a:prstDash val="solid"/>
            </a:ln>
          </c:spPr>
          <c:marker>
            <c:symbol val="none"/>
          </c:marker>
          <c:xVal>
            <c:numRef>
              <c:f>'[2]T Daten'!$C$179:$O$179</c:f>
              <c:numCache>
                <c:formatCode>General</c:formatCode>
                <c:ptCount val="13"/>
                <c:pt idx="0">
                  <c:v>0</c:v>
                </c:pt>
                <c:pt idx="1">
                  <c:v>4005</c:v>
                </c:pt>
                <c:pt idx="2">
                  <c:v>4005</c:v>
                </c:pt>
                <c:pt idx="3">
                  <c:v>4379.375</c:v>
                </c:pt>
                <c:pt idx="4">
                  <c:v>4753.75</c:v>
                </c:pt>
                <c:pt idx="5">
                  <c:v>5128.125</c:v>
                </c:pt>
                <c:pt idx="6">
                  <c:v>5502.5</c:v>
                </c:pt>
                <c:pt idx="7">
                  <c:v>5876.875</c:v>
                </c:pt>
                <c:pt idx="8">
                  <c:v>6251.25</c:v>
                </c:pt>
                <c:pt idx="9">
                  <c:v>6625.625</c:v>
                </c:pt>
                <c:pt idx="10">
                  <c:v>7000</c:v>
                </c:pt>
                <c:pt idx="11">
                  <c:v>7000</c:v>
                </c:pt>
                <c:pt idx="12">
                  <c:v>0</c:v>
                </c:pt>
              </c:numCache>
            </c:numRef>
          </c:xVal>
          <c:yVal>
            <c:numRef>
              <c:f>'[2]T Daten'!$C$180:$O$180</c:f>
              <c:numCache>
                <c:formatCode>General</c:formatCode>
                <c:ptCount val="13"/>
                <c:pt idx="0">
                  <c:v>16.454350849914665</c:v>
                </c:pt>
                <c:pt idx="1">
                  <c:v>16.454350849914665</c:v>
                </c:pt>
                <c:pt idx="2">
                  <c:v>16.454350849914665</c:v>
                </c:pt>
                <c:pt idx="3">
                  <c:v>15.981713699446322</c:v>
                </c:pt>
                <c:pt idx="4">
                  <c:v>15.452031222761308</c:v>
                </c:pt>
                <c:pt idx="5">
                  <c:v>14.864978772373934</c:v>
                </c:pt>
                <c:pt idx="6">
                  <c:v>14.220254467744645</c:v>
                </c:pt>
                <c:pt idx="7">
                  <c:v>13.517576095233748</c:v>
                </c:pt>
                <c:pt idx="8">
                  <c:v>12.756678608186744</c:v>
                </c:pt>
                <c:pt idx="9">
                  <c:v>11.937312080737513</c:v>
                </c:pt>
                <c:pt idx="10">
                  <c:v>11.05924001115946</c:v>
                </c:pt>
                <c:pt idx="11">
                  <c:v>8.1999999999999993</c:v>
                </c:pt>
                <c:pt idx="12">
                  <c:v>8.1999999999999993</c:v>
                </c:pt>
              </c:numCache>
            </c:numRef>
          </c:yVal>
          <c:smooth val="0"/>
          <c:extLst>
            <c:ext xmlns:c16="http://schemas.microsoft.com/office/drawing/2014/chart" uri="{C3380CC4-5D6E-409C-BE32-E72D297353CC}">
              <c16:uniqueId val="{00000003-5ECC-45CC-80F9-50F8DCD0AD6E}"/>
            </c:ext>
          </c:extLst>
        </c:ser>
        <c:ser>
          <c:idx val="5"/>
          <c:order val="4"/>
          <c:tx>
            <c:strRef>
              <c:f>'[2]T Daten'!$A$184</c:f>
              <c:strCache>
                <c:ptCount val="1"/>
                <c:pt idx="0">
                  <c:v>TI 230.2</c:v>
                </c:pt>
              </c:strCache>
            </c:strRef>
          </c:tx>
          <c:spPr>
            <a:ln w="25400">
              <a:solidFill>
                <a:srgbClr val="800000"/>
              </a:solidFill>
              <a:prstDash val="solid"/>
            </a:ln>
          </c:spPr>
          <c:marker>
            <c:symbol val="none"/>
          </c:marker>
          <c:xVal>
            <c:numRef>
              <c:f>'[2]T Daten'!$C$184:$O$184</c:f>
              <c:numCache>
                <c:formatCode>General</c:formatCode>
                <c:ptCount val="13"/>
                <c:pt idx="0">
                  <c:v>0</c:v>
                </c:pt>
                <c:pt idx="1">
                  <c:v>4000</c:v>
                </c:pt>
                <c:pt idx="2">
                  <c:v>4000</c:v>
                </c:pt>
                <c:pt idx="3">
                  <c:v>4375</c:v>
                </c:pt>
                <c:pt idx="4">
                  <c:v>4750</c:v>
                </c:pt>
                <c:pt idx="5">
                  <c:v>5125</c:v>
                </c:pt>
                <c:pt idx="6">
                  <c:v>5500</c:v>
                </c:pt>
                <c:pt idx="7">
                  <c:v>5875</c:v>
                </c:pt>
                <c:pt idx="8">
                  <c:v>6250</c:v>
                </c:pt>
                <c:pt idx="9">
                  <c:v>6625</c:v>
                </c:pt>
                <c:pt idx="10">
                  <c:v>7000</c:v>
                </c:pt>
                <c:pt idx="11">
                  <c:v>7000</c:v>
                </c:pt>
                <c:pt idx="12">
                  <c:v>0</c:v>
                </c:pt>
              </c:numCache>
            </c:numRef>
          </c:xVal>
          <c:yVal>
            <c:numRef>
              <c:f>'[2]T Daten'!$C$185:$O$185</c:f>
              <c:numCache>
                <c:formatCode>General</c:formatCode>
                <c:ptCount val="13"/>
                <c:pt idx="0">
                  <c:v>20.551853745645371</c:v>
                </c:pt>
                <c:pt idx="1">
                  <c:v>20.551853745645371</c:v>
                </c:pt>
                <c:pt idx="2">
                  <c:v>20.551853745645371</c:v>
                </c:pt>
                <c:pt idx="3">
                  <c:v>19.999669364491758</c:v>
                </c:pt>
                <c:pt idx="4">
                  <c:v>19.379577482643807</c:v>
                </c:pt>
                <c:pt idx="5">
                  <c:v>18.691081344868692</c:v>
                </c:pt>
                <c:pt idx="6">
                  <c:v>17.933718382280993</c:v>
                </c:pt>
                <c:pt idx="7">
                  <c:v>17.107055592346455</c:v>
                </c:pt>
                <c:pt idx="8">
                  <c:v>16.210685809582181</c:v>
                </c:pt>
                <c:pt idx="9">
                  <c:v>15.244224650198731</c:v>
                </c:pt>
                <c:pt idx="10">
                  <c:v>14.207307976365803</c:v>
                </c:pt>
                <c:pt idx="11">
                  <c:v>9.1999999999999993</c:v>
                </c:pt>
                <c:pt idx="12">
                  <c:v>9.1999999999999993</c:v>
                </c:pt>
              </c:numCache>
            </c:numRef>
          </c:yVal>
          <c:smooth val="0"/>
          <c:extLst>
            <c:ext xmlns:c16="http://schemas.microsoft.com/office/drawing/2014/chart" uri="{C3380CC4-5D6E-409C-BE32-E72D297353CC}">
              <c16:uniqueId val="{00000004-5ECC-45CC-80F9-50F8DCD0AD6E}"/>
            </c:ext>
          </c:extLst>
        </c:ser>
        <c:ser>
          <c:idx val="4"/>
          <c:order val="5"/>
          <c:tx>
            <c:v>Arbeitspunkt</c:v>
          </c:tx>
          <c:spPr>
            <a:ln w="12700">
              <a:solidFill>
                <a:srgbClr val="800080"/>
              </a:solidFill>
              <a:prstDash val="solid"/>
            </a:ln>
          </c:spPr>
          <c:marker>
            <c:symbol val="diamond"/>
            <c:size val="10"/>
            <c:spPr>
              <a:solidFill>
                <a:srgbClr val="000000"/>
              </a:solidFill>
              <a:ln>
                <a:solidFill>
                  <a:srgbClr val="800080"/>
                </a:solidFill>
                <a:prstDash val="solid"/>
              </a:ln>
            </c:spPr>
          </c:marker>
          <c:xVal>
            <c:numRef>
              <c:f>'T Auswahl'!$P$23</c:f>
              <c:numCache>
                <c:formatCode>General</c:formatCode>
                <c:ptCount val="1"/>
                <c:pt idx="0">
                  <c:v>1739.52</c:v>
                </c:pt>
              </c:numCache>
            </c:numRef>
          </c:xVal>
          <c:yVal>
            <c:numRef>
              <c:f>'T Auswahl'!$P$20</c:f>
              <c:numCache>
                <c:formatCode>0.0</c:formatCode>
                <c:ptCount val="1"/>
                <c:pt idx="0">
                  <c:v>3.4284000000000003</c:v>
                </c:pt>
              </c:numCache>
            </c:numRef>
          </c:yVal>
          <c:smooth val="1"/>
          <c:extLst>
            <c:ext xmlns:c16="http://schemas.microsoft.com/office/drawing/2014/chart" uri="{C3380CC4-5D6E-409C-BE32-E72D297353CC}">
              <c16:uniqueId val="{00000005-5ECC-45CC-80F9-50F8DCD0AD6E}"/>
            </c:ext>
          </c:extLst>
        </c:ser>
        <c:dLbls>
          <c:showLegendKey val="0"/>
          <c:showVal val="0"/>
          <c:showCatName val="0"/>
          <c:showSerName val="0"/>
          <c:showPercent val="0"/>
          <c:showBubbleSize val="0"/>
        </c:dLbls>
        <c:axId val="352300480"/>
        <c:axId val="352301040"/>
      </c:scatterChart>
      <c:valAx>
        <c:axId val="352300480"/>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0" i="0" u="none" strike="noStrike" baseline="0">
                    <a:solidFill>
                      <a:srgbClr val="000000"/>
                    </a:solidFill>
                    <a:latin typeface="Arial"/>
                    <a:ea typeface="Arial"/>
                    <a:cs typeface="Arial"/>
                  </a:defRPr>
                </a:pPr>
                <a:r>
                  <a:rPr lang="pl-PL"/>
                  <a:t>VD l/h</a:t>
                </a:r>
              </a:p>
            </c:rich>
          </c:tx>
          <c:layout>
            <c:manualLayout>
              <c:xMode val="edge"/>
              <c:yMode val="edge"/>
              <c:x val="0.42702098150670137"/>
              <c:y val="0.919309370679817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352301040"/>
        <c:crosses val="autoZero"/>
        <c:crossBetween val="midCat"/>
      </c:valAx>
      <c:valAx>
        <c:axId val="352301040"/>
        <c:scaling>
          <c:orientation val="minMax"/>
        </c:scaling>
        <c:delete val="0"/>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pl-PL"/>
                  <a:t>Pman bar</a:t>
                </a:r>
              </a:p>
            </c:rich>
          </c:tx>
          <c:layout>
            <c:manualLayout>
              <c:xMode val="edge"/>
              <c:yMode val="edge"/>
              <c:x val="2.1712987206707991E-2"/>
              <c:y val="0.415110897397374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352300480"/>
        <c:crosses val="autoZero"/>
        <c:crossBetween val="midCat"/>
        <c:majorUnit val="2"/>
      </c:valAx>
      <c:spPr>
        <a:solidFill>
          <a:srgbClr val="CCCCFF"/>
        </a:solidFill>
        <a:ln w="12700">
          <a:solidFill>
            <a:srgbClr val="CCCCFF"/>
          </a:solidFill>
          <a:prstDash val="solid"/>
        </a:ln>
      </c:spPr>
    </c:plotArea>
    <c:legend>
      <c:legendPos val="r"/>
      <c:layout>
        <c:manualLayout>
          <c:xMode val="edge"/>
          <c:yMode val="edge"/>
          <c:x val="0.83484853389698765"/>
          <c:y val="0.35794794734627638"/>
          <c:w val="0.15947900103781118"/>
          <c:h val="0.29083268217427666"/>
        </c:manualLayout>
      </c:layout>
      <c:overlay val="0"/>
      <c:spPr>
        <a:solidFill>
          <a:srgbClr val="FFFFFF"/>
        </a:solidFill>
        <a:ln w="25400">
          <a:noFill/>
        </a:ln>
      </c:spPr>
      <c:txPr>
        <a:bodyPr/>
        <a:lstStyle/>
        <a:p>
          <a:pPr>
            <a:defRPr sz="85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1200"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355" footer="0.4921259845000035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pl-PL"/>
              <a:t>Transfero TI..1.2</a:t>
            </a:r>
          </a:p>
        </c:rich>
      </c:tx>
      <c:layout>
        <c:manualLayout>
          <c:xMode val="edge"/>
          <c:yMode val="edge"/>
          <c:x val="0.42608537623991855"/>
          <c:y val="2.5933255288099661E-2"/>
        </c:manualLayout>
      </c:layout>
      <c:overlay val="0"/>
      <c:spPr>
        <a:noFill/>
        <a:ln w="25400">
          <a:noFill/>
        </a:ln>
      </c:spPr>
    </c:title>
    <c:autoTitleDeleted val="0"/>
    <c:plotArea>
      <c:layout>
        <c:manualLayout>
          <c:layoutTarget val="inner"/>
          <c:xMode val="edge"/>
          <c:yMode val="edge"/>
          <c:x val="0.11459589867310012"/>
          <c:y val="0.11201629327902242"/>
          <c:w val="0.68275030156815464"/>
          <c:h val="0.73727087576374761"/>
        </c:manualLayout>
      </c:layout>
      <c:scatterChart>
        <c:scatterStyle val="smoothMarker"/>
        <c:varyColors val="0"/>
        <c:ser>
          <c:idx val="0"/>
          <c:order val="0"/>
          <c:tx>
            <c:strRef>
              <c:f>'[2]T Daten'!$A$189</c:f>
              <c:strCache>
                <c:ptCount val="1"/>
                <c:pt idx="0">
                  <c:v>TI 61.2</c:v>
                </c:pt>
              </c:strCache>
            </c:strRef>
          </c:tx>
          <c:spPr>
            <a:ln w="25400">
              <a:solidFill>
                <a:srgbClr val="FF0000"/>
              </a:solidFill>
              <a:prstDash val="solid"/>
            </a:ln>
          </c:spPr>
          <c:marker>
            <c:symbol val="none"/>
          </c:marker>
          <c:xVal>
            <c:numRef>
              <c:f>'[2]T Daten'!$C$189:$O$189</c:f>
              <c:numCache>
                <c:formatCode>General</c:formatCode>
                <c:ptCount val="13"/>
                <c:pt idx="0">
                  <c:v>0</c:v>
                </c:pt>
                <c:pt idx="1">
                  <c:v>3250</c:v>
                </c:pt>
                <c:pt idx="2">
                  <c:v>3250</c:v>
                </c:pt>
                <c:pt idx="3">
                  <c:v>4218.75</c:v>
                </c:pt>
                <c:pt idx="4">
                  <c:v>5187.5</c:v>
                </c:pt>
                <c:pt idx="5">
                  <c:v>6156.25</c:v>
                </c:pt>
                <c:pt idx="6">
                  <c:v>7125</c:v>
                </c:pt>
                <c:pt idx="7">
                  <c:v>8093.75</c:v>
                </c:pt>
                <c:pt idx="8">
                  <c:v>9062.5</c:v>
                </c:pt>
                <c:pt idx="9">
                  <c:v>10031.25</c:v>
                </c:pt>
                <c:pt idx="10">
                  <c:v>11000</c:v>
                </c:pt>
                <c:pt idx="11">
                  <c:v>11000</c:v>
                </c:pt>
                <c:pt idx="12">
                  <c:v>0</c:v>
                </c:pt>
              </c:numCache>
            </c:numRef>
          </c:xVal>
          <c:yVal>
            <c:numRef>
              <c:f>'[2]T Daten'!$C$190:$O$190</c:f>
              <c:numCache>
                <c:formatCode>General</c:formatCode>
                <c:ptCount val="13"/>
                <c:pt idx="0">
                  <c:v>4.2019690386515158</c:v>
                </c:pt>
                <c:pt idx="1">
                  <c:v>4.2019690386515158</c:v>
                </c:pt>
                <c:pt idx="2">
                  <c:v>4.2019690386515158</c:v>
                </c:pt>
                <c:pt idx="3">
                  <c:v>4.0124723148395756</c:v>
                </c:pt>
                <c:pt idx="4">
                  <c:v>3.7988607268955059</c:v>
                </c:pt>
                <c:pt idx="5">
                  <c:v>3.5611178451535865</c:v>
                </c:pt>
                <c:pt idx="6">
                  <c:v>3.2992300798930945</c:v>
                </c:pt>
                <c:pt idx="7">
                  <c:v>3.0131858380812302</c:v>
                </c:pt>
                <c:pt idx="8">
                  <c:v>2.7029750086983051</c:v>
                </c:pt>
                <c:pt idx="9">
                  <c:v>2.3685886250200552</c:v>
                </c:pt>
                <c:pt idx="10">
                  <c:v>2.0100186308643493</c:v>
                </c:pt>
                <c:pt idx="11">
                  <c:v>2</c:v>
                </c:pt>
                <c:pt idx="12">
                  <c:v>2</c:v>
                </c:pt>
              </c:numCache>
            </c:numRef>
          </c:yVal>
          <c:smooth val="0"/>
          <c:extLst>
            <c:ext xmlns:c16="http://schemas.microsoft.com/office/drawing/2014/chart" uri="{C3380CC4-5D6E-409C-BE32-E72D297353CC}">
              <c16:uniqueId val="{00000000-854F-41EF-8F50-DD926B50B2F2}"/>
            </c:ext>
          </c:extLst>
        </c:ser>
        <c:ser>
          <c:idx val="1"/>
          <c:order val="1"/>
          <c:tx>
            <c:strRef>
              <c:f>'[2]T Daten'!$A$194</c:f>
              <c:strCache>
                <c:ptCount val="1"/>
                <c:pt idx="0">
                  <c:v>TI 91.2</c:v>
                </c:pt>
              </c:strCache>
            </c:strRef>
          </c:tx>
          <c:spPr>
            <a:ln w="25400">
              <a:solidFill>
                <a:srgbClr val="0000FF"/>
              </a:solidFill>
              <a:prstDash val="solid"/>
            </a:ln>
          </c:spPr>
          <c:marker>
            <c:symbol val="none"/>
          </c:marker>
          <c:xVal>
            <c:numRef>
              <c:f>'[2]T Daten'!$C$194:$O$194</c:f>
              <c:numCache>
                <c:formatCode>General</c:formatCode>
                <c:ptCount val="13"/>
                <c:pt idx="0">
                  <c:v>0</c:v>
                </c:pt>
                <c:pt idx="1">
                  <c:v>2140</c:v>
                </c:pt>
                <c:pt idx="2">
                  <c:v>2140</c:v>
                </c:pt>
                <c:pt idx="3">
                  <c:v>3435</c:v>
                </c:pt>
                <c:pt idx="4">
                  <c:v>4730</c:v>
                </c:pt>
                <c:pt idx="5">
                  <c:v>6025</c:v>
                </c:pt>
                <c:pt idx="6">
                  <c:v>7320</c:v>
                </c:pt>
                <c:pt idx="7">
                  <c:v>8615</c:v>
                </c:pt>
                <c:pt idx="8">
                  <c:v>9910</c:v>
                </c:pt>
                <c:pt idx="9">
                  <c:v>11205</c:v>
                </c:pt>
                <c:pt idx="10">
                  <c:v>12500</c:v>
                </c:pt>
                <c:pt idx="11">
                  <c:v>12500</c:v>
                </c:pt>
                <c:pt idx="12">
                  <c:v>0</c:v>
                </c:pt>
              </c:numCache>
            </c:numRef>
          </c:xVal>
          <c:yVal>
            <c:numRef>
              <c:f>'[2]T Daten'!$C$195:$O$195</c:f>
              <c:numCache>
                <c:formatCode>General</c:formatCode>
                <c:ptCount val="13"/>
                <c:pt idx="0">
                  <c:v>8.0000502222222227</c:v>
                </c:pt>
                <c:pt idx="1">
                  <c:v>8.0000502222222227</c:v>
                </c:pt>
                <c:pt idx="2">
                  <c:v>8.0000502222222227</c:v>
                </c:pt>
                <c:pt idx="3">
                  <c:v>7.6367667500000005</c:v>
                </c:pt>
                <c:pt idx="4">
                  <c:v>7.2250358888888888</c:v>
                </c:pt>
                <c:pt idx="5">
                  <c:v>6.7648576388888895</c:v>
                </c:pt>
                <c:pt idx="6">
                  <c:v>6.2562320000000007</c:v>
                </c:pt>
                <c:pt idx="7">
                  <c:v>5.6991589722222216</c:v>
                </c:pt>
                <c:pt idx="8">
                  <c:v>5.0936385555555557</c:v>
                </c:pt>
                <c:pt idx="9">
                  <c:v>4.4396707499999994</c:v>
                </c:pt>
                <c:pt idx="10">
                  <c:v>3.7372555555555556</c:v>
                </c:pt>
                <c:pt idx="11">
                  <c:v>3</c:v>
                </c:pt>
                <c:pt idx="12">
                  <c:v>3</c:v>
                </c:pt>
              </c:numCache>
            </c:numRef>
          </c:yVal>
          <c:smooth val="0"/>
          <c:extLst>
            <c:ext xmlns:c16="http://schemas.microsoft.com/office/drawing/2014/chart" uri="{C3380CC4-5D6E-409C-BE32-E72D297353CC}">
              <c16:uniqueId val="{00000001-854F-41EF-8F50-DD926B50B2F2}"/>
            </c:ext>
          </c:extLst>
        </c:ser>
        <c:ser>
          <c:idx val="2"/>
          <c:order val="2"/>
          <c:tx>
            <c:strRef>
              <c:f>'[2]T Daten'!$A$199</c:f>
              <c:strCache>
                <c:ptCount val="1"/>
                <c:pt idx="0">
                  <c:v>TI 111.2</c:v>
                </c:pt>
              </c:strCache>
            </c:strRef>
          </c:tx>
          <c:spPr>
            <a:ln w="25400">
              <a:solidFill>
                <a:srgbClr val="FFFF00"/>
              </a:solidFill>
              <a:prstDash val="solid"/>
            </a:ln>
          </c:spPr>
          <c:marker>
            <c:symbol val="none"/>
          </c:marker>
          <c:xVal>
            <c:numRef>
              <c:f>'[2]T Daten'!$C$199:$O$199</c:f>
              <c:numCache>
                <c:formatCode>General</c:formatCode>
                <c:ptCount val="13"/>
                <c:pt idx="0">
                  <c:v>0</c:v>
                </c:pt>
                <c:pt idx="1">
                  <c:v>4550</c:v>
                </c:pt>
                <c:pt idx="2">
                  <c:v>4550</c:v>
                </c:pt>
                <c:pt idx="3">
                  <c:v>5856.25</c:v>
                </c:pt>
                <c:pt idx="4">
                  <c:v>7162.5</c:v>
                </c:pt>
                <c:pt idx="5">
                  <c:v>8468.75</c:v>
                </c:pt>
                <c:pt idx="6">
                  <c:v>9775</c:v>
                </c:pt>
                <c:pt idx="7">
                  <c:v>11081.25</c:v>
                </c:pt>
                <c:pt idx="8">
                  <c:v>12387.5</c:v>
                </c:pt>
                <c:pt idx="9">
                  <c:v>13693.75</c:v>
                </c:pt>
                <c:pt idx="10">
                  <c:v>15000</c:v>
                </c:pt>
                <c:pt idx="11">
                  <c:v>15000</c:v>
                </c:pt>
                <c:pt idx="12">
                  <c:v>0</c:v>
                </c:pt>
              </c:numCache>
            </c:numRef>
          </c:xVal>
          <c:yVal>
            <c:numRef>
              <c:f>'[2]T Daten'!$C$200:$O$200</c:f>
              <c:numCache>
                <c:formatCode>General</c:formatCode>
                <c:ptCount val="13"/>
                <c:pt idx="0">
                  <c:v>10.273308332472126</c:v>
                </c:pt>
                <c:pt idx="1">
                  <c:v>10.273308332472126</c:v>
                </c:pt>
                <c:pt idx="2">
                  <c:v>10.273308332472126</c:v>
                </c:pt>
                <c:pt idx="3">
                  <c:v>9.8707190697244211</c:v>
                </c:pt>
                <c:pt idx="4">
                  <c:v>9.3574821737842981</c:v>
                </c:pt>
                <c:pt idx="5">
                  <c:v>8.7323470587886707</c:v>
                </c:pt>
                <c:pt idx="6">
                  <c:v>7.9942597818692436</c:v>
                </c:pt>
                <c:pt idx="7">
                  <c:v>7.1423076265058372</c:v>
                </c:pt>
                <c:pt idx="8">
                  <c:v>6.1756844849990662</c:v>
                </c:pt>
                <c:pt idx="9">
                  <c:v>5.0936677228604585</c:v>
                </c:pt>
                <c:pt idx="10">
                  <c:v>3.8956019217896447</c:v>
                </c:pt>
                <c:pt idx="11">
                  <c:v>2.65</c:v>
                </c:pt>
                <c:pt idx="12">
                  <c:v>2.65</c:v>
                </c:pt>
              </c:numCache>
            </c:numRef>
          </c:yVal>
          <c:smooth val="0"/>
          <c:extLst>
            <c:ext xmlns:c16="http://schemas.microsoft.com/office/drawing/2014/chart" uri="{C3380CC4-5D6E-409C-BE32-E72D297353CC}">
              <c16:uniqueId val="{00000002-854F-41EF-8F50-DD926B50B2F2}"/>
            </c:ext>
          </c:extLst>
        </c:ser>
        <c:ser>
          <c:idx val="3"/>
          <c:order val="3"/>
          <c:tx>
            <c:strRef>
              <c:f>'[2]T Daten'!$A$204</c:f>
              <c:strCache>
                <c:ptCount val="1"/>
                <c:pt idx="0">
                  <c:v>TI 161.2</c:v>
                </c:pt>
              </c:strCache>
            </c:strRef>
          </c:tx>
          <c:spPr>
            <a:ln w="25400">
              <a:solidFill>
                <a:srgbClr val="008000"/>
              </a:solidFill>
              <a:prstDash val="solid"/>
            </a:ln>
          </c:spPr>
          <c:marker>
            <c:symbol val="none"/>
          </c:marker>
          <c:xVal>
            <c:numRef>
              <c:f>'[2]T Daten'!$C$204:$O$204</c:f>
              <c:numCache>
                <c:formatCode>General</c:formatCode>
                <c:ptCount val="13"/>
                <c:pt idx="0">
                  <c:v>0</c:v>
                </c:pt>
                <c:pt idx="1">
                  <c:v>5340</c:v>
                </c:pt>
                <c:pt idx="2">
                  <c:v>5340</c:v>
                </c:pt>
                <c:pt idx="3">
                  <c:v>6547.5</c:v>
                </c:pt>
                <c:pt idx="4">
                  <c:v>7755</c:v>
                </c:pt>
                <c:pt idx="5">
                  <c:v>8962.5</c:v>
                </c:pt>
                <c:pt idx="6">
                  <c:v>10170</c:v>
                </c:pt>
                <c:pt idx="7">
                  <c:v>11377.5</c:v>
                </c:pt>
                <c:pt idx="8">
                  <c:v>12585</c:v>
                </c:pt>
                <c:pt idx="9">
                  <c:v>13792.5</c:v>
                </c:pt>
                <c:pt idx="10">
                  <c:v>15000</c:v>
                </c:pt>
                <c:pt idx="11">
                  <c:v>15000</c:v>
                </c:pt>
                <c:pt idx="12">
                  <c:v>0</c:v>
                </c:pt>
              </c:numCache>
            </c:numRef>
          </c:xVal>
          <c:yVal>
            <c:numRef>
              <c:f>'[2]T Daten'!$C$205:$O$205</c:f>
              <c:numCache>
                <c:formatCode>General</c:formatCode>
                <c:ptCount val="13"/>
                <c:pt idx="0">
                  <c:v>14.207178979607678</c:v>
                </c:pt>
                <c:pt idx="1">
                  <c:v>14.207178979607678</c:v>
                </c:pt>
                <c:pt idx="2">
                  <c:v>14.207178979607678</c:v>
                </c:pt>
                <c:pt idx="3">
                  <c:v>13.651361239032052</c:v>
                </c:pt>
                <c:pt idx="4">
                  <c:v>12.969848410672187</c:v>
                </c:pt>
                <c:pt idx="5">
                  <c:v>12.163295125289697</c:v>
                </c:pt>
                <c:pt idx="6">
                  <c:v>11.232256804133156</c:v>
                </c:pt>
                <c:pt idx="7">
                  <c:v>10.177215503962715</c:v>
                </c:pt>
                <c:pt idx="8">
                  <c:v>8.9985968366237827</c:v>
                </c:pt>
                <c:pt idx="9">
                  <c:v>7.6967816510415883</c:v>
                </c:pt>
                <c:pt idx="10">
                  <c:v>6.2721144372953823</c:v>
                </c:pt>
                <c:pt idx="11">
                  <c:v>3.2</c:v>
                </c:pt>
                <c:pt idx="12">
                  <c:v>3.2</c:v>
                </c:pt>
              </c:numCache>
            </c:numRef>
          </c:yVal>
          <c:smooth val="0"/>
          <c:extLst>
            <c:ext xmlns:c16="http://schemas.microsoft.com/office/drawing/2014/chart" uri="{C3380CC4-5D6E-409C-BE32-E72D297353CC}">
              <c16:uniqueId val="{00000003-854F-41EF-8F50-DD926B50B2F2}"/>
            </c:ext>
          </c:extLst>
        </c:ser>
        <c:ser>
          <c:idx val="5"/>
          <c:order val="4"/>
          <c:tx>
            <c:strRef>
              <c:f>'[2]T Daten'!$A$209</c:f>
              <c:strCache>
                <c:ptCount val="1"/>
                <c:pt idx="0">
                  <c:v>TI 191.2</c:v>
                </c:pt>
              </c:strCache>
            </c:strRef>
          </c:tx>
          <c:spPr>
            <a:ln w="25400">
              <a:solidFill>
                <a:srgbClr val="800000"/>
              </a:solidFill>
              <a:prstDash val="solid"/>
            </a:ln>
          </c:spPr>
          <c:marker>
            <c:symbol val="none"/>
          </c:marker>
          <c:xVal>
            <c:numRef>
              <c:f>'[2]T Daten'!$C$209:$O$209</c:f>
              <c:numCache>
                <c:formatCode>General</c:formatCode>
                <c:ptCount val="13"/>
                <c:pt idx="0">
                  <c:v>0</c:v>
                </c:pt>
                <c:pt idx="1">
                  <c:v>6290</c:v>
                </c:pt>
                <c:pt idx="2">
                  <c:v>6290</c:v>
                </c:pt>
                <c:pt idx="3">
                  <c:v>7378.75</c:v>
                </c:pt>
                <c:pt idx="4">
                  <c:v>8467.5</c:v>
                </c:pt>
                <c:pt idx="5">
                  <c:v>9556.25</c:v>
                </c:pt>
                <c:pt idx="6">
                  <c:v>10645</c:v>
                </c:pt>
                <c:pt idx="7">
                  <c:v>11733.75</c:v>
                </c:pt>
                <c:pt idx="8">
                  <c:v>12822.5</c:v>
                </c:pt>
                <c:pt idx="9">
                  <c:v>13911.25</c:v>
                </c:pt>
                <c:pt idx="10">
                  <c:v>15000</c:v>
                </c:pt>
                <c:pt idx="11">
                  <c:v>15000</c:v>
                </c:pt>
                <c:pt idx="12">
                  <c:v>0</c:v>
                </c:pt>
              </c:numCache>
            </c:numRef>
          </c:xVal>
          <c:yVal>
            <c:numRef>
              <c:f>'[2]T Daten'!$C$210:$O$210</c:f>
              <c:numCache>
                <c:formatCode>General</c:formatCode>
                <c:ptCount val="13"/>
                <c:pt idx="0">
                  <c:v>16.519984746277423</c:v>
                </c:pt>
                <c:pt idx="1">
                  <c:v>16.519984746277423</c:v>
                </c:pt>
                <c:pt idx="2">
                  <c:v>16.519984746277423</c:v>
                </c:pt>
                <c:pt idx="3">
                  <c:v>15.860577177590535</c:v>
                </c:pt>
                <c:pt idx="4">
                  <c:v>15.090343803262128</c:v>
                </c:pt>
                <c:pt idx="5">
                  <c:v>14.20964476672874</c:v>
                </c:pt>
                <c:pt idx="6">
                  <c:v>13.218795121152946</c:v>
                </c:pt>
                <c:pt idx="7">
                  <c:v>12.118074778887326</c:v>
                </c:pt>
                <c:pt idx="8">
                  <c:v>10.907735498245351</c:v>
                </c:pt>
                <c:pt idx="9">
                  <c:v>9.5880059780755076</c:v>
                </c:pt>
                <c:pt idx="10">
                  <c:v>8.1590956868425497</c:v>
                </c:pt>
                <c:pt idx="11">
                  <c:v>6.2</c:v>
                </c:pt>
                <c:pt idx="12">
                  <c:v>6.2</c:v>
                </c:pt>
              </c:numCache>
            </c:numRef>
          </c:yVal>
          <c:smooth val="0"/>
          <c:extLst>
            <c:ext xmlns:c16="http://schemas.microsoft.com/office/drawing/2014/chart" uri="{C3380CC4-5D6E-409C-BE32-E72D297353CC}">
              <c16:uniqueId val="{00000004-854F-41EF-8F50-DD926B50B2F2}"/>
            </c:ext>
          </c:extLst>
        </c:ser>
        <c:ser>
          <c:idx val="6"/>
          <c:order val="5"/>
          <c:tx>
            <c:strRef>
              <c:f>'[2]T Daten'!$A$214</c:f>
              <c:strCache>
                <c:ptCount val="1"/>
                <c:pt idx="0">
                  <c:v>TI 231.2</c:v>
                </c:pt>
              </c:strCache>
            </c:strRef>
          </c:tx>
          <c:spPr>
            <a:ln w="25400">
              <a:solidFill>
                <a:srgbClr val="003300"/>
              </a:solidFill>
              <a:prstDash val="solid"/>
            </a:ln>
          </c:spPr>
          <c:marker>
            <c:symbol val="none"/>
          </c:marker>
          <c:xVal>
            <c:numRef>
              <c:f>'[2]T Daten'!$C$214:$O$214</c:f>
              <c:numCache>
                <c:formatCode>General</c:formatCode>
                <c:ptCount val="13"/>
                <c:pt idx="0">
                  <c:v>0</c:v>
                </c:pt>
                <c:pt idx="1">
                  <c:v>6880</c:v>
                </c:pt>
                <c:pt idx="2">
                  <c:v>6880</c:v>
                </c:pt>
                <c:pt idx="3">
                  <c:v>7895</c:v>
                </c:pt>
                <c:pt idx="4">
                  <c:v>8910</c:v>
                </c:pt>
                <c:pt idx="5">
                  <c:v>9925</c:v>
                </c:pt>
                <c:pt idx="6">
                  <c:v>10940</c:v>
                </c:pt>
                <c:pt idx="7">
                  <c:v>11955</c:v>
                </c:pt>
                <c:pt idx="8">
                  <c:v>12970</c:v>
                </c:pt>
                <c:pt idx="9">
                  <c:v>13985</c:v>
                </c:pt>
                <c:pt idx="10">
                  <c:v>15000</c:v>
                </c:pt>
                <c:pt idx="11">
                  <c:v>15000</c:v>
                </c:pt>
                <c:pt idx="12">
                  <c:v>0</c:v>
                </c:pt>
              </c:numCache>
            </c:numRef>
          </c:xVal>
          <c:yVal>
            <c:numRef>
              <c:f>'[2]T Daten'!$C$215:$O$215</c:f>
              <c:numCache>
                <c:formatCode>General</c:formatCode>
                <c:ptCount val="13"/>
                <c:pt idx="0">
                  <c:v>19.940683257927063</c:v>
                </c:pt>
                <c:pt idx="1">
                  <c:v>19.940683257927063</c:v>
                </c:pt>
                <c:pt idx="2">
                  <c:v>19.940683257927063</c:v>
                </c:pt>
                <c:pt idx="3">
                  <c:v>19.189570630808319</c:v>
                </c:pt>
                <c:pt idx="4">
                  <c:v>18.314341175733496</c:v>
                </c:pt>
                <c:pt idx="5">
                  <c:v>17.314994892702593</c:v>
                </c:pt>
                <c:pt idx="6">
                  <c:v>16.191531781715618</c:v>
                </c:pt>
                <c:pt idx="7">
                  <c:v>14.943951842772556</c:v>
                </c:pt>
                <c:pt idx="8">
                  <c:v>13.572255075873418</c:v>
                </c:pt>
                <c:pt idx="9">
                  <c:v>12.076441481018206</c:v>
                </c:pt>
                <c:pt idx="10">
                  <c:v>10.456511058206914</c:v>
                </c:pt>
                <c:pt idx="11">
                  <c:v>8.5</c:v>
                </c:pt>
                <c:pt idx="12">
                  <c:v>8.5</c:v>
                </c:pt>
              </c:numCache>
            </c:numRef>
          </c:yVal>
          <c:smooth val="0"/>
          <c:extLst>
            <c:ext xmlns:c16="http://schemas.microsoft.com/office/drawing/2014/chart" uri="{C3380CC4-5D6E-409C-BE32-E72D297353CC}">
              <c16:uniqueId val="{00000005-854F-41EF-8F50-DD926B50B2F2}"/>
            </c:ext>
          </c:extLst>
        </c:ser>
        <c:ser>
          <c:idx val="4"/>
          <c:order val="6"/>
          <c:tx>
            <c:v>Arbeitspunkt</c:v>
          </c:tx>
          <c:spPr>
            <a:ln w="12700">
              <a:solidFill>
                <a:srgbClr val="800080"/>
              </a:solidFill>
              <a:prstDash val="solid"/>
            </a:ln>
          </c:spPr>
          <c:marker>
            <c:symbol val="diamond"/>
            <c:size val="10"/>
            <c:spPr>
              <a:solidFill>
                <a:srgbClr val="000000"/>
              </a:solidFill>
              <a:ln>
                <a:solidFill>
                  <a:srgbClr val="800080"/>
                </a:solidFill>
                <a:prstDash val="solid"/>
              </a:ln>
            </c:spPr>
          </c:marker>
          <c:xVal>
            <c:numRef>
              <c:f>'T Auswahl'!$P$23</c:f>
              <c:numCache>
                <c:formatCode>General</c:formatCode>
                <c:ptCount val="1"/>
                <c:pt idx="0">
                  <c:v>1739.52</c:v>
                </c:pt>
              </c:numCache>
            </c:numRef>
          </c:xVal>
          <c:yVal>
            <c:numRef>
              <c:f>'T Auswahl'!$P$20</c:f>
              <c:numCache>
                <c:formatCode>0.0</c:formatCode>
                <c:ptCount val="1"/>
                <c:pt idx="0">
                  <c:v>3.4284000000000003</c:v>
                </c:pt>
              </c:numCache>
            </c:numRef>
          </c:yVal>
          <c:smooth val="1"/>
          <c:extLst>
            <c:ext xmlns:c16="http://schemas.microsoft.com/office/drawing/2014/chart" uri="{C3380CC4-5D6E-409C-BE32-E72D297353CC}">
              <c16:uniqueId val="{00000006-854F-41EF-8F50-DD926B50B2F2}"/>
            </c:ext>
          </c:extLst>
        </c:ser>
        <c:dLbls>
          <c:showLegendKey val="0"/>
          <c:showVal val="0"/>
          <c:showCatName val="0"/>
          <c:showSerName val="0"/>
          <c:showPercent val="0"/>
          <c:showBubbleSize val="0"/>
        </c:dLbls>
        <c:axId val="354259536"/>
        <c:axId val="354260096"/>
      </c:scatterChart>
      <c:valAx>
        <c:axId val="354259536"/>
        <c:scaling>
          <c:orientation val="minMax"/>
          <c:max val="16000"/>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200" b="0" i="0" u="none" strike="noStrike" baseline="0">
                    <a:solidFill>
                      <a:srgbClr val="000000"/>
                    </a:solidFill>
                    <a:latin typeface="Arial"/>
                    <a:ea typeface="Arial"/>
                    <a:cs typeface="Arial"/>
                  </a:defRPr>
                </a:pPr>
                <a:r>
                  <a:rPr lang="pl-PL"/>
                  <a:t>VD l/h</a:t>
                </a:r>
              </a:p>
            </c:rich>
          </c:tx>
          <c:layout>
            <c:manualLayout>
              <c:xMode val="edge"/>
              <c:yMode val="edge"/>
              <c:x val="0.43652859435997377"/>
              <c:y val="0.9241665463914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354260096"/>
        <c:crosses val="autoZero"/>
        <c:crossBetween val="midCat"/>
        <c:majorUnit val="2000"/>
      </c:valAx>
      <c:valAx>
        <c:axId val="354260096"/>
        <c:scaling>
          <c:orientation val="minMax"/>
          <c:max val="22"/>
        </c:scaling>
        <c:delete val="0"/>
        <c:axPos val="l"/>
        <c:majorGridlines>
          <c:spPr>
            <a:ln w="3175">
              <a:solidFill>
                <a:srgbClr val="000000"/>
              </a:solidFill>
              <a:prstDash val="solid"/>
            </a:ln>
          </c:spPr>
        </c:majorGridlines>
        <c:title>
          <c:tx>
            <c:rich>
              <a:bodyPr/>
              <a:lstStyle/>
              <a:p>
                <a:pPr>
                  <a:defRPr sz="1200" b="0" i="0" u="none" strike="noStrike" baseline="0">
                    <a:solidFill>
                      <a:srgbClr val="000000"/>
                    </a:solidFill>
                    <a:latin typeface="Arial"/>
                    <a:ea typeface="Arial"/>
                    <a:cs typeface="Arial"/>
                  </a:defRPr>
                </a:pPr>
                <a:r>
                  <a:rPr lang="pl-PL"/>
                  <a:t>Pman bar</a:t>
                </a:r>
              </a:p>
            </c:rich>
          </c:tx>
          <c:layout>
            <c:manualLayout>
              <c:xMode val="edge"/>
              <c:yMode val="edge"/>
              <c:x val="1.1835655645577777E-2"/>
              <c:y val="0.41846828209610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pl-PL"/>
          </a:p>
        </c:txPr>
        <c:crossAx val="354259536"/>
        <c:crosses val="autoZero"/>
        <c:crossBetween val="midCat"/>
        <c:majorUnit val="2"/>
        <c:minorUnit val="0.4"/>
      </c:valAx>
      <c:spPr>
        <a:solidFill>
          <a:srgbClr val="CCCCFF"/>
        </a:solidFill>
        <a:ln w="12700">
          <a:solidFill>
            <a:srgbClr val="CCCCFF"/>
          </a:solidFill>
          <a:prstDash val="solid"/>
        </a:ln>
      </c:spPr>
    </c:plotArea>
    <c:legend>
      <c:legendPos val="r"/>
      <c:layout>
        <c:manualLayout>
          <c:xMode val="edge"/>
          <c:yMode val="edge"/>
          <c:x val="0.8323281061519906"/>
          <c:y val="0.13849287169042995"/>
          <c:w val="0.1435464414957813"/>
          <c:h val="0.68431771894092763"/>
        </c:manualLayout>
      </c:layout>
      <c:overlay val="0"/>
      <c:spPr>
        <a:solidFill>
          <a:srgbClr val="FFFFFF"/>
        </a:solidFill>
        <a:ln w="25400">
          <a:noFill/>
        </a:ln>
      </c:spPr>
      <c:txPr>
        <a:bodyPr/>
        <a:lstStyle/>
        <a:p>
          <a:pPr>
            <a:defRPr sz="85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3175">
      <a:solidFill>
        <a:srgbClr val="969696"/>
      </a:solidFill>
      <a:prstDash val="solid"/>
    </a:ln>
  </c:spPr>
  <c:txPr>
    <a:bodyPr/>
    <a:lstStyle/>
    <a:p>
      <a:pPr>
        <a:defRPr sz="2125" b="0" i="0" u="none" strike="noStrike" baseline="0">
          <a:solidFill>
            <a:srgbClr val="000000"/>
          </a:solidFill>
          <a:latin typeface="Arial"/>
          <a:ea typeface="Arial"/>
          <a:cs typeface="Arial"/>
        </a:defRPr>
      </a:pPr>
      <a:endParaRPr lang="pl-PL"/>
    </a:p>
  </c:txPr>
  <c:printSettings>
    <c:headerFooter alignWithMargins="0"/>
    <c:pageMargins b="0.98425196899999956" l="0.78740157499999996" r="0.78740157499999996" t="0.98425196899999956" header="0.49212598450000355" footer="0.49212598450000355"/>
    <c:pageSetup paperSize="9" orientation="landscape"/>
  </c:printSettings>
</c:chartSpace>
</file>

<file path=xl/ctrlProps/ctrlProp1.xml><?xml version="1.0" encoding="utf-8"?>
<formControlPr xmlns="http://schemas.microsoft.com/office/spreadsheetml/2009/9/main" objectType="Drop" dropLines="11" dropStyle="combo" dx="16" fmlaLink="'1'!$C$25" fmlaRange="'1'!$B$26:$B$38" sel="1" val="0"/>
</file>

<file path=xl/ctrlProps/ctrlProp10.xml><?xml version="1.0" encoding="utf-8"?>
<formControlPr xmlns="http://schemas.microsoft.com/office/spreadsheetml/2009/9/main" objectType="Spin" dx="16" fmlaLink="$K$13" max="80" page="10" val="10"/>
</file>

<file path=xl/ctrlProps/ctrlProp11.xml><?xml version="1.0" encoding="utf-8"?>
<formControlPr xmlns="http://schemas.microsoft.com/office/spreadsheetml/2009/9/main" objectType="Spin" dx="16" fmlaLink="$K$9" max="100" min="30" page="10" val="30"/>
</file>

<file path=xl/ctrlProps/ctrlProp12.xml><?xml version="1.0" encoding="utf-8"?>
<formControlPr xmlns="http://schemas.microsoft.com/office/spreadsheetml/2009/9/main" objectType="Spin" dx="16" fmlaLink="$K$11" max="90" page="10" val="7"/>
</file>

<file path=xl/ctrlProps/ctrlProp13.xml><?xml version="1.0" encoding="utf-8"?>
<formControlPr xmlns="http://schemas.microsoft.com/office/spreadsheetml/2009/9/main" objectType="Spin" dx="16" fmlaLink="$K$19" max="200" min="7" page="10" val="7"/>
</file>

<file path=xl/ctrlProps/ctrlProp14.xml><?xml version="1.0" encoding="utf-8"?>
<formControlPr xmlns="http://schemas.microsoft.com/office/spreadsheetml/2009/9/main" objectType="Spin" dx="16" fmlaLink="'2'!$C$47" max="200" min="20" page="10" val="30"/>
</file>

<file path=xl/ctrlProps/ctrlProp15.xml><?xml version="1.0" encoding="utf-8"?>
<formControlPr xmlns="http://schemas.microsoft.com/office/spreadsheetml/2009/9/main" objectType="CheckBox" fmlaLink="'2'!$C$53" lockText="1"/>
</file>

<file path=xl/ctrlProps/ctrlProp16.xml><?xml version="1.0" encoding="utf-8"?>
<formControlPr xmlns="http://schemas.microsoft.com/office/spreadsheetml/2009/9/main" objectType="Drop" dropLines="30" dropStyle="combo" dx="16" fmlaLink="'2'!$B$59" fmlaRange="'2'!$B$61:$B$106" sel="14" val="6"/>
</file>

<file path=xl/ctrlProps/ctrlProp17.xml><?xml version="1.0" encoding="utf-8"?>
<formControlPr xmlns="http://schemas.microsoft.com/office/spreadsheetml/2009/9/main" objectType="Spin" dx="16" fmlaLink="$G$180" max="20" min="1" page="10"/>
</file>

<file path=xl/ctrlProps/ctrlProp18.xml><?xml version="1.0" encoding="utf-8"?>
<formControlPr xmlns="http://schemas.microsoft.com/office/spreadsheetml/2009/9/main" objectType="Spin" dx="16" fmlaLink="'2'!$H$33" max="50" min="3" page="10" val="5"/>
</file>

<file path=xl/ctrlProps/ctrlProp19.xml><?xml version="1.0" encoding="utf-8"?>
<formControlPr xmlns="http://schemas.microsoft.com/office/spreadsheetml/2009/9/main" objectType="Spin" dx="16" fmlaLink="$K$13" max="80" page="10" val="10"/>
</file>

<file path=xl/ctrlProps/ctrlProp2.xml><?xml version="1.0" encoding="utf-8"?>
<formControlPr xmlns="http://schemas.microsoft.com/office/spreadsheetml/2009/9/main" objectType="Spin" dx="16" fmlaLink="$K$9" max="150" min="30" page="10" val="75"/>
</file>

<file path=xl/ctrlProps/ctrlProp20.xml><?xml version="1.0" encoding="utf-8"?>
<formControlPr xmlns="http://schemas.microsoft.com/office/spreadsheetml/2009/9/main" objectType="Drop" dropLines="11" dropStyle="combo" dx="16" fmlaLink="'2'!$Z$114" fmlaRange="'2'!$Y$115:$Y$127" sel="1" val="0"/>
</file>

<file path=xl/ctrlProps/ctrlProp21.xml><?xml version="1.0" encoding="utf-8"?>
<formControlPr xmlns="http://schemas.microsoft.com/office/spreadsheetml/2009/9/main" objectType="Drop" dropLines="11" dropStyle="combo" dx="16" fmlaLink="'3'!$C$2" fmlaRange="'3'!$B$3:$B$15" sel="1" val="0"/>
</file>

<file path=xl/ctrlProps/ctrlProp22.xml><?xml version="1.0" encoding="utf-8"?>
<formControlPr xmlns="http://schemas.microsoft.com/office/spreadsheetml/2009/9/main" objectType="Spin" dx="16" fmlaLink="$K$9" max="105" min="30" page="10" val="40"/>
</file>

<file path=xl/ctrlProps/ctrlProp23.xml><?xml version="1.0" encoding="utf-8"?>
<formControlPr xmlns="http://schemas.microsoft.com/office/spreadsheetml/2009/9/main" objectType="Spin" dx="16" fmlaLink="$K$11" max="100" page="10" val="5"/>
</file>

<file path=xl/ctrlProps/ctrlProp24.xml><?xml version="1.0" encoding="utf-8"?>
<formControlPr xmlns="http://schemas.microsoft.com/office/spreadsheetml/2009/9/main" objectType="Spin" dx="16" fmlaLink="$K$17" max="200" min="7" page="10" val="26"/>
</file>

<file path=xl/ctrlProps/ctrlProp25.xml><?xml version="1.0" encoding="utf-8"?>
<formControlPr xmlns="http://schemas.microsoft.com/office/spreadsheetml/2009/9/main" objectType="Spin" dx="16" fmlaLink="'3'!$C$17" max="200" min="20" page="10" val="60"/>
</file>

<file path=xl/ctrlProps/ctrlProp26.xml><?xml version="1.0" encoding="utf-8"?>
<formControlPr xmlns="http://schemas.microsoft.com/office/spreadsheetml/2009/9/main" objectType="CheckBox" checked="Checked" fmlaLink="'3'!$C$21" lockText="1"/>
</file>

<file path=xl/ctrlProps/ctrlProp27.xml><?xml version="1.0" encoding="utf-8"?>
<formControlPr xmlns="http://schemas.microsoft.com/office/spreadsheetml/2009/9/main" objectType="Drop" dropLines="30" dropStyle="combo" dx="16" fmlaLink="'3'!$B$27" fmlaRange="'3'!$B$29:$B$52" sel="11" val="0"/>
</file>

<file path=xl/ctrlProps/ctrlProp28.xml><?xml version="1.0" encoding="utf-8"?>
<formControlPr xmlns="http://schemas.microsoft.com/office/spreadsheetml/2009/9/main" objectType="Spin" dx="16" fmlaLink="$K$24" max="15000" min="5" page="10" val="4530"/>
</file>

<file path=xl/ctrlProps/ctrlProp29.xml><?xml version="1.0" encoding="utf-8"?>
<formControlPr xmlns="http://schemas.microsoft.com/office/spreadsheetml/2009/9/main" objectType="Drop" dropLines="30" dropStyle="combo" dx="16" fmlaLink="'3'!$B$133" fmlaRange="'3'!$B$134:$B$158" sel="1" val="0"/>
</file>

<file path=xl/ctrlProps/ctrlProp3.xml><?xml version="1.0" encoding="utf-8"?>
<formControlPr xmlns="http://schemas.microsoft.com/office/spreadsheetml/2009/9/main" objectType="Spin" dx="16" fmlaLink="$K$19" max="200" min="7" page="10" val="7"/>
</file>

<file path=xl/ctrlProps/ctrlProp30.xml><?xml version="1.0" encoding="utf-8"?>
<formControlPr xmlns="http://schemas.microsoft.com/office/spreadsheetml/2009/9/main" objectType="Spin" dx="16" fmlaLink="$H$141" max="10" page="10"/>
</file>

<file path=xl/ctrlProps/ctrlProp31.xml><?xml version="1.0" encoding="utf-8"?>
<formControlPr xmlns="http://schemas.microsoft.com/office/spreadsheetml/2009/9/main" objectType="Drop" dropLines="17" dropStyle="combo" dx="16" fmlaLink="'3'!$B$161" fmlaRange="'3'!$B$163:$B$179" sel="16" val="0"/>
</file>

<file path=xl/ctrlProps/ctrlProp32.xml><?xml version="1.0" encoding="utf-8"?>
<formControlPr xmlns="http://schemas.microsoft.com/office/spreadsheetml/2009/9/main" objectType="Spin" dx="16" fmlaLink="'3'!$H$1" max="50" page="10" val="5"/>
</file>

<file path=xl/ctrlProps/ctrlProp33.xml><?xml version="1.0" encoding="utf-8"?>
<formControlPr xmlns="http://schemas.microsoft.com/office/spreadsheetml/2009/9/main" objectType="Drop" dropLines="11" dropStyle="combo" dx="16" fmlaLink="'4'!$C$2" fmlaRange="'4'!$B$3:$B$15" sel="1" val="0"/>
</file>

<file path=xl/ctrlProps/ctrlProp34.xml><?xml version="1.0" encoding="utf-8"?>
<formControlPr xmlns="http://schemas.microsoft.com/office/spreadsheetml/2009/9/main" objectType="Spin" dx="16" fmlaLink="$K$9" max="105" min="30" page="10" val="40"/>
</file>

<file path=xl/ctrlProps/ctrlProp35.xml><?xml version="1.0" encoding="utf-8"?>
<formControlPr xmlns="http://schemas.microsoft.com/office/spreadsheetml/2009/9/main" objectType="Spin" dx="16" fmlaLink="$K$11" max="100" page="10" val="5"/>
</file>

<file path=xl/ctrlProps/ctrlProp36.xml><?xml version="1.0" encoding="utf-8"?>
<formControlPr xmlns="http://schemas.microsoft.com/office/spreadsheetml/2009/9/main" objectType="Spin" dx="16" fmlaLink="$K$17" max="200" min="7" page="10" val="26"/>
</file>

<file path=xl/ctrlProps/ctrlProp37.xml><?xml version="1.0" encoding="utf-8"?>
<formControlPr xmlns="http://schemas.microsoft.com/office/spreadsheetml/2009/9/main" objectType="Spin" dx="16" fmlaLink="'4'!$C$17" max="200" min="20" page="10" val="30"/>
</file>

<file path=xl/ctrlProps/ctrlProp38.xml><?xml version="1.0" encoding="utf-8"?>
<formControlPr xmlns="http://schemas.microsoft.com/office/spreadsheetml/2009/9/main" objectType="CheckBox" fmlaLink="'4'!$C$21" lockText="1"/>
</file>

<file path=xl/ctrlProps/ctrlProp39.xml><?xml version="1.0" encoding="utf-8"?>
<formControlPr xmlns="http://schemas.microsoft.com/office/spreadsheetml/2009/9/main" objectType="Drop" dropLines="30" dropStyle="combo" dx="16" fmlaLink="'4'!$B$27" fmlaRange="'4'!$B$29:$B$40" sel="8" val="0"/>
</file>

<file path=xl/ctrlProps/ctrlProp4.xml><?xml version="1.0" encoding="utf-8"?>
<formControlPr xmlns="http://schemas.microsoft.com/office/spreadsheetml/2009/9/main" objectType="Spin" dx="16" fmlaLink="'1'!$C$40" max="160" min="20" page="10" val="30"/>
</file>

<file path=xl/ctrlProps/ctrlProp40.xml><?xml version="1.0" encoding="utf-8"?>
<formControlPr xmlns="http://schemas.microsoft.com/office/spreadsheetml/2009/9/main" objectType="Spin" dx="16" fmlaLink="$K$24" max="15000" min="5" page="10" val="4530"/>
</file>

<file path=xl/ctrlProps/ctrlProp41.xml><?xml version="1.0" encoding="utf-8"?>
<formControlPr xmlns="http://schemas.microsoft.com/office/spreadsheetml/2009/9/main" objectType="Drop" dropLines="30" dropStyle="combo" dx="16" fmlaLink="'4'!$B$133" fmlaRange="'4'!$B$134:$B$146" sel="9" val="0"/>
</file>

<file path=xl/ctrlProps/ctrlProp42.xml><?xml version="1.0" encoding="utf-8"?>
<formControlPr xmlns="http://schemas.microsoft.com/office/spreadsheetml/2009/9/main" objectType="Spin" dx="16" fmlaLink="$H$135" max="20" page="10"/>
</file>

<file path=xl/ctrlProps/ctrlProp43.xml><?xml version="1.0" encoding="utf-8"?>
<formControlPr xmlns="http://schemas.microsoft.com/office/spreadsheetml/2009/9/main" objectType="Drop" dropLines="30" dropStyle="combo" dx="16" fmlaLink="'4'!$B$161" fmlaRange="'4'!$B$163:$B$192" sel="23" val="0"/>
</file>

<file path=xl/ctrlProps/ctrlProp44.xml><?xml version="1.0" encoding="utf-8"?>
<formControlPr xmlns="http://schemas.microsoft.com/office/spreadsheetml/2009/9/main" objectType="Spin" dx="16" fmlaLink="'4'!$H$1" max="50" page="10" val="5"/>
</file>

<file path=xl/ctrlProps/ctrlProp45.xml><?xml version="1.0" encoding="utf-8"?>
<formControlPr xmlns="http://schemas.microsoft.com/office/spreadsheetml/2009/9/main" objectType="Drop" dropLines="30" dropStyle="combo" dx="16" fmlaLink="'4'!$B$161" fmlaRange="'4'!$B$163:$B$192" sel="23" val="0"/>
</file>

<file path=xl/ctrlProps/ctrlProp46.xml><?xml version="1.0" encoding="utf-8"?>
<formControlPr xmlns="http://schemas.microsoft.com/office/spreadsheetml/2009/9/main" objectType="Drop" dropLines="11" dropStyle="combo" dx="16" fmlaLink="'5'!$C$48" fmlaRange="'5'!$B$49:$B$61" sel="11" val="0"/>
</file>

<file path=xl/ctrlProps/ctrlProp47.xml><?xml version="1.0" encoding="utf-8"?>
<formControlPr xmlns="http://schemas.microsoft.com/office/spreadsheetml/2009/9/main" objectType="Spin" dx="16" fmlaLink="$K$9" max="120" min="50" page="10" val="120"/>
</file>

<file path=xl/ctrlProps/ctrlProp48.xml><?xml version="1.0" encoding="utf-8"?>
<formControlPr xmlns="http://schemas.microsoft.com/office/spreadsheetml/2009/9/main" objectType="Spin" dx="16" fmlaLink="$K$11" max="90" page="10" val="0"/>
</file>

<file path=xl/ctrlProps/ctrlProp49.xml><?xml version="1.0" encoding="utf-8"?>
<formControlPr xmlns="http://schemas.microsoft.com/office/spreadsheetml/2009/9/main" objectType="Spin" dx="16" fmlaLink="$K$13" max="90" page="10" val="20"/>
</file>

<file path=xl/ctrlProps/ctrlProp5.xml><?xml version="1.0" encoding="utf-8"?>
<formControlPr xmlns="http://schemas.microsoft.com/office/spreadsheetml/2009/9/main" objectType="CheckBox" fmlaLink="'1'!$C$46" lockText="1"/>
</file>

<file path=xl/ctrlProps/ctrlProp50.xml><?xml version="1.0" encoding="utf-8"?>
<formControlPr xmlns="http://schemas.microsoft.com/office/spreadsheetml/2009/9/main" objectType="Spin" dx="16" fmlaLink="$K$21" max="200" min="7" page="10" val="7"/>
</file>

<file path=xl/ctrlProps/ctrlProp51.xml><?xml version="1.0" encoding="utf-8"?>
<formControlPr xmlns="http://schemas.microsoft.com/office/spreadsheetml/2009/9/main" objectType="Spin" dx="16" fmlaLink="'5'!$C$63" max="200" min="20" page="10" val="60"/>
</file>

<file path=xl/ctrlProps/ctrlProp52.xml><?xml version="1.0" encoding="utf-8"?>
<formControlPr xmlns="http://schemas.microsoft.com/office/spreadsheetml/2009/9/main" objectType="CheckBox" fmlaLink="'5'!$C$67" lockText="1"/>
</file>

<file path=xl/ctrlProps/ctrlProp53.xml><?xml version="1.0" encoding="utf-8"?>
<formControlPr xmlns="http://schemas.microsoft.com/office/spreadsheetml/2009/9/main" objectType="Drop" dropLines="30" dropStyle="combo" dx="16" fmlaLink="'5'!$B$73" fmlaRange="'5'!$B$75:$B$120" sel="24" val="11"/>
</file>

<file path=xl/ctrlProps/ctrlProp54.xml><?xml version="1.0" encoding="utf-8"?>
<formControlPr xmlns="http://schemas.microsoft.com/office/spreadsheetml/2009/9/main" objectType="Spin" dx="16" fmlaLink="$G$148" max="20" min="1" page="10"/>
</file>

<file path=xl/ctrlProps/ctrlProp55.xml><?xml version="1.0" encoding="utf-8"?>
<formControlPr xmlns="http://schemas.microsoft.com/office/spreadsheetml/2009/9/main" objectType="Drop" dropLines="30" dropStyle="combo" dx="16" fmlaLink="'5'!$B$122" fmlaRange="'5'!$B$123:$B$164" sel="9" val="5"/>
</file>

<file path=xl/ctrlProps/ctrlProp56.xml><?xml version="1.0" encoding="utf-8"?>
<formControlPr xmlns="http://schemas.microsoft.com/office/spreadsheetml/2009/9/main" objectType="Spin" dx="16" fmlaLink="$G$263" max="20" page="10"/>
</file>

<file path=xl/ctrlProps/ctrlProp57.xml><?xml version="1.0" encoding="utf-8"?>
<formControlPr xmlns="http://schemas.microsoft.com/office/spreadsheetml/2009/9/main" objectType="Spin" dx="16" fmlaLink="'5'!$H$47" max="50" min="5" page="10" val="5"/>
</file>

<file path=xl/ctrlProps/ctrlProp58.xml><?xml version="1.0" encoding="utf-8"?>
<formControlPr xmlns="http://schemas.microsoft.com/office/spreadsheetml/2009/9/main" objectType="Spin" dx="16" fmlaLink="$K$15" max="120" page="10" val="120"/>
</file>

<file path=xl/ctrlProps/ctrlProp59.xml><?xml version="1.0" encoding="utf-8"?>
<formControlPr xmlns="http://schemas.microsoft.com/office/spreadsheetml/2009/9/main" objectType="Spin" dx="16" fmlaLink="$K$9" inc="5" max="5000" min="50" page="10" val="800"/>
</file>

<file path=xl/ctrlProps/ctrlProp6.xml><?xml version="1.0" encoding="utf-8"?>
<formControlPr xmlns="http://schemas.microsoft.com/office/spreadsheetml/2009/9/main" objectType="Drop" dropLines="30" dropStyle="combo" dx="16" fmlaLink="'1'!$B$52" fmlaRange="'1'!$B$54:$B$99" sel="7" val="0"/>
</file>

<file path=xl/ctrlProps/ctrlProp60.xml><?xml version="1.0" encoding="utf-8"?>
<formControlPr xmlns="http://schemas.microsoft.com/office/spreadsheetml/2009/9/main" objectType="Spin" dx="16" fmlaLink="'6'!$C$3" max="150" min="30" page="10" val="30"/>
</file>

<file path=xl/ctrlProps/ctrlProp61.xml><?xml version="1.0" encoding="utf-8"?>
<formControlPr xmlns="http://schemas.microsoft.com/office/spreadsheetml/2009/9/main" objectType="Drop" dropLines="30" dropStyle="combo" dx="16" fmlaLink="'6'!$B$11" fmlaRange="'6'!$B$13:$B$41" sel="7" val="0"/>
</file>

<file path=xl/ctrlProps/ctrlProp62.xml><?xml version="1.0" encoding="utf-8"?>
<formControlPr xmlns="http://schemas.microsoft.com/office/spreadsheetml/2009/9/main" objectType="Spin" dx="16" fmlaLink="$G$57" max="20" min="1" page="10"/>
</file>

<file path=xl/ctrlProps/ctrlProp63.xml><?xml version="1.0" encoding="utf-8"?>
<formControlPr xmlns="http://schemas.microsoft.com/office/spreadsheetml/2009/9/main" objectType="Spin" dx="16" fmlaLink="'6'!$D$3" max="160" min="30" page="10" val="60"/>
</file>

<file path=xl/ctrlProps/ctrlProp64.xml><?xml version="1.0" encoding="utf-8"?>
<formControlPr xmlns="http://schemas.microsoft.com/office/spreadsheetml/2009/9/main" objectType="Spin" dx="16" fmlaLink="$K$16" max="80" min="30" page="10" val="70"/>
</file>

<file path=xl/ctrlProps/ctrlProp65.xml><?xml version="1.0" encoding="utf-8"?>
<formControlPr xmlns="http://schemas.microsoft.com/office/spreadsheetml/2009/9/main" objectType="Spin" dx="16" fmlaLink="$K$9" max="200" min="1" page="10" val="3"/>
</file>

<file path=xl/ctrlProps/ctrlProp66.xml><?xml version="1.0" encoding="utf-8"?>
<formControlPr xmlns="http://schemas.microsoft.com/office/spreadsheetml/2009/9/main" objectType="Spin" dx="16" fmlaLink="'7'!$C$4" max="100" min="10" page="10" val="15"/>
</file>

<file path=xl/ctrlProps/ctrlProp67.xml><?xml version="1.0" encoding="utf-8"?>
<formControlPr xmlns="http://schemas.microsoft.com/office/spreadsheetml/2009/9/main" objectType="Spin" dx="16" fmlaLink="$K$15" max="90" min="5" page="10" val="70"/>
</file>

<file path=xl/ctrlProps/ctrlProp68.xml><?xml version="1.0" encoding="utf-8"?>
<formControlPr xmlns="http://schemas.microsoft.com/office/spreadsheetml/2009/9/main" objectType="Spin" dx="16" fmlaLink="'7'!$D$4" max="160" min="10" page="10" val="30"/>
</file>

<file path=xl/ctrlProps/ctrlProp69.xml><?xml version="1.0" encoding="utf-8"?>
<formControlPr xmlns="http://schemas.microsoft.com/office/spreadsheetml/2009/9/main" objectType="Drop" dropLines="30" dropStyle="combo" dx="16" fmlaLink="'7'!$B$25" fmlaRange="'7'!$B$26:$B$44" sel="3" val="0"/>
</file>

<file path=xl/ctrlProps/ctrlProp7.xml><?xml version="1.0" encoding="utf-8"?>
<formControlPr xmlns="http://schemas.microsoft.com/office/spreadsheetml/2009/9/main" objectType="Spin" dx="16" fmlaLink="$G$141" max="20" min="1" page="10"/>
</file>

<file path=xl/ctrlProps/ctrlProp70.xml><?xml version="1.0" encoding="utf-8"?>
<formControlPr xmlns="http://schemas.microsoft.com/office/spreadsheetml/2009/9/main" objectType="Drop" dropLines="11" dropStyle="combo" dx="16" fmlaLink="'8'!$C$12" fmlaRange="'8'!$B$13:$B$25" sel="13" val="2"/>
</file>

<file path=xl/ctrlProps/ctrlProp71.xml><?xml version="1.0" encoding="utf-8"?>
<formControlPr xmlns="http://schemas.microsoft.com/office/spreadsheetml/2009/9/main" objectType="Spin" dx="16" fmlaLink="$M$9" max="180" page="10" val="0"/>
</file>

<file path=xl/ctrlProps/ctrlProp72.xml><?xml version="1.0" encoding="utf-8"?>
<formControlPr xmlns="http://schemas.microsoft.com/office/spreadsheetml/2009/9/main" objectType="Drop" dropLines="30" dropStyle="combo" dx="16" fmlaLink="'8'!$B$36" fmlaRange="'8'!$B$37:$B$78" sel="2" val="0"/>
</file>

<file path=xl/ctrlProps/ctrlProp73.xml><?xml version="1.0" encoding="utf-8"?>
<formControlPr xmlns="http://schemas.microsoft.com/office/spreadsheetml/2009/9/main" objectType="Spin" dx="16" fmlaLink="$G$51" max="20" page="10"/>
</file>

<file path=xl/ctrlProps/ctrlProp74.xml><?xml version="1.0" encoding="utf-8"?>
<formControlPr xmlns="http://schemas.microsoft.com/office/spreadsheetml/2009/9/main" objectType="Spin" dx="16" fmlaLink="$K$11" max="100" min="5" page="10" val="5"/>
</file>

<file path=xl/ctrlProps/ctrlProp75.xml><?xml version="1.0" encoding="utf-8"?>
<formControlPr xmlns="http://schemas.microsoft.com/office/spreadsheetml/2009/9/main" objectType="Spin" dx="16" fmlaLink="'8'!$D$9" max="200" min="20" page="10" val="30"/>
</file>

<file path=xl/ctrlProps/ctrlProp76.xml><?xml version="1.0" encoding="utf-8"?>
<formControlPr xmlns="http://schemas.microsoft.com/office/spreadsheetml/2009/9/main" objectType="CheckBox" fmlaLink="'8'!$C$30" lockText="1"/>
</file>

<file path=xl/ctrlProps/ctrlProp77.xml><?xml version="1.0" encoding="utf-8"?>
<formControlPr xmlns="http://schemas.microsoft.com/office/spreadsheetml/2009/9/main" objectType="Drop" dropLines="3" dropStyle="combo" dx="16" fmlaLink="Translation!$N$2" fmlaRange="Translation!$C$5:$C$7" noThreeD="1" sel="2" val="0"/>
</file>

<file path=xl/ctrlProps/ctrlProp78.xml><?xml version="1.0" encoding="utf-8"?>
<formControlPr xmlns="http://schemas.microsoft.com/office/spreadsheetml/2009/9/main" objectType="Drop" dropLines="3" dropStyle="combo" dx="16" fmlaLink="Translation!$N$2" fmlaRange="Translation!$C$5:$C$7" noThreeD="1" sel="2" val="0"/>
</file>

<file path=xl/ctrlProps/ctrlProp8.xml><?xml version="1.0" encoding="utf-8"?>
<formControlPr xmlns="http://schemas.microsoft.com/office/spreadsheetml/2009/9/main" objectType="Spin" dx="16" fmlaLink="'1'!$H$24" max="50" min="5" page="10" val="5"/>
</file>

<file path=xl/ctrlProps/ctrlProp9.xml><?xml version="1.0" encoding="utf-8"?>
<formControlPr xmlns="http://schemas.microsoft.com/office/spreadsheetml/2009/9/main" objectType="Spin" dx="16" fmlaLink="$K$11" max="140" page="10" val="5"/>
</file>

<file path=xl/drawings/_rels/drawing1.xml.rels><?xml version="1.0" encoding="UTF-8" standalone="yes"?>
<Relationships xmlns="http://schemas.openxmlformats.org/package/2006/relationships"><Relationship Id="rId8" Type="http://schemas.openxmlformats.org/officeDocument/2006/relationships/hyperlink" Target="#'NW do inst. solarnej'!A1"/><Relationship Id="rId13" Type="http://schemas.openxmlformats.org/officeDocument/2006/relationships/image" Target="../media/image7.png"/><Relationship Id="rId3" Type="http://schemas.openxmlformats.org/officeDocument/2006/relationships/image" Target="../media/image3.jpeg"/><Relationship Id="rId7" Type="http://schemas.openxmlformats.org/officeDocument/2006/relationships/hyperlink" Target="#'NW do c.w.u.'!A1"/><Relationship Id="rId12"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NW wg PN-B-02414'!A1"/><Relationship Id="rId11"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hyperlink" Target="#NP!A1"/><Relationship Id="rId4" Type="http://schemas.openxmlformats.org/officeDocument/2006/relationships/hyperlink" Target="#'NW wg PN-EN-12828'!A1"/><Relationship Id="rId9" Type="http://schemas.openxmlformats.org/officeDocument/2006/relationships/hyperlink" Target="#VENTO!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2.png"/><Relationship Id="rId1" Type="http://schemas.openxmlformats.org/officeDocument/2006/relationships/hyperlink" Target="#START!A1"/><Relationship Id="rId6" Type="http://schemas.openxmlformats.org/officeDocument/2006/relationships/image" Target="../media/image58.png"/><Relationship Id="rId5" Type="http://schemas.openxmlformats.org/officeDocument/2006/relationships/image" Target="../media/image57.png"/><Relationship Id="rId4"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22.png"/><Relationship Id="rId1" Type="http://schemas.openxmlformats.org/officeDocument/2006/relationships/hyperlink" Target="#START!A1"/><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5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3.wmf"/><Relationship Id="rId2" Type="http://schemas.openxmlformats.org/officeDocument/2006/relationships/image" Target="../media/image62.png"/><Relationship Id="rId1" Type="http://schemas.openxmlformats.org/officeDocument/2006/relationships/chart" Target="../charts/chart4.xml"/><Relationship Id="rId4" Type="http://schemas.openxmlformats.org/officeDocument/2006/relationships/image" Target="../media/image64.wmf"/></Relationships>
</file>

<file path=xl/drawings/_rels/drawing15.xml.rels><?xml version="1.0" encoding="UTF-8" standalone="yes"?>
<Relationships xmlns="http://schemas.openxmlformats.org/package/2006/relationships"><Relationship Id="rId3" Type="http://schemas.openxmlformats.org/officeDocument/2006/relationships/image" Target="../media/image66.png"/><Relationship Id="rId7" Type="http://schemas.openxmlformats.org/officeDocument/2006/relationships/image" Target="../media/image69.png"/><Relationship Id="rId2" Type="http://schemas.openxmlformats.org/officeDocument/2006/relationships/image" Target="../media/image65.png"/><Relationship Id="rId1" Type="http://schemas.openxmlformats.org/officeDocument/2006/relationships/chart" Target="../charts/chart5.xml"/><Relationship Id="rId6" Type="http://schemas.openxmlformats.org/officeDocument/2006/relationships/image" Target="../media/image64.wmf"/><Relationship Id="rId5" Type="http://schemas.openxmlformats.org/officeDocument/2006/relationships/image" Target="../media/image68.png"/><Relationship Id="rId4" Type="http://schemas.openxmlformats.org/officeDocument/2006/relationships/image" Target="../media/image67.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7.xml"/><Relationship Id="rId7" Type="http://schemas.openxmlformats.org/officeDocument/2006/relationships/chart" Target="../charts/chart9.xml"/><Relationship Id="rId2" Type="http://schemas.openxmlformats.org/officeDocument/2006/relationships/image" Target="../media/image62.png"/><Relationship Id="rId1" Type="http://schemas.openxmlformats.org/officeDocument/2006/relationships/chart" Target="../charts/chart6.xml"/><Relationship Id="rId6" Type="http://schemas.openxmlformats.org/officeDocument/2006/relationships/chart" Target="../charts/chart8.xml"/><Relationship Id="rId5" Type="http://schemas.openxmlformats.org/officeDocument/2006/relationships/image" Target="../media/image71.wmf"/><Relationship Id="rId10" Type="http://schemas.openxmlformats.org/officeDocument/2006/relationships/chart" Target="../charts/chart12.xml"/><Relationship Id="rId4" Type="http://schemas.openxmlformats.org/officeDocument/2006/relationships/image" Target="../media/image70.wmf"/><Relationship Id="rId9"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image" Target="../media/image71.wmf"/><Relationship Id="rId7" Type="http://schemas.openxmlformats.org/officeDocument/2006/relationships/chart" Target="../charts/chart14.xml"/><Relationship Id="rId2" Type="http://schemas.openxmlformats.org/officeDocument/2006/relationships/image" Target="../media/image70.wmf"/><Relationship Id="rId1" Type="http://schemas.openxmlformats.org/officeDocument/2006/relationships/chart" Target="../charts/chart13.xml"/><Relationship Id="rId6" Type="http://schemas.openxmlformats.org/officeDocument/2006/relationships/image" Target="../media/image73.png"/><Relationship Id="rId5" Type="http://schemas.openxmlformats.org/officeDocument/2006/relationships/image" Target="../media/image72.png"/><Relationship Id="rId4" Type="http://schemas.openxmlformats.org/officeDocument/2006/relationships/image" Target="../media/image65.png"/><Relationship Id="rId9"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0.png"/><Relationship Id="rId7" Type="http://schemas.openxmlformats.org/officeDocument/2006/relationships/image" Target="../media/image23.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2.png"/><Relationship Id="rId11" Type="http://schemas.openxmlformats.org/officeDocument/2006/relationships/image" Target="../media/image7.png"/><Relationship Id="rId5" Type="http://schemas.openxmlformats.org/officeDocument/2006/relationships/hyperlink" Target="#START!A1"/><Relationship Id="rId10" Type="http://schemas.openxmlformats.org/officeDocument/2006/relationships/image" Target="../media/image5.png"/><Relationship Id="rId4" Type="http://schemas.openxmlformats.org/officeDocument/2006/relationships/image" Target="../media/image21.png"/><Relationship Id="rId9" Type="http://schemas.openxmlformats.org/officeDocument/2006/relationships/image" Target="../media/image25.png"/></Relationships>
</file>

<file path=xl/drawings/_rels/drawing20.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image" Target="../media/image65.png"/></Relationships>
</file>

<file path=xl/drawings/_rels/drawing21.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71.wmf"/><Relationship Id="rId7" Type="http://schemas.openxmlformats.org/officeDocument/2006/relationships/chart" Target="../charts/chart18.xml"/><Relationship Id="rId2" Type="http://schemas.openxmlformats.org/officeDocument/2006/relationships/image" Target="../media/image70.wmf"/><Relationship Id="rId1" Type="http://schemas.openxmlformats.org/officeDocument/2006/relationships/chart" Target="../charts/chart17.xml"/><Relationship Id="rId6" Type="http://schemas.openxmlformats.org/officeDocument/2006/relationships/image" Target="../media/image75.png"/><Relationship Id="rId5" Type="http://schemas.openxmlformats.org/officeDocument/2006/relationships/image" Target="../media/image72.png"/><Relationship Id="rId4" Type="http://schemas.openxmlformats.org/officeDocument/2006/relationships/image" Target="../media/image65.png"/><Relationship Id="rId9"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png"/><Relationship Id="rId1" Type="http://schemas.openxmlformats.org/officeDocument/2006/relationships/image" Target="../media/image65.png"/><Relationship Id="rId5" Type="http://schemas.openxmlformats.org/officeDocument/2006/relationships/image" Target="../media/image73.png"/><Relationship Id="rId4" Type="http://schemas.openxmlformats.org/officeDocument/2006/relationships/image" Target="../media/image7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37.png"/><Relationship Id="rId6" Type="http://schemas.openxmlformats.org/officeDocument/2006/relationships/image" Target="../media/image22.png"/><Relationship Id="rId11" Type="http://schemas.openxmlformats.org/officeDocument/2006/relationships/image" Target="../media/image7.png"/><Relationship Id="rId5" Type="http://schemas.openxmlformats.org/officeDocument/2006/relationships/hyperlink" Target="#START!A1"/><Relationship Id="rId10" Type="http://schemas.openxmlformats.org/officeDocument/2006/relationships/image" Target="../media/image5.png"/><Relationship Id="rId4" Type="http://schemas.openxmlformats.org/officeDocument/2006/relationships/image" Target="../media/image21.png"/><Relationship Id="rId9" Type="http://schemas.openxmlformats.org/officeDocument/2006/relationships/image" Target="../media/image38.png"/></Relationships>
</file>

<file path=xl/drawings/_rels/drawing4.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chart" Target="../charts/chart1.xml"/><Relationship Id="rId3" Type="http://schemas.openxmlformats.org/officeDocument/2006/relationships/image" Target="../media/image20.png"/><Relationship Id="rId7" Type="http://schemas.openxmlformats.org/officeDocument/2006/relationships/image" Target="../media/image22.png"/><Relationship Id="rId12" Type="http://schemas.openxmlformats.org/officeDocument/2006/relationships/image" Target="../media/image7.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hyperlink" Target="#START!A1"/><Relationship Id="rId11" Type="http://schemas.openxmlformats.org/officeDocument/2006/relationships/image" Target="../media/image5.pn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21.png"/><Relationship Id="rId9" Type="http://schemas.openxmlformats.org/officeDocument/2006/relationships/image" Target="../media/image42.png"/></Relationships>
</file>

<file path=xl/drawings/_rels/drawing5.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chart" Target="../charts/chart3.xml"/><Relationship Id="rId3" Type="http://schemas.openxmlformats.org/officeDocument/2006/relationships/image" Target="../media/image20.png"/><Relationship Id="rId7" Type="http://schemas.openxmlformats.org/officeDocument/2006/relationships/image" Target="../media/image41.png"/><Relationship Id="rId12" Type="http://schemas.openxmlformats.org/officeDocument/2006/relationships/chart" Target="../charts/chart2.xml"/><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2.png"/><Relationship Id="rId11" Type="http://schemas.openxmlformats.org/officeDocument/2006/relationships/image" Target="../media/image7.png"/><Relationship Id="rId5" Type="http://schemas.openxmlformats.org/officeDocument/2006/relationships/hyperlink" Target="#START!A1"/><Relationship Id="rId10" Type="http://schemas.openxmlformats.org/officeDocument/2006/relationships/image" Target="../media/image5.png"/><Relationship Id="rId4" Type="http://schemas.openxmlformats.org/officeDocument/2006/relationships/image" Target="../media/image21.png"/><Relationship Id="rId9" Type="http://schemas.openxmlformats.org/officeDocument/2006/relationships/image" Target="../media/image45.png"/></Relationships>
</file>

<file path=xl/drawings/_rels/drawing8.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7.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3.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2.png"/><Relationship Id="rId11" Type="http://schemas.openxmlformats.org/officeDocument/2006/relationships/image" Target="../media/image5.png"/><Relationship Id="rId5" Type="http://schemas.openxmlformats.org/officeDocument/2006/relationships/hyperlink" Target="#START!A1"/><Relationship Id="rId10" Type="http://schemas.openxmlformats.org/officeDocument/2006/relationships/image" Target="../media/image50.png"/><Relationship Id="rId4" Type="http://schemas.openxmlformats.org/officeDocument/2006/relationships/image" Target="../media/image21.png"/><Relationship Id="rId9" Type="http://schemas.openxmlformats.org/officeDocument/2006/relationships/image" Target="../media/image49.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START!A1"/><Relationship Id="rId7" Type="http://schemas.openxmlformats.org/officeDocument/2006/relationships/image" Target="../media/image5.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6.png"/><Relationship Id="rId5" Type="http://schemas.openxmlformats.org/officeDocument/2006/relationships/image" Target="../media/image55.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0.emf"/><Relationship Id="rId7" Type="http://schemas.openxmlformats.org/officeDocument/2006/relationships/image" Target="../media/image14.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3.vml.rels><?xml version="1.0" encoding="UTF-8" standalone="yes"?>
<Relationships xmlns="http://schemas.openxmlformats.org/package/2006/relationships"><Relationship Id="rId8" Type="http://schemas.openxmlformats.org/officeDocument/2006/relationships/image" Target="../media/image34.emf"/><Relationship Id="rId3" Type="http://schemas.openxmlformats.org/officeDocument/2006/relationships/image" Target="../media/image29.emf"/><Relationship Id="rId7" Type="http://schemas.openxmlformats.org/officeDocument/2006/relationships/image" Target="../media/image33.emf"/><Relationship Id="rId2" Type="http://schemas.openxmlformats.org/officeDocument/2006/relationships/image" Target="../media/image28.emf"/><Relationship Id="rId1" Type="http://schemas.openxmlformats.org/officeDocument/2006/relationships/image" Target="../media/image27.emf"/><Relationship Id="rId6" Type="http://schemas.openxmlformats.org/officeDocument/2006/relationships/image" Target="../media/image32.emf"/><Relationship Id="rId5" Type="http://schemas.openxmlformats.org/officeDocument/2006/relationships/image" Target="../media/image31.emf"/><Relationship Id="rId10" Type="http://schemas.openxmlformats.org/officeDocument/2006/relationships/image" Target="../media/image36.emf"/><Relationship Id="rId4" Type="http://schemas.openxmlformats.org/officeDocument/2006/relationships/image" Target="../media/image30.emf"/><Relationship Id="rId9" Type="http://schemas.openxmlformats.org/officeDocument/2006/relationships/image" Target="../media/image3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39.emf"/><Relationship Id="rId5" Type="http://schemas.openxmlformats.org/officeDocument/2006/relationships/image" Target="../media/image14.emf"/><Relationship Id="rId4"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39.emf"/><Relationship Id="rId5" Type="http://schemas.openxmlformats.org/officeDocument/2006/relationships/image" Target="../media/image14.emf"/><Relationship Id="rId4"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9.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9.emf"/><Relationship Id="rId1" Type="http://schemas.openxmlformats.org/officeDocument/2006/relationships/image" Target="../media/image46.emf"/><Relationship Id="rId6" Type="http://schemas.openxmlformats.org/officeDocument/2006/relationships/image" Target="../media/image14.emf"/><Relationship Id="rId11" Type="http://schemas.openxmlformats.org/officeDocument/2006/relationships/image" Target="../media/image48.emf"/><Relationship Id="rId5" Type="http://schemas.openxmlformats.org/officeDocument/2006/relationships/image" Target="../media/image13.emf"/><Relationship Id="rId10" Type="http://schemas.openxmlformats.org/officeDocument/2006/relationships/image" Target="../media/image39.emf"/><Relationship Id="rId4" Type="http://schemas.openxmlformats.org/officeDocument/2006/relationships/image" Target="../media/image12.emf"/><Relationship Id="rId9" Type="http://schemas.openxmlformats.org/officeDocument/2006/relationships/image" Target="../media/image47.emf"/></Relationships>
</file>

<file path=xl/drawings/drawing1.xml><?xml version="1.0" encoding="utf-8"?>
<xdr:wsDr xmlns:xdr="http://schemas.openxmlformats.org/drawingml/2006/spreadsheetDrawing" xmlns:a="http://schemas.openxmlformats.org/drawingml/2006/main">
  <xdr:twoCellAnchor editAs="oneCell">
    <xdr:from>
      <xdr:col>2</xdr:col>
      <xdr:colOff>245409</xdr:colOff>
      <xdr:row>5</xdr:row>
      <xdr:rowOff>111431</xdr:rowOff>
    </xdr:from>
    <xdr:to>
      <xdr:col>2</xdr:col>
      <xdr:colOff>531158</xdr:colOff>
      <xdr:row>6</xdr:row>
      <xdr:rowOff>194894</xdr:rowOff>
    </xdr:to>
    <xdr:pic>
      <xdr:nvPicPr>
        <xdr:cNvPr id="16" name="Obraz 15" descr="kciuk.jpg">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stretch>
          <a:fillRect/>
        </a:stretch>
      </xdr:blipFill>
      <xdr:spPr>
        <a:xfrm>
          <a:off x="1622871" y="1503546"/>
          <a:ext cx="285749" cy="266636"/>
        </a:xfrm>
        <a:prstGeom prst="rect">
          <a:avLst/>
        </a:prstGeom>
      </xdr:spPr>
    </xdr:pic>
    <xdr:clientData/>
  </xdr:twoCellAnchor>
  <xdr:twoCellAnchor editAs="oneCell">
    <xdr:from>
      <xdr:col>2</xdr:col>
      <xdr:colOff>252779</xdr:colOff>
      <xdr:row>9</xdr:row>
      <xdr:rowOff>101906</xdr:rowOff>
    </xdr:from>
    <xdr:to>
      <xdr:col>2</xdr:col>
      <xdr:colOff>538528</xdr:colOff>
      <xdr:row>10</xdr:row>
      <xdr:rowOff>185369</xdr:rowOff>
    </xdr:to>
    <xdr:pic>
      <xdr:nvPicPr>
        <xdr:cNvPr id="24" name="Obraz 23" descr="kciuk.jpg">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 cstate="print"/>
        <a:stretch>
          <a:fillRect/>
        </a:stretch>
      </xdr:blipFill>
      <xdr:spPr>
        <a:xfrm>
          <a:off x="1630241" y="2299983"/>
          <a:ext cx="285749" cy="266636"/>
        </a:xfrm>
        <a:prstGeom prst="rect">
          <a:avLst/>
        </a:prstGeom>
      </xdr:spPr>
    </xdr:pic>
    <xdr:clientData/>
  </xdr:twoCellAnchor>
  <xdr:twoCellAnchor editAs="oneCell">
    <xdr:from>
      <xdr:col>2</xdr:col>
      <xdr:colOff>260105</xdr:colOff>
      <xdr:row>11</xdr:row>
      <xdr:rowOff>106240</xdr:rowOff>
    </xdr:from>
    <xdr:to>
      <xdr:col>2</xdr:col>
      <xdr:colOff>545854</xdr:colOff>
      <xdr:row>12</xdr:row>
      <xdr:rowOff>189702</xdr:rowOff>
    </xdr:to>
    <xdr:pic>
      <xdr:nvPicPr>
        <xdr:cNvPr id="25" name="Obraz 24" descr="kciuk.jpg">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 cstate="print"/>
        <a:stretch>
          <a:fillRect/>
        </a:stretch>
      </xdr:blipFill>
      <xdr:spPr>
        <a:xfrm>
          <a:off x="1637567" y="2707298"/>
          <a:ext cx="285749" cy="266635"/>
        </a:xfrm>
        <a:prstGeom prst="rect">
          <a:avLst/>
        </a:prstGeom>
      </xdr:spPr>
    </xdr:pic>
    <xdr:clientData/>
  </xdr:twoCellAnchor>
  <xdr:twoCellAnchor editAs="oneCell">
    <xdr:from>
      <xdr:col>2</xdr:col>
      <xdr:colOff>255709</xdr:colOff>
      <xdr:row>13</xdr:row>
      <xdr:rowOff>108438</xdr:rowOff>
    </xdr:from>
    <xdr:to>
      <xdr:col>2</xdr:col>
      <xdr:colOff>541458</xdr:colOff>
      <xdr:row>14</xdr:row>
      <xdr:rowOff>191900</xdr:rowOff>
    </xdr:to>
    <xdr:pic>
      <xdr:nvPicPr>
        <xdr:cNvPr id="26" name="Obraz 25" descr="kciuk.jpg">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 cstate="print"/>
        <a:stretch>
          <a:fillRect/>
        </a:stretch>
      </xdr:blipFill>
      <xdr:spPr>
        <a:xfrm>
          <a:off x="1633171" y="3112476"/>
          <a:ext cx="285749" cy="266636"/>
        </a:xfrm>
        <a:prstGeom prst="rect">
          <a:avLst/>
        </a:prstGeom>
      </xdr:spPr>
    </xdr:pic>
    <xdr:clientData/>
  </xdr:twoCellAnchor>
  <xdr:twoCellAnchor editAs="oneCell">
    <xdr:from>
      <xdr:col>2</xdr:col>
      <xdr:colOff>255709</xdr:colOff>
      <xdr:row>15</xdr:row>
      <xdr:rowOff>121325</xdr:rowOff>
    </xdr:from>
    <xdr:to>
      <xdr:col>2</xdr:col>
      <xdr:colOff>541458</xdr:colOff>
      <xdr:row>16</xdr:row>
      <xdr:rowOff>204788</xdr:rowOff>
    </xdr:to>
    <xdr:pic>
      <xdr:nvPicPr>
        <xdr:cNvPr id="27" name="Obraz 26" descr="kciuk.jpg">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 cstate="print"/>
        <a:stretch>
          <a:fillRect/>
        </a:stretch>
      </xdr:blipFill>
      <xdr:spPr>
        <a:xfrm>
          <a:off x="1622827" y="3516707"/>
          <a:ext cx="285749" cy="262757"/>
        </a:xfrm>
        <a:prstGeom prst="rect">
          <a:avLst/>
        </a:prstGeom>
      </xdr:spPr>
    </xdr:pic>
    <xdr:clientData/>
  </xdr:twoCellAnchor>
  <xdr:twoCellAnchor editAs="oneCell">
    <xdr:from>
      <xdr:col>2</xdr:col>
      <xdr:colOff>257907</xdr:colOff>
      <xdr:row>17</xdr:row>
      <xdr:rowOff>153348</xdr:rowOff>
    </xdr:from>
    <xdr:to>
      <xdr:col>2</xdr:col>
      <xdr:colOff>543656</xdr:colOff>
      <xdr:row>18</xdr:row>
      <xdr:rowOff>197978</xdr:rowOff>
    </xdr:to>
    <xdr:pic>
      <xdr:nvPicPr>
        <xdr:cNvPr id="28" name="Obraz 27" descr="kciuk.jpg">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 cstate="print"/>
        <a:stretch>
          <a:fillRect/>
        </a:stretch>
      </xdr:blipFill>
      <xdr:spPr>
        <a:xfrm>
          <a:off x="1625025" y="3952142"/>
          <a:ext cx="285749" cy="268748"/>
        </a:xfrm>
        <a:prstGeom prst="rect">
          <a:avLst/>
        </a:prstGeom>
      </xdr:spPr>
    </xdr:pic>
    <xdr:clientData/>
  </xdr:twoCellAnchor>
  <xdr:twoCellAnchor editAs="oneCell">
    <xdr:from>
      <xdr:col>2</xdr:col>
      <xdr:colOff>262389</xdr:colOff>
      <xdr:row>19</xdr:row>
      <xdr:rowOff>108007</xdr:rowOff>
    </xdr:from>
    <xdr:to>
      <xdr:col>2</xdr:col>
      <xdr:colOff>548138</xdr:colOff>
      <xdr:row>20</xdr:row>
      <xdr:rowOff>152637</xdr:rowOff>
    </xdr:to>
    <xdr:pic>
      <xdr:nvPicPr>
        <xdr:cNvPr id="29" name="Obraz 28" descr="kciuk.jpg">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 cstate="print"/>
        <a:stretch>
          <a:fillRect/>
        </a:stretch>
      </xdr:blipFill>
      <xdr:spPr>
        <a:xfrm>
          <a:off x="1629507" y="4355036"/>
          <a:ext cx="285749" cy="268748"/>
        </a:xfrm>
        <a:prstGeom prst="rect">
          <a:avLst/>
        </a:prstGeom>
      </xdr:spPr>
    </xdr:pic>
    <xdr:clientData/>
  </xdr:twoCellAnchor>
  <xdr:twoCellAnchor editAs="oneCell">
    <xdr:from>
      <xdr:col>8</xdr:col>
      <xdr:colOff>298507</xdr:colOff>
      <xdr:row>21</xdr:row>
      <xdr:rowOff>149253</xdr:rowOff>
    </xdr:from>
    <xdr:to>
      <xdr:col>8</xdr:col>
      <xdr:colOff>584256</xdr:colOff>
      <xdr:row>23</xdr:row>
      <xdr:rowOff>21313</xdr:rowOff>
    </xdr:to>
    <xdr:pic>
      <xdr:nvPicPr>
        <xdr:cNvPr id="34" name="Obraz 33" descr="kciuk.jpg">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 cstate="print"/>
        <a:stretch>
          <a:fillRect/>
        </a:stretch>
      </xdr:blipFill>
      <xdr:spPr>
        <a:xfrm>
          <a:off x="5766978" y="4844518"/>
          <a:ext cx="285749" cy="275471"/>
        </a:xfrm>
        <a:prstGeom prst="rect">
          <a:avLst/>
        </a:prstGeom>
      </xdr:spPr>
    </xdr:pic>
    <xdr:clientData/>
  </xdr:twoCellAnchor>
  <xdr:twoCellAnchor editAs="oneCell">
    <xdr:from>
      <xdr:col>12</xdr:col>
      <xdr:colOff>437030</xdr:colOff>
      <xdr:row>5</xdr:row>
      <xdr:rowOff>67236</xdr:rowOff>
    </xdr:from>
    <xdr:to>
      <xdr:col>13</xdr:col>
      <xdr:colOff>313765</xdr:colOff>
      <xdr:row>7</xdr:row>
      <xdr:rowOff>22413</xdr:rowOff>
    </xdr:to>
    <xdr:pic>
      <xdr:nvPicPr>
        <xdr:cNvPr id="36" name="Obraz 35" descr="Łapka.png">
          <a:hlinkClick xmlns:r="http://schemas.openxmlformats.org/officeDocument/2006/relationships" r:id="rId4"/>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5" cstate="print"/>
        <a:stretch>
          <a:fillRect/>
        </a:stretch>
      </xdr:blipFill>
      <xdr:spPr>
        <a:xfrm>
          <a:off x="9513795" y="1445560"/>
          <a:ext cx="358588" cy="358588"/>
        </a:xfrm>
        <a:prstGeom prst="rect">
          <a:avLst/>
        </a:prstGeom>
      </xdr:spPr>
    </xdr:pic>
    <xdr:clientData/>
  </xdr:twoCellAnchor>
  <xdr:twoCellAnchor editAs="oneCell">
    <xdr:from>
      <xdr:col>12</xdr:col>
      <xdr:colOff>421342</xdr:colOff>
      <xdr:row>7</xdr:row>
      <xdr:rowOff>73961</xdr:rowOff>
    </xdr:from>
    <xdr:to>
      <xdr:col>13</xdr:col>
      <xdr:colOff>298077</xdr:colOff>
      <xdr:row>9</xdr:row>
      <xdr:rowOff>29137</xdr:rowOff>
    </xdr:to>
    <xdr:pic>
      <xdr:nvPicPr>
        <xdr:cNvPr id="46" name="Obraz 45" descr="Łapka.png">
          <a:hlinkClick xmlns:r="http://schemas.openxmlformats.org/officeDocument/2006/relationships" r:id="rId6"/>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5" cstate="print"/>
        <a:stretch>
          <a:fillRect/>
        </a:stretch>
      </xdr:blipFill>
      <xdr:spPr>
        <a:xfrm>
          <a:off x="9498107" y="1855696"/>
          <a:ext cx="358588" cy="358588"/>
        </a:xfrm>
        <a:prstGeom prst="rect">
          <a:avLst/>
        </a:prstGeom>
      </xdr:spPr>
    </xdr:pic>
    <xdr:clientData/>
  </xdr:twoCellAnchor>
  <xdr:twoCellAnchor editAs="oneCell">
    <xdr:from>
      <xdr:col>12</xdr:col>
      <xdr:colOff>425823</xdr:colOff>
      <xdr:row>13</xdr:row>
      <xdr:rowOff>78440</xdr:rowOff>
    </xdr:from>
    <xdr:to>
      <xdr:col>13</xdr:col>
      <xdr:colOff>302558</xdr:colOff>
      <xdr:row>15</xdr:row>
      <xdr:rowOff>33617</xdr:rowOff>
    </xdr:to>
    <xdr:pic>
      <xdr:nvPicPr>
        <xdr:cNvPr id="49" name="Obraz 48" descr="Łapka.png">
          <a:hlinkClick xmlns:r="http://schemas.openxmlformats.org/officeDocument/2006/relationships" r:id="rId7"/>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5" cstate="print"/>
        <a:stretch>
          <a:fillRect/>
        </a:stretch>
      </xdr:blipFill>
      <xdr:spPr>
        <a:xfrm>
          <a:off x="9502588" y="3070411"/>
          <a:ext cx="358588" cy="358588"/>
        </a:xfrm>
        <a:prstGeom prst="rect">
          <a:avLst/>
        </a:prstGeom>
      </xdr:spPr>
    </xdr:pic>
    <xdr:clientData/>
  </xdr:twoCellAnchor>
  <xdr:twoCellAnchor editAs="oneCell">
    <xdr:from>
      <xdr:col>12</xdr:col>
      <xdr:colOff>425823</xdr:colOff>
      <xdr:row>15</xdr:row>
      <xdr:rowOff>78440</xdr:rowOff>
    </xdr:from>
    <xdr:to>
      <xdr:col>13</xdr:col>
      <xdr:colOff>302558</xdr:colOff>
      <xdr:row>17</xdr:row>
      <xdr:rowOff>33616</xdr:rowOff>
    </xdr:to>
    <xdr:pic>
      <xdr:nvPicPr>
        <xdr:cNvPr id="50" name="Obraz 49" descr="Łapka.png">
          <a:hlinkClick xmlns:r="http://schemas.openxmlformats.org/officeDocument/2006/relationships" r:id="rId8"/>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5" cstate="print"/>
        <a:stretch>
          <a:fillRect/>
        </a:stretch>
      </xdr:blipFill>
      <xdr:spPr>
        <a:xfrm>
          <a:off x="9502588" y="3473822"/>
          <a:ext cx="358588" cy="358588"/>
        </a:xfrm>
        <a:prstGeom prst="rect">
          <a:avLst/>
        </a:prstGeom>
      </xdr:spPr>
    </xdr:pic>
    <xdr:clientData/>
  </xdr:twoCellAnchor>
  <xdr:twoCellAnchor editAs="oneCell">
    <xdr:from>
      <xdr:col>12</xdr:col>
      <xdr:colOff>410135</xdr:colOff>
      <xdr:row>17</xdr:row>
      <xdr:rowOff>96368</xdr:rowOff>
    </xdr:from>
    <xdr:to>
      <xdr:col>13</xdr:col>
      <xdr:colOff>286870</xdr:colOff>
      <xdr:row>19</xdr:row>
      <xdr:rowOff>6721</xdr:rowOff>
    </xdr:to>
    <xdr:pic>
      <xdr:nvPicPr>
        <xdr:cNvPr id="51" name="Obraz 50" descr="Łapka.png">
          <a:hlinkClick xmlns:r="http://schemas.openxmlformats.org/officeDocument/2006/relationships" r:id="rId9"/>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 cstate="print"/>
        <a:stretch>
          <a:fillRect/>
        </a:stretch>
      </xdr:blipFill>
      <xdr:spPr>
        <a:xfrm>
          <a:off x="9486900" y="3895162"/>
          <a:ext cx="358588" cy="358588"/>
        </a:xfrm>
        <a:prstGeom prst="rect">
          <a:avLst/>
        </a:prstGeom>
      </xdr:spPr>
    </xdr:pic>
    <xdr:clientData/>
  </xdr:twoCellAnchor>
  <xdr:twoCellAnchor editAs="oneCell">
    <xdr:from>
      <xdr:col>12</xdr:col>
      <xdr:colOff>416859</xdr:colOff>
      <xdr:row>19</xdr:row>
      <xdr:rowOff>91886</xdr:rowOff>
    </xdr:from>
    <xdr:to>
      <xdr:col>13</xdr:col>
      <xdr:colOff>293594</xdr:colOff>
      <xdr:row>21</xdr:row>
      <xdr:rowOff>2238</xdr:rowOff>
    </xdr:to>
    <xdr:pic>
      <xdr:nvPicPr>
        <xdr:cNvPr id="53" name="Obraz 52" descr="Łapka.png">
          <a:hlinkClick xmlns:r="http://schemas.openxmlformats.org/officeDocument/2006/relationships" r:id="rId10"/>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 cstate="print"/>
        <a:stretch>
          <a:fillRect/>
        </a:stretch>
      </xdr:blipFill>
      <xdr:spPr>
        <a:xfrm>
          <a:off x="9493624" y="4338915"/>
          <a:ext cx="358588" cy="358588"/>
        </a:xfrm>
        <a:prstGeom prst="rect">
          <a:avLst/>
        </a:prstGeom>
      </xdr:spPr>
    </xdr:pic>
    <xdr:clientData/>
  </xdr:twoCellAnchor>
  <xdr:twoCellAnchor>
    <xdr:from>
      <xdr:col>2</xdr:col>
      <xdr:colOff>0</xdr:colOff>
      <xdr:row>0</xdr:row>
      <xdr:rowOff>179291</xdr:rowOff>
    </xdr:from>
    <xdr:to>
      <xdr:col>14</xdr:col>
      <xdr:colOff>0</xdr:colOff>
      <xdr:row>3</xdr:row>
      <xdr:rowOff>437031</xdr:rowOff>
    </xdr:to>
    <xdr:sp macro="" textlink="">
      <xdr:nvSpPr>
        <xdr:cNvPr id="21" name="Rectangle 1">
          <a:extLst>
            <a:ext uri="{FF2B5EF4-FFF2-40B4-BE49-F238E27FC236}">
              <a16:creationId xmlns:a16="http://schemas.microsoft.com/office/drawing/2014/main" id="{00000000-0008-0000-0000-000015000000}"/>
            </a:ext>
          </a:extLst>
        </xdr:cNvPr>
        <xdr:cNvSpPr/>
      </xdr:nvSpPr>
      <xdr:spPr>
        <a:xfrm>
          <a:off x="1367118" y="179291"/>
          <a:ext cx="8875058" cy="795622"/>
        </a:xfrm>
        <a:prstGeom prst="rect">
          <a:avLst/>
        </a:prstGeom>
        <a:gradFill flip="none" rotWithShape="1">
          <a:gsLst>
            <a:gs pos="0">
              <a:srgbClr val="EF7D00"/>
            </a:gs>
            <a:gs pos="100000">
              <a:srgbClr val="C74F07"/>
            </a:gs>
          </a:gsLst>
          <a:lin ang="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wrap="square" lIns="360000" tIns="360000" rIns="91417" bIns="108000" rtlCol="0" anchor="ctr"/>
        <a:lstStyle>
          <a:defPPr>
            <a:defRPr lang="en-US"/>
          </a:defPPr>
          <a:lvl1pPr marL="0" algn="l" defTabSz="510683" rtl="0" eaLnBrk="1" latinLnBrk="0" hangingPunct="1">
            <a:defRPr sz="2000" kern="1200">
              <a:solidFill>
                <a:schemeClr val="lt1"/>
              </a:solidFill>
              <a:latin typeface="+mn-lt"/>
              <a:ea typeface="+mn-ea"/>
              <a:cs typeface="+mn-cs"/>
            </a:defRPr>
          </a:lvl1pPr>
          <a:lvl2pPr marL="510683" algn="l" defTabSz="510683" rtl="0" eaLnBrk="1" latinLnBrk="0" hangingPunct="1">
            <a:defRPr sz="2000" kern="1200">
              <a:solidFill>
                <a:schemeClr val="lt1"/>
              </a:solidFill>
              <a:latin typeface="+mn-lt"/>
              <a:ea typeface="+mn-ea"/>
              <a:cs typeface="+mn-cs"/>
            </a:defRPr>
          </a:lvl2pPr>
          <a:lvl3pPr marL="1021367" algn="l" defTabSz="510683" rtl="0" eaLnBrk="1" latinLnBrk="0" hangingPunct="1">
            <a:defRPr sz="2000" kern="1200">
              <a:solidFill>
                <a:schemeClr val="lt1"/>
              </a:solidFill>
              <a:latin typeface="+mn-lt"/>
              <a:ea typeface="+mn-ea"/>
              <a:cs typeface="+mn-cs"/>
            </a:defRPr>
          </a:lvl3pPr>
          <a:lvl4pPr marL="1532050" algn="l" defTabSz="510683" rtl="0" eaLnBrk="1" latinLnBrk="0" hangingPunct="1">
            <a:defRPr sz="2000" kern="1200">
              <a:solidFill>
                <a:schemeClr val="lt1"/>
              </a:solidFill>
              <a:latin typeface="+mn-lt"/>
              <a:ea typeface="+mn-ea"/>
              <a:cs typeface="+mn-cs"/>
            </a:defRPr>
          </a:lvl4pPr>
          <a:lvl5pPr marL="2042734" algn="l" defTabSz="510683" rtl="0" eaLnBrk="1" latinLnBrk="0" hangingPunct="1">
            <a:defRPr sz="2000" kern="1200">
              <a:solidFill>
                <a:schemeClr val="lt1"/>
              </a:solidFill>
              <a:latin typeface="+mn-lt"/>
              <a:ea typeface="+mn-ea"/>
              <a:cs typeface="+mn-cs"/>
            </a:defRPr>
          </a:lvl5pPr>
          <a:lvl6pPr marL="2553418" algn="l" defTabSz="510683" rtl="0" eaLnBrk="1" latinLnBrk="0" hangingPunct="1">
            <a:defRPr sz="2000" kern="1200">
              <a:solidFill>
                <a:schemeClr val="lt1"/>
              </a:solidFill>
              <a:latin typeface="+mn-lt"/>
              <a:ea typeface="+mn-ea"/>
              <a:cs typeface="+mn-cs"/>
            </a:defRPr>
          </a:lvl6pPr>
          <a:lvl7pPr marL="3064102" algn="l" defTabSz="510683" rtl="0" eaLnBrk="1" latinLnBrk="0" hangingPunct="1">
            <a:defRPr sz="2000" kern="1200">
              <a:solidFill>
                <a:schemeClr val="lt1"/>
              </a:solidFill>
              <a:latin typeface="+mn-lt"/>
              <a:ea typeface="+mn-ea"/>
              <a:cs typeface="+mn-cs"/>
            </a:defRPr>
          </a:lvl7pPr>
          <a:lvl8pPr marL="3574785" algn="l" defTabSz="510683" rtl="0" eaLnBrk="1" latinLnBrk="0" hangingPunct="1">
            <a:defRPr sz="2000" kern="1200">
              <a:solidFill>
                <a:schemeClr val="lt1"/>
              </a:solidFill>
              <a:latin typeface="+mn-lt"/>
              <a:ea typeface="+mn-ea"/>
              <a:cs typeface="+mn-cs"/>
            </a:defRPr>
          </a:lvl8pPr>
          <a:lvl9pPr marL="4085470" algn="l" defTabSz="510683" rtl="0" eaLnBrk="1" latinLnBrk="0" hangingPunct="1">
            <a:defRPr sz="2000" kern="1200">
              <a:solidFill>
                <a:schemeClr val="lt1"/>
              </a:solidFill>
              <a:latin typeface="+mn-lt"/>
              <a:ea typeface="+mn-ea"/>
              <a:cs typeface="+mn-cs"/>
            </a:defRPr>
          </a:lvl9pPr>
        </a:lstStyle>
        <a:p>
          <a:pPr marL="0" algn="l"/>
          <a:r>
            <a:rPr lang="pl-PL" sz="2400" baseline="0">
              <a:latin typeface="+mn-lt"/>
            </a:rPr>
            <a:t>Arkusz doboru układów utrzymania ciśnienia</a:t>
          </a:r>
          <a:endParaRPr lang="en-US" sz="2400" baseline="0">
            <a:latin typeface="+mn-lt"/>
          </a:endParaRPr>
        </a:p>
      </xdr:txBody>
    </xdr:sp>
    <xdr:clientData/>
  </xdr:twoCellAnchor>
  <xdr:twoCellAnchor editAs="oneCell">
    <xdr:from>
      <xdr:col>11</xdr:col>
      <xdr:colOff>380991</xdr:colOff>
      <xdr:row>0</xdr:row>
      <xdr:rowOff>22398</xdr:rowOff>
    </xdr:from>
    <xdr:to>
      <xdr:col>14</xdr:col>
      <xdr:colOff>81448</xdr:colOff>
      <xdr:row>4</xdr:row>
      <xdr:rowOff>49120</xdr:rowOff>
    </xdr:to>
    <xdr:pic>
      <xdr:nvPicPr>
        <xdr:cNvPr id="22" name="Picture 10">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1" cstate="print"/>
        <a:stretch>
          <a:fillRect/>
        </a:stretch>
      </xdr:blipFill>
      <xdr:spPr>
        <a:xfrm>
          <a:off x="8650932" y="22398"/>
          <a:ext cx="1672692" cy="1113693"/>
        </a:xfrm>
        <a:prstGeom prst="rect">
          <a:avLst/>
        </a:prstGeom>
      </xdr:spPr>
    </xdr:pic>
    <xdr:clientData/>
  </xdr:twoCellAnchor>
  <xdr:twoCellAnchor editAs="oneCell">
    <xdr:from>
      <xdr:col>2</xdr:col>
      <xdr:colOff>257739</xdr:colOff>
      <xdr:row>22</xdr:row>
      <xdr:rowOff>0</xdr:rowOff>
    </xdr:from>
    <xdr:to>
      <xdr:col>4</xdr:col>
      <xdr:colOff>430000</xdr:colOff>
      <xdr:row>26</xdr:row>
      <xdr:rowOff>132789</xdr:rowOff>
    </xdr:to>
    <xdr:pic>
      <xdr:nvPicPr>
        <xdr:cNvPr id="25602" name="Picture 2">
          <a:extLst>
            <a:ext uri="{FF2B5EF4-FFF2-40B4-BE49-F238E27FC236}">
              <a16:creationId xmlns:a16="http://schemas.microsoft.com/office/drawing/2014/main" id="{00000000-0008-0000-0000-00000264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624857" y="4919382"/>
          <a:ext cx="1539378" cy="849966"/>
        </a:xfrm>
        <a:prstGeom prst="rect">
          <a:avLst/>
        </a:prstGeom>
        <a:noFill/>
      </xdr:spPr>
    </xdr:pic>
    <xdr:clientData/>
  </xdr:twoCellAnchor>
  <xdr:twoCellAnchor editAs="oneCell">
    <xdr:from>
      <xdr:col>7</xdr:col>
      <xdr:colOff>201719</xdr:colOff>
      <xdr:row>24</xdr:row>
      <xdr:rowOff>56031</xdr:rowOff>
    </xdr:from>
    <xdr:to>
      <xdr:col>13</xdr:col>
      <xdr:colOff>644089</xdr:colOff>
      <xdr:row>26</xdr:row>
      <xdr:rowOff>134472</xdr:rowOff>
    </xdr:to>
    <xdr:pic>
      <xdr:nvPicPr>
        <xdr:cNvPr id="25606" name="Picture 6">
          <a:extLst>
            <a:ext uri="{FF2B5EF4-FFF2-40B4-BE49-F238E27FC236}">
              <a16:creationId xmlns:a16="http://schemas.microsoft.com/office/drawing/2014/main" id="{00000000-0008-0000-0000-00000664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986631" y="5345207"/>
          <a:ext cx="5216076" cy="437029"/>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28575</xdr:colOff>
      <xdr:row>1</xdr:row>
      <xdr:rowOff>575</xdr:rowOff>
    </xdr:to>
    <xdr:pic>
      <xdr:nvPicPr>
        <xdr:cNvPr id="6" name="Obraz 5" descr="Powrót.png">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stretch>
          <a:fillRect/>
        </a:stretch>
      </xdr:blipFill>
      <xdr:spPr>
        <a:xfrm>
          <a:off x="0" y="0"/>
          <a:ext cx="676275" cy="663515"/>
        </a:xfrm>
        <a:prstGeom prst="rect">
          <a:avLst/>
        </a:prstGeom>
      </xdr:spPr>
    </xdr:pic>
    <xdr:clientData/>
  </xdr:twoCellAnchor>
  <xdr:twoCellAnchor>
    <xdr:from>
      <xdr:col>1</xdr:col>
      <xdr:colOff>0</xdr:colOff>
      <xdr:row>0</xdr:row>
      <xdr:rowOff>14022</xdr:rowOff>
    </xdr:from>
    <xdr:to>
      <xdr:col>12</xdr:col>
      <xdr:colOff>704118</xdr:colOff>
      <xdr:row>1</xdr:row>
      <xdr:rowOff>14654</xdr:rowOff>
    </xdr:to>
    <xdr:sp macro="" textlink="">
      <xdr:nvSpPr>
        <xdr:cNvPr id="8" name="Rectangle 1">
          <a:extLst>
            <a:ext uri="{FF2B5EF4-FFF2-40B4-BE49-F238E27FC236}">
              <a16:creationId xmlns:a16="http://schemas.microsoft.com/office/drawing/2014/main" id="{00000000-0008-0000-0700-000008000000}"/>
            </a:ext>
          </a:extLst>
        </xdr:cNvPr>
        <xdr:cNvSpPr/>
      </xdr:nvSpPr>
      <xdr:spPr>
        <a:xfrm>
          <a:off x="647700" y="14022"/>
          <a:ext cx="6714393" cy="667382"/>
        </a:xfrm>
        <a:prstGeom prst="rect">
          <a:avLst/>
        </a:prstGeom>
        <a:gradFill flip="none" rotWithShape="1">
          <a:gsLst>
            <a:gs pos="0">
              <a:srgbClr val="EF7D00"/>
            </a:gs>
            <a:gs pos="100000">
              <a:srgbClr val="C74F07"/>
            </a:gs>
          </a:gsLst>
          <a:lin ang="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wrap="square" lIns="360000" tIns="360000" rIns="91417" bIns="108000" rtlCol="0" anchor="ctr"/>
        <a:lstStyle>
          <a:defPPr>
            <a:defRPr lang="en-US"/>
          </a:defPPr>
          <a:lvl1pPr marL="0" algn="l" defTabSz="510683" rtl="0" eaLnBrk="1" latinLnBrk="0" hangingPunct="1">
            <a:defRPr sz="2000" kern="1200">
              <a:solidFill>
                <a:schemeClr val="lt1"/>
              </a:solidFill>
              <a:latin typeface="+mn-lt"/>
              <a:ea typeface="+mn-ea"/>
              <a:cs typeface="+mn-cs"/>
            </a:defRPr>
          </a:lvl1pPr>
          <a:lvl2pPr marL="510683" algn="l" defTabSz="510683" rtl="0" eaLnBrk="1" latinLnBrk="0" hangingPunct="1">
            <a:defRPr sz="2000" kern="1200">
              <a:solidFill>
                <a:schemeClr val="lt1"/>
              </a:solidFill>
              <a:latin typeface="+mn-lt"/>
              <a:ea typeface="+mn-ea"/>
              <a:cs typeface="+mn-cs"/>
            </a:defRPr>
          </a:lvl2pPr>
          <a:lvl3pPr marL="1021367" algn="l" defTabSz="510683" rtl="0" eaLnBrk="1" latinLnBrk="0" hangingPunct="1">
            <a:defRPr sz="2000" kern="1200">
              <a:solidFill>
                <a:schemeClr val="lt1"/>
              </a:solidFill>
              <a:latin typeface="+mn-lt"/>
              <a:ea typeface="+mn-ea"/>
              <a:cs typeface="+mn-cs"/>
            </a:defRPr>
          </a:lvl3pPr>
          <a:lvl4pPr marL="1532050" algn="l" defTabSz="510683" rtl="0" eaLnBrk="1" latinLnBrk="0" hangingPunct="1">
            <a:defRPr sz="2000" kern="1200">
              <a:solidFill>
                <a:schemeClr val="lt1"/>
              </a:solidFill>
              <a:latin typeface="+mn-lt"/>
              <a:ea typeface="+mn-ea"/>
              <a:cs typeface="+mn-cs"/>
            </a:defRPr>
          </a:lvl4pPr>
          <a:lvl5pPr marL="2042734" algn="l" defTabSz="510683" rtl="0" eaLnBrk="1" latinLnBrk="0" hangingPunct="1">
            <a:defRPr sz="2000" kern="1200">
              <a:solidFill>
                <a:schemeClr val="lt1"/>
              </a:solidFill>
              <a:latin typeface="+mn-lt"/>
              <a:ea typeface="+mn-ea"/>
              <a:cs typeface="+mn-cs"/>
            </a:defRPr>
          </a:lvl5pPr>
          <a:lvl6pPr marL="2553418" algn="l" defTabSz="510683" rtl="0" eaLnBrk="1" latinLnBrk="0" hangingPunct="1">
            <a:defRPr sz="2000" kern="1200">
              <a:solidFill>
                <a:schemeClr val="lt1"/>
              </a:solidFill>
              <a:latin typeface="+mn-lt"/>
              <a:ea typeface="+mn-ea"/>
              <a:cs typeface="+mn-cs"/>
            </a:defRPr>
          </a:lvl6pPr>
          <a:lvl7pPr marL="3064102" algn="l" defTabSz="510683" rtl="0" eaLnBrk="1" latinLnBrk="0" hangingPunct="1">
            <a:defRPr sz="2000" kern="1200">
              <a:solidFill>
                <a:schemeClr val="lt1"/>
              </a:solidFill>
              <a:latin typeface="+mn-lt"/>
              <a:ea typeface="+mn-ea"/>
              <a:cs typeface="+mn-cs"/>
            </a:defRPr>
          </a:lvl7pPr>
          <a:lvl8pPr marL="3574785" algn="l" defTabSz="510683" rtl="0" eaLnBrk="1" latinLnBrk="0" hangingPunct="1">
            <a:defRPr sz="2000" kern="1200">
              <a:solidFill>
                <a:schemeClr val="lt1"/>
              </a:solidFill>
              <a:latin typeface="+mn-lt"/>
              <a:ea typeface="+mn-ea"/>
              <a:cs typeface="+mn-cs"/>
            </a:defRPr>
          </a:lvl8pPr>
          <a:lvl9pPr marL="4085470" algn="l" defTabSz="510683" rtl="0" eaLnBrk="1" latinLnBrk="0" hangingPunct="1">
            <a:defRPr sz="2000" kern="1200">
              <a:solidFill>
                <a:schemeClr val="lt1"/>
              </a:solidFill>
              <a:latin typeface="+mn-lt"/>
              <a:ea typeface="+mn-ea"/>
              <a:cs typeface="+mn-cs"/>
            </a:defRPr>
          </a:lvl9pPr>
        </a:lstStyle>
        <a:p>
          <a:pPr marL="0" algn="l"/>
          <a:r>
            <a:rPr lang="pl-PL" sz="1800" baseline="0">
              <a:latin typeface="+mn-lt"/>
            </a:rPr>
            <a:t>Arkusz doboru </a:t>
          </a:r>
          <a:r>
            <a:rPr lang="pl-PL" sz="1800" b="1" baseline="0">
              <a:latin typeface="+mn-lt"/>
            </a:rPr>
            <a:t>odgazowywacza próżniowego - Vento</a:t>
          </a:r>
        </a:p>
      </xdr:txBody>
    </xdr:sp>
    <xdr:clientData/>
  </xdr:twoCellAnchor>
  <xdr:twoCellAnchor editAs="oneCell">
    <xdr:from>
      <xdr:col>11</xdr:col>
      <xdr:colOff>335605</xdr:colOff>
      <xdr:row>0</xdr:row>
      <xdr:rowOff>0</xdr:rowOff>
    </xdr:from>
    <xdr:to>
      <xdr:col>13</xdr:col>
      <xdr:colOff>41764</xdr:colOff>
      <xdr:row>1</xdr:row>
      <xdr:rowOff>76200</xdr:rowOff>
    </xdr:to>
    <xdr:pic>
      <xdr:nvPicPr>
        <xdr:cNvPr id="9" name="Picture 10">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stretch>
          <a:fillRect/>
        </a:stretch>
      </xdr:blipFill>
      <xdr:spPr>
        <a:xfrm>
          <a:off x="6288730" y="0"/>
          <a:ext cx="1115859" cy="742950"/>
        </a:xfrm>
        <a:prstGeom prst="rect">
          <a:avLst/>
        </a:prstGeom>
      </xdr:spPr>
    </xdr:pic>
    <xdr:clientData/>
  </xdr:twoCellAnchor>
  <xdr:twoCellAnchor editAs="oneCell">
    <xdr:from>
      <xdr:col>1</xdr:col>
      <xdr:colOff>9525</xdr:colOff>
      <xdr:row>64</xdr:row>
      <xdr:rowOff>0</xdr:rowOff>
    </xdr:from>
    <xdr:to>
      <xdr:col>12</xdr:col>
      <xdr:colOff>458953</xdr:colOff>
      <xdr:row>66</xdr:row>
      <xdr:rowOff>123825</xdr:rowOff>
    </xdr:to>
    <xdr:pic>
      <xdr:nvPicPr>
        <xdr:cNvPr id="10" name="Picture 6">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57225" y="14468475"/>
          <a:ext cx="6707353" cy="561975"/>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11</xdr:col>
          <xdr:colOff>487680</xdr:colOff>
          <xdr:row>7</xdr:row>
          <xdr:rowOff>68580</xdr:rowOff>
        </xdr:from>
        <xdr:to>
          <xdr:col>12</xdr:col>
          <xdr:colOff>152400</xdr:colOff>
          <xdr:row>9</xdr:row>
          <xdr:rowOff>22860</xdr:rowOff>
        </xdr:to>
        <xdr:sp macro="" textlink="">
          <xdr:nvSpPr>
            <xdr:cNvPr id="22529" name="Spinner 1" hidden="1">
              <a:extLst>
                <a:ext uri="{63B3BB69-23CF-44E3-9099-C40C66FF867C}">
                  <a14:compatExt spid="_x0000_s22529"/>
                </a:ext>
                <a:ext uri="{FF2B5EF4-FFF2-40B4-BE49-F238E27FC236}">
                  <a16:creationId xmlns:a16="http://schemas.microsoft.com/office/drawing/2014/main" id="{00000000-0008-0000-0700-000001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487680</xdr:colOff>
          <xdr:row>9</xdr:row>
          <xdr:rowOff>99060</xdr:rowOff>
        </xdr:from>
        <xdr:to>
          <xdr:col>12</xdr:col>
          <xdr:colOff>152400</xdr:colOff>
          <xdr:row>11</xdr:row>
          <xdr:rowOff>60960</xdr:rowOff>
        </xdr:to>
        <xdr:sp macro="" textlink="">
          <xdr:nvSpPr>
            <xdr:cNvPr id="22530" name="Spinner 2" hidden="1">
              <a:extLst>
                <a:ext uri="{63B3BB69-23CF-44E3-9099-C40C66FF867C}">
                  <a14:compatExt spid="_x0000_s22530"/>
                </a:ext>
                <a:ext uri="{FF2B5EF4-FFF2-40B4-BE49-F238E27FC236}">
                  <a16:creationId xmlns:a16="http://schemas.microsoft.com/office/drawing/2014/main" id="{00000000-0008-0000-0700-000002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480060</xdr:colOff>
          <xdr:row>13</xdr:row>
          <xdr:rowOff>152400</xdr:rowOff>
        </xdr:from>
        <xdr:to>
          <xdr:col>12</xdr:col>
          <xdr:colOff>137160</xdr:colOff>
          <xdr:row>15</xdr:row>
          <xdr:rowOff>76200</xdr:rowOff>
        </xdr:to>
        <xdr:sp macro="" textlink="">
          <xdr:nvSpPr>
            <xdr:cNvPr id="22537" name="Spinner 9" hidden="1">
              <a:extLst>
                <a:ext uri="{63B3BB69-23CF-44E3-9099-C40C66FF867C}">
                  <a14:compatExt spid="_x0000_s22537"/>
                </a:ext>
                <a:ext uri="{FF2B5EF4-FFF2-40B4-BE49-F238E27FC236}">
                  <a16:creationId xmlns:a16="http://schemas.microsoft.com/office/drawing/2014/main" id="{00000000-0008-0000-0700-000009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480060</xdr:colOff>
          <xdr:row>11</xdr:row>
          <xdr:rowOff>121920</xdr:rowOff>
        </xdr:from>
        <xdr:to>
          <xdr:col>12</xdr:col>
          <xdr:colOff>144780</xdr:colOff>
          <xdr:row>13</xdr:row>
          <xdr:rowOff>76200</xdr:rowOff>
        </xdr:to>
        <xdr:sp macro="" textlink="">
          <xdr:nvSpPr>
            <xdr:cNvPr id="22540" name="Spinner 12" hidden="1">
              <a:extLst>
                <a:ext uri="{63B3BB69-23CF-44E3-9099-C40C66FF867C}">
                  <a14:compatExt spid="_x0000_s22540"/>
                </a:ext>
                <a:ext uri="{FF2B5EF4-FFF2-40B4-BE49-F238E27FC236}">
                  <a16:creationId xmlns:a16="http://schemas.microsoft.com/office/drawing/2014/main" id="{00000000-0008-0000-0700-00000C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41</xdr:row>
          <xdr:rowOff>68580</xdr:rowOff>
        </xdr:from>
        <xdr:to>
          <xdr:col>6</xdr:col>
          <xdr:colOff>121920</xdr:colOff>
          <xdr:row>42</xdr:row>
          <xdr:rowOff>99060</xdr:rowOff>
        </xdr:to>
        <xdr:sp macro="" textlink="">
          <xdr:nvSpPr>
            <xdr:cNvPr id="22541" name="Drop Down 13" hidden="1">
              <a:extLst>
                <a:ext uri="{63B3BB69-23CF-44E3-9099-C40C66FF867C}">
                  <a14:compatExt spid="_x0000_s22541"/>
                </a:ext>
                <a:ext uri="{FF2B5EF4-FFF2-40B4-BE49-F238E27FC236}">
                  <a16:creationId xmlns:a16="http://schemas.microsoft.com/office/drawing/2014/main" id="{00000000-0008-0000-0700-00000D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xdr:colOff>
      <xdr:row>44</xdr:row>
      <xdr:rowOff>209550</xdr:rowOff>
    </xdr:from>
    <xdr:to>
      <xdr:col>10</xdr:col>
      <xdr:colOff>523876</xdr:colOff>
      <xdr:row>58</xdr:row>
      <xdr:rowOff>60547</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5"/>
        <a:stretch>
          <a:fillRect/>
        </a:stretch>
      </xdr:blipFill>
      <xdr:spPr>
        <a:xfrm>
          <a:off x="1952626" y="10296525"/>
          <a:ext cx="3810000" cy="2918047"/>
        </a:xfrm>
        <a:prstGeom prst="rect">
          <a:avLst/>
        </a:prstGeom>
      </xdr:spPr>
    </xdr:pic>
    <xdr:clientData/>
  </xdr:twoCellAnchor>
  <xdr:twoCellAnchor editAs="oneCell">
    <xdr:from>
      <xdr:col>13</xdr:col>
      <xdr:colOff>198120</xdr:colOff>
      <xdr:row>2</xdr:row>
      <xdr:rowOff>15240</xdr:rowOff>
    </xdr:from>
    <xdr:to>
      <xdr:col>18</xdr:col>
      <xdr:colOff>189321</xdr:colOff>
      <xdr:row>16</xdr:row>
      <xdr:rowOff>45720</xdr:rowOff>
    </xdr:to>
    <xdr:pic>
      <xdr:nvPicPr>
        <xdr:cNvPr id="2" name="Obraz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6"/>
        <a:stretch>
          <a:fillRect/>
        </a:stretch>
      </xdr:blipFill>
      <xdr:spPr>
        <a:xfrm>
          <a:off x="7787640" y="899160"/>
          <a:ext cx="3168741" cy="3124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1</xdr:row>
      <xdr:rowOff>575</xdr:rowOff>
    </xdr:to>
    <xdr:pic>
      <xdr:nvPicPr>
        <xdr:cNvPr id="13" name="Obraz 12" descr="Powrót.png">
          <a:hlinkClick xmlns:r="http://schemas.openxmlformats.org/officeDocument/2006/relationships" r:id="rId1"/>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cstate="print"/>
        <a:stretch>
          <a:fillRect/>
        </a:stretch>
      </xdr:blipFill>
      <xdr:spPr>
        <a:xfrm>
          <a:off x="0" y="0"/>
          <a:ext cx="676275" cy="663515"/>
        </a:xfrm>
        <a:prstGeom prst="rect">
          <a:avLst/>
        </a:prstGeom>
      </xdr:spPr>
    </xdr:pic>
    <xdr:clientData/>
  </xdr:twoCellAnchor>
  <xdr:twoCellAnchor editAs="oneCell">
    <xdr:from>
      <xdr:col>14</xdr:col>
      <xdr:colOff>9525</xdr:colOff>
      <xdr:row>37</xdr:row>
      <xdr:rowOff>47625</xdr:rowOff>
    </xdr:from>
    <xdr:to>
      <xdr:col>18</xdr:col>
      <xdr:colOff>258100</xdr:colOff>
      <xdr:row>45</xdr:row>
      <xdr:rowOff>123825</xdr:rowOff>
    </xdr:to>
    <xdr:pic>
      <xdr:nvPicPr>
        <xdr:cNvPr id="5" name="Picture 39">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829550" y="7286625"/>
          <a:ext cx="2991775" cy="1828800"/>
        </a:xfrm>
        <a:prstGeom prst="rect">
          <a:avLst/>
        </a:prstGeom>
        <a:noFill/>
      </xdr:spPr>
    </xdr:pic>
    <xdr:clientData/>
  </xdr:twoCellAnchor>
  <xdr:twoCellAnchor editAs="oneCell">
    <xdr:from>
      <xdr:col>14</xdr:col>
      <xdr:colOff>9525</xdr:colOff>
      <xdr:row>47</xdr:row>
      <xdr:rowOff>19050</xdr:rowOff>
    </xdr:from>
    <xdr:to>
      <xdr:col>18</xdr:col>
      <xdr:colOff>266700</xdr:colOff>
      <xdr:row>53</xdr:row>
      <xdr:rowOff>123825</xdr:rowOff>
    </xdr:to>
    <xdr:pic>
      <xdr:nvPicPr>
        <xdr:cNvPr id="6" name="Picture 4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829550" y="9448800"/>
          <a:ext cx="3000375" cy="1552575"/>
        </a:xfrm>
        <a:prstGeom prst="rect">
          <a:avLst/>
        </a:prstGeom>
        <a:noFill/>
      </xdr:spPr>
    </xdr:pic>
    <xdr:clientData/>
  </xdr:twoCellAnchor>
  <xdr:twoCellAnchor>
    <xdr:from>
      <xdr:col>1</xdr:col>
      <xdr:colOff>0</xdr:colOff>
      <xdr:row>0</xdr:row>
      <xdr:rowOff>14022</xdr:rowOff>
    </xdr:from>
    <xdr:to>
      <xdr:col>12</xdr:col>
      <xdr:colOff>704118</xdr:colOff>
      <xdr:row>1</xdr:row>
      <xdr:rowOff>14654</xdr:rowOff>
    </xdr:to>
    <xdr:sp macro="" textlink="">
      <xdr:nvSpPr>
        <xdr:cNvPr id="7" name="Rectangle 1">
          <a:extLst>
            <a:ext uri="{FF2B5EF4-FFF2-40B4-BE49-F238E27FC236}">
              <a16:creationId xmlns:a16="http://schemas.microsoft.com/office/drawing/2014/main" id="{00000000-0008-0000-0800-000007000000}"/>
            </a:ext>
          </a:extLst>
        </xdr:cNvPr>
        <xdr:cNvSpPr/>
      </xdr:nvSpPr>
      <xdr:spPr>
        <a:xfrm>
          <a:off x="666750" y="14022"/>
          <a:ext cx="6714393" cy="667382"/>
        </a:xfrm>
        <a:prstGeom prst="rect">
          <a:avLst/>
        </a:prstGeom>
        <a:gradFill flip="none" rotWithShape="1">
          <a:gsLst>
            <a:gs pos="0">
              <a:srgbClr val="EF7D00"/>
            </a:gs>
            <a:gs pos="100000">
              <a:srgbClr val="C74F07"/>
            </a:gs>
          </a:gsLst>
          <a:lin ang="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wrap="square" lIns="360000" tIns="360000" rIns="91417" bIns="108000" rtlCol="0" anchor="ctr"/>
        <a:lstStyle>
          <a:defPPr>
            <a:defRPr lang="en-US"/>
          </a:defPPr>
          <a:lvl1pPr marL="0" algn="l" defTabSz="510683" rtl="0" eaLnBrk="1" latinLnBrk="0" hangingPunct="1">
            <a:defRPr sz="2000" kern="1200">
              <a:solidFill>
                <a:schemeClr val="lt1"/>
              </a:solidFill>
              <a:latin typeface="+mn-lt"/>
              <a:ea typeface="+mn-ea"/>
              <a:cs typeface="+mn-cs"/>
            </a:defRPr>
          </a:lvl1pPr>
          <a:lvl2pPr marL="510683" algn="l" defTabSz="510683" rtl="0" eaLnBrk="1" latinLnBrk="0" hangingPunct="1">
            <a:defRPr sz="2000" kern="1200">
              <a:solidFill>
                <a:schemeClr val="lt1"/>
              </a:solidFill>
              <a:latin typeface="+mn-lt"/>
              <a:ea typeface="+mn-ea"/>
              <a:cs typeface="+mn-cs"/>
            </a:defRPr>
          </a:lvl2pPr>
          <a:lvl3pPr marL="1021367" algn="l" defTabSz="510683" rtl="0" eaLnBrk="1" latinLnBrk="0" hangingPunct="1">
            <a:defRPr sz="2000" kern="1200">
              <a:solidFill>
                <a:schemeClr val="lt1"/>
              </a:solidFill>
              <a:latin typeface="+mn-lt"/>
              <a:ea typeface="+mn-ea"/>
              <a:cs typeface="+mn-cs"/>
            </a:defRPr>
          </a:lvl3pPr>
          <a:lvl4pPr marL="1532050" algn="l" defTabSz="510683" rtl="0" eaLnBrk="1" latinLnBrk="0" hangingPunct="1">
            <a:defRPr sz="2000" kern="1200">
              <a:solidFill>
                <a:schemeClr val="lt1"/>
              </a:solidFill>
              <a:latin typeface="+mn-lt"/>
              <a:ea typeface="+mn-ea"/>
              <a:cs typeface="+mn-cs"/>
            </a:defRPr>
          </a:lvl4pPr>
          <a:lvl5pPr marL="2042734" algn="l" defTabSz="510683" rtl="0" eaLnBrk="1" latinLnBrk="0" hangingPunct="1">
            <a:defRPr sz="2000" kern="1200">
              <a:solidFill>
                <a:schemeClr val="lt1"/>
              </a:solidFill>
              <a:latin typeface="+mn-lt"/>
              <a:ea typeface="+mn-ea"/>
              <a:cs typeface="+mn-cs"/>
            </a:defRPr>
          </a:lvl5pPr>
          <a:lvl6pPr marL="2553418" algn="l" defTabSz="510683" rtl="0" eaLnBrk="1" latinLnBrk="0" hangingPunct="1">
            <a:defRPr sz="2000" kern="1200">
              <a:solidFill>
                <a:schemeClr val="lt1"/>
              </a:solidFill>
              <a:latin typeface="+mn-lt"/>
              <a:ea typeface="+mn-ea"/>
              <a:cs typeface="+mn-cs"/>
            </a:defRPr>
          </a:lvl6pPr>
          <a:lvl7pPr marL="3064102" algn="l" defTabSz="510683" rtl="0" eaLnBrk="1" latinLnBrk="0" hangingPunct="1">
            <a:defRPr sz="2000" kern="1200">
              <a:solidFill>
                <a:schemeClr val="lt1"/>
              </a:solidFill>
              <a:latin typeface="+mn-lt"/>
              <a:ea typeface="+mn-ea"/>
              <a:cs typeface="+mn-cs"/>
            </a:defRPr>
          </a:lvl7pPr>
          <a:lvl8pPr marL="3574785" algn="l" defTabSz="510683" rtl="0" eaLnBrk="1" latinLnBrk="0" hangingPunct="1">
            <a:defRPr sz="2000" kern="1200">
              <a:solidFill>
                <a:schemeClr val="lt1"/>
              </a:solidFill>
              <a:latin typeface="+mn-lt"/>
              <a:ea typeface="+mn-ea"/>
              <a:cs typeface="+mn-cs"/>
            </a:defRPr>
          </a:lvl8pPr>
          <a:lvl9pPr marL="4085470" algn="l" defTabSz="510683" rtl="0" eaLnBrk="1" latinLnBrk="0" hangingPunct="1">
            <a:defRPr sz="2000" kern="1200">
              <a:solidFill>
                <a:schemeClr val="lt1"/>
              </a:solidFill>
              <a:latin typeface="+mn-lt"/>
              <a:ea typeface="+mn-ea"/>
              <a:cs typeface="+mn-cs"/>
            </a:defRPr>
          </a:lvl9pPr>
        </a:lstStyle>
        <a:p>
          <a:pPr marL="0" algn="l"/>
          <a:r>
            <a:rPr lang="pl-PL" sz="1800" baseline="0">
              <a:latin typeface="+mn-lt"/>
            </a:rPr>
            <a:t>Arkusz doboru </a:t>
          </a:r>
          <a:r>
            <a:rPr lang="pl-PL" sz="1800" b="1" baseline="0">
              <a:latin typeface="+mn-lt"/>
            </a:rPr>
            <a:t>naczynia pośredniego</a:t>
          </a:r>
        </a:p>
      </xdr:txBody>
    </xdr:sp>
    <xdr:clientData/>
  </xdr:twoCellAnchor>
  <xdr:twoCellAnchor editAs="oneCell">
    <xdr:from>
      <xdr:col>11</xdr:col>
      <xdr:colOff>335605</xdr:colOff>
      <xdr:row>0</xdr:row>
      <xdr:rowOff>0</xdr:rowOff>
    </xdr:from>
    <xdr:to>
      <xdr:col>13</xdr:col>
      <xdr:colOff>41764</xdr:colOff>
      <xdr:row>1</xdr:row>
      <xdr:rowOff>76200</xdr:rowOff>
    </xdr:to>
    <xdr:pic>
      <xdr:nvPicPr>
        <xdr:cNvPr id="8" name="Picture 10">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cstate="print"/>
        <a:stretch>
          <a:fillRect/>
        </a:stretch>
      </xdr:blipFill>
      <xdr:spPr>
        <a:xfrm>
          <a:off x="6307780" y="0"/>
          <a:ext cx="1115859" cy="742950"/>
        </a:xfrm>
        <a:prstGeom prst="rect">
          <a:avLst/>
        </a:prstGeom>
      </xdr:spPr>
    </xdr:pic>
    <xdr:clientData/>
  </xdr:twoCellAnchor>
  <xdr:twoCellAnchor editAs="oneCell">
    <xdr:from>
      <xdr:col>1</xdr:col>
      <xdr:colOff>9525</xdr:colOff>
      <xdr:row>65</xdr:row>
      <xdr:rowOff>0</xdr:rowOff>
    </xdr:from>
    <xdr:to>
      <xdr:col>13</xdr:col>
      <xdr:colOff>1753</xdr:colOff>
      <xdr:row>67</xdr:row>
      <xdr:rowOff>123825</xdr:rowOff>
    </xdr:to>
    <xdr:pic>
      <xdr:nvPicPr>
        <xdr:cNvPr id="9" name="Picture 6">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76275" y="14820900"/>
          <a:ext cx="6707353" cy="56197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8</xdr:col>
          <xdr:colOff>388620</xdr:colOff>
          <xdr:row>12</xdr:row>
          <xdr:rowOff>22860</xdr:rowOff>
        </xdr:from>
        <xdr:to>
          <xdr:col>12</xdr:col>
          <xdr:colOff>0</xdr:colOff>
          <xdr:row>13</xdr:row>
          <xdr:rowOff>22860</xdr:rowOff>
        </xdr:to>
        <xdr:sp macro="" textlink="">
          <xdr:nvSpPr>
            <xdr:cNvPr id="24577" name="Drop Dow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7</xdr:row>
          <xdr:rowOff>83820</xdr:rowOff>
        </xdr:from>
        <xdr:to>
          <xdr:col>12</xdr:col>
          <xdr:colOff>0</xdr:colOff>
          <xdr:row>9</xdr:row>
          <xdr:rowOff>38100</xdr:rowOff>
        </xdr:to>
        <xdr:sp macro="" textlink="">
          <xdr:nvSpPr>
            <xdr:cNvPr id="24578" name="Spinner 2" hidden="1">
              <a:extLst>
                <a:ext uri="{63B3BB69-23CF-44E3-9099-C40C66FF867C}">
                  <a14:compatExt spid="_x0000_s24578"/>
                </a:ext>
                <a:ext uri="{FF2B5EF4-FFF2-40B4-BE49-F238E27FC236}">
                  <a16:creationId xmlns:a16="http://schemas.microsoft.com/office/drawing/2014/main" id="{00000000-0008-0000-0800-000002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144780</xdr:rowOff>
        </xdr:from>
        <xdr:to>
          <xdr:col>5</xdr:col>
          <xdr:colOff>426720</xdr:colOff>
          <xdr:row>36</xdr:row>
          <xdr:rowOff>68580</xdr:rowOff>
        </xdr:to>
        <xdr:sp macro="" textlink="">
          <xdr:nvSpPr>
            <xdr:cNvPr id="24594" name="Object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xdr:row>
          <xdr:rowOff>144780</xdr:rowOff>
        </xdr:from>
        <xdr:to>
          <xdr:col>4</xdr:col>
          <xdr:colOff>312420</xdr:colOff>
          <xdr:row>50</xdr:row>
          <xdr:rowOff>144780</xdr:rowOff>
        </xdr:to>
        <xdr:sp macro="" textlink="">
          <xdr:nvSpPr>
            <xdr:cNvPr id="24595" name="Drop Dow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266700</xdr:colOff>
          <xdr:row>49</xdr:row>
          <xdr:rowOff>45720</xdr:rowOff>
        </xdr:from>
        <xdr:to>
          <xdr:col>8</xdr:col>
          <xdr:colOff>99060</xdr:colOff>
          <xdr:row>51</xdr:row>
          <xdr:rowOff>0</xdr:rowOff>
        </xdr:to>
        <xdr:sp macro="" textlink="">
          <xdr:nvSpPr>
            <xdr:cNvPr id="24596" name="Spinner 20" hidden="1">
              <a:extLst>
                <a:ext uri="{63B3BB69-23CF-44E3-9099-C40C66FF867C}">
                  <a14:compatExt spid="_x0000_s24596"/>
                </a:ext>
                <a:ext uri="{FF2B5EF4-FFF2-40B4-BE49-F238E27FC236}">
                  <a16:creationId xmlns:a16="http://schemas.microsoft.com/office/drawing/2014/main" id="{00000000-0008-0000-0800-000014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9</xdr:row>
          <xdr:rowOff>83820</xdr:rowOff>
        </xdr:from>
        <xdr:to>
          <xdr:col>12</xdr:col>
          <xdr:colOff>0</xdr:colOff>
          <xdr:row>11</xdr:row>
          <xdr:rowOff>38100</xdr:rowOff>
        </xdr:to>
        <xdr:sp macro="" textlink="">
          <xdr:nvSpPr>
            <xdr:cNvPr id="24599" name="Spinner 23" hidden="1">
              <a:extLst>
                <a:ext uri="{63B3BB69-23CF-44E3-9099-C40C66FF867C}">
                  <a14:compatExt spid="_x0000_s24599"/>
                </a:ext>
                <a:ext uri="{FF2B5EF4-FFF2-40B4-BE49-F238E27FC236}">
                  <a16:creationId xmlns:a16="http://schemas.microsoft.com/office/drawing/2014/main" id="{00000000-0008-0000-0800-000017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15</xdr:row>
          <xdr:rowOff>99060</xdr:rowOff>
        </xdr:from>
        <xdr:to>
          <xdr:col>12</xdr:col>
          <xdr:colOff>0</xdr:colOff>
          <xdr:row>17</xdr:row>
          <xdr:rowOff>45720</xdr:rowOff>
        </xdr:to>
        <xdr:sp macro="" textlink="">
          <xdr:nvSpPr>
            <xdr:cNvPr id="24604" name="Spinner 28" hidden="1">
              <a:extLst>
                <a:ext uri="{63B3BB69-23CF-44E3-9099-C40C66FF867C}">
                  <a14:compatExt spid="_x0000_s24604"/>
                </a:ext>
                <a:ext uri="{FF2B5EF4-FFF2-40B4-BE49-F238E27FC236}">
                  <a16:creationId xmlns:a16="http://schemas.microsoft.com/office/drawing/2014/main" id="{00000000-0008-0000-0800-00001C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137160</xdr:colOff>
          <xdr:row>18</xdr:row>
          <xdr:rowOff>22860</xdr:rowOff>
        </xdr:from>
        <xdr:to>
          <xdr:col>12</xdr:col>
          <xdr:colOff>0</xdr:colOff>
          <xdr:row>19</xdr:row>
          <xdr:rowOff>22860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0800-00001D6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TAK</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9</xdr:col>
      <xdr:colOff>19050</xdr:colOff>
      <xdr:row>20</xdr:row>
      <xdr:rowOff>19050</xdr:rowOff>
    </xdr:from>
    <xdr:to>
      <xdr:col>15</xdr:col>
      <xdr:colOff>590550</xdr:colOff>
      <xdr:row>31</xdr:row>
      <xdr:rowOff>133350</xdr:rowOff>
    </xdr:to>
    <xdr:pic>
      <xdr:nvPicPr>
        <xdr:cNvPr id="23554" name="Picture 2">
          <a:extLst>
            <a:ext uri="{FF2B5EF4-FFF2-40B4-BE49-F238E27FC236}">
              <a16:creationId xmlns:a16="http://schemas.microsoft.com/office/drawing/2014/main" id="{00000000-0008-0000-0F00-000002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19950" y="3409950"/>
          <a:ext cx="4686300" cy="2209800"/>
        </a:xfrm>
        <a:prstGeom prst="rect">
          <a:avLst/>
        </a:prstGeom>
        <a:noFill/>
        <a:ln w="1">
          <a:noFill/>
          <a:miter lim="800000"/>
          <a:headEnd/>
          <a:tailEnd type="none" w="med" len="med"/>
        </a:ln>
        <a:effectLst/>
      </xdr:spPr>
    </xdr:pic>
    <xdr:clientData/>
  </xdr:twoCellAnchor>
  <xdr:twoCellAnchor editAs="oneCell">
    <xdr:from>
      <xdr:col>8</xdr:col>
      <xdr:colOff>28575</xdr:colOff>
      <xdr:row>0</xdr:row>
      <xdr:rowOff>0</xdr:rowOff>
    </xdr:from>
    <xdr:to>
      <xdr:col>20</xdr:col>
      <xdr:colOff>94213</xdr:colOff>
      <xdr:row>18</xdr:row>
      <xdr:rowOff>18624</xdr:rowOff>
    </xdr:to>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6543675" y="0"/>
          <a:ext cx="8295238" cy="34095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29</xdr:row>
      <xdr:rowOff>114300</xdr:rowOff>
    </xdr:from>
    <xdr:to>
      <xdr:col>10</xdr:col>
      <xdr:colOff>47625</xdr:colOff>
      <xdr:row>65</xdr:row>
      <xdr:rowOff>19050</xdr:rowOff>
    </xdr:to>
    <xdr:graphicFrame macro="">
      <xdr:nvGraphicFramePr>
        <xdr:cNvPr id="2" name="Chart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352425</xdr:colOff>
      <xdr:row>0</xdr:row>
      <xdr:rowOff>9525</xdr:rowOff>
    </xdr:from>
    <xdr:to>
      <xdr:col>20</xdr:col>
      <xdr:colOff>752475</xdr:colOff>
      <xdr:row>2</xdr:row>
      <xdr:rowOff>123825</xdr:rowOff>
    </xdr:to>
    <xdr:pic>
      <xdr:nvPicPr>
        <xdr:cNvPr id="3" name="Picture 4" descr="ptex_LOGO_3var">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935325" y="9525"/>
          <a:ext cx="2686050" cy="438150"/>
        </a:xfrm>
        <a:prstGeom prst="rect">
          <a:avLst/>
        </a:prstGeom>
        <a:noFill/>
        <a:ln w="9525">
          <a:noFill/>
          <a:miter lim="800000"/>
          <a:headEnd/>
          <a:tailEnd/>
        </a:ln>
      </xdr:spPr>
    </xdr:pic>
    <xdr:clientData/>
  </xdr:twoCellAnchor>
  <xdr:twoCellAnchor editAs="oneCell">
    <xdr:from>
      <xdr:col>11</xdr:col>
      <xdr:colOff>695325</xdr:colOff>
      <xdr:row>15</xdr:row>
      <xdr:rowOff>19050</xdr:rowOff>
    </xdr:from>
    <xdr:to>
      <xdr:col>18</xdr:col>
      <xdr:colOff>447675</xdr:colOff>
      <xdr:row>33</xdr:row>
      <xdr:rowOff>38100</xdr:rowOff>
    </xdr:to>
    <xdr:pic>
      <xdr:nvPicPr>
        <xdr:cNvPr id="4" name="Picture 6" descr="schema_compresso-cx">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cstate="print"/>
        <a:srcRect b="60156"/>
        <a:stretch>
          <a:fillRect/>
        </a:stretch>
      </xdr:blipFill>
      <xdr:spPr bwMode="auto">
        <a:xfrm>
          <a:off x="11706225" y="3362325"/>
          <a:ext cx="5086350" cy="3648075"/>
        </a:xfrm>
        <a:prstGeom prst="rect">
          <a:avLst/>
        </a:prstGeom>
        <a:noFill/>
        <a:ln w="9525">
          <a:noFill/>
          <a:miter lim="800000"/>
          <a:headEnd/>
          <a:tailEnd/>
        </a:ln>
      </xdr:spPr>
    </xdr:pic>
    <xdr:clientData/>
  </xdr:twoCellAnchor>
  <xdr:twoCellAnchor>
    <xdr:from>
      <xdr:col>11</xdr:col>
      <xdr:colOff>361950</xdr:colOff>
      <xdr:row>40</xdr:row>
      <xdr:rowOff>104775</xdr:rowOff>
    </xdr:from>
    <xdr:to>
      <xdr:col>18</xdr:col>
      <xdr:colOff>714375</xdr:colOff>
      <xdr:row>64</xdr:row>
      <xdr:rowOff>85725</xdr:rowOff>
    </xdr:to>
    <xdr:grpSp>
      <xdr:nvGrpSpPr>
        <xdr:cNvPr id="5" name="Group 21">
          <a:extLst>
            <a:ext uri="{FF2B5EF4-FFF2-40B4-BE49-F238E27FC236}">
              <a16:creationId xmlns:a16="http://schemas.microsoft.com/office/drawing/2014/main" id="{00000000-0008-0000-1100-000005000000}"/>
            </a:ext>
          </a:extLst>
        </xdr:cNvPr>
        <xdr:cNvGrpSpPr>
          <a:grpSpLocks/>
        </xdr:cNvGrpSpPr>
      </xdr:nvGrpSpPr>
      <xdr:grpSpPr bwMode="auto">
        <a:xfrm>
          <a:off x="11395710" y="8293735"/>
          <a:ext cx="5686425" cy="4126230"/>
          <a:chOff x="1196" y="792"/>
          <a:chExt cx="596" cy="407"/>
        </a:xfrm>
      </xdr:grpSpPr>
      <xdr:sp macro="" textlink="">
        <xdr:nvSpPr>
          <xdr:cNvPr id="6" name="Text Box 22">
            <a:extLst>
              <a:ext uri="{FF2B5EF4-FFF2-40B4-BE49-F238E27FC236}">
                <a16:creationId xmlns:a16="http://schemas.microsoft.com/office/drawing/2014/main" id="{00000000-0008-0000-1100-000006000000}"/>
              </a:ext>
            </a:extLst>
          </xdr:cNvPr>
          <xdr:cNvSpPr txBox="1">
            <a:spLocks noChangeArrowheads="1"/>
          </xdr:cNvSpPr>
        </xdr:nvSpPr>
        <xdr:spPr bwMode="auto">
          <a:xfrm>
            <a:off x="1437" y="797"/>
            <a:ext cx="110" cy="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pl-PL" sz="1400" b="0" i="0" u="none" strike="noStrike" baseline="0">
                <a:solidFill>
                  <a:srgbClr val="000000"/>
                </a:solidFill>
                <a:latin typeface="Arial"/>
                <a:cs typeface="Arial"/>
              </a:rPr>
              <a:t>Pman</a:t>
            </a:r>
          </a:p>
        </xdr:txBody>
      </xdr:sp>
      <xdr:sp macro="" textlink="">
        <xdr:nvSpPr>
          <xdr:cNvPr id="7" name="Text Box 23">
            <a:extLst>
              <a:ext uri="{FF2B5EF4-FFF2-40B4-BE49-F238E27FC236}">
                <a16:creationId xmlns:a16="http://schemas.microsoft.com/office/drawing/2014/main" id="{00000000-0008-0000-1100-000007000000}"/>
              </a:ext>
            </a:extLst>
          </xdr:cNvPr>
          <xdr:cNvSpPr txBox="1">
            <a:spLocks noChangeArrowheads="1"/>
          </xdr:cNvSpPr>
        </xdr:nvSpPr>
        <xdr:spPr bwMode="auto">
          <a:xfrm>
            <a:off x="1231" y="792"/>
            <a:ext cx="109" cy="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pl-PL" sz="1400" b="0" i="0" u="none" strike="noStrike" baseline="0">
                <a:solidFill>
                  <a:srgbClr val="000000"/>
                </a:solidFill>
                <a:latin typeface="Arial"/>
                <a:cs typeface="Arial"/>
              </a:rPr>
              <a:t>pa</a:t>
            </a:r>
          </a:p>
        </xdr:txBody>
      </xdr:sp>
      <xdr:sp macro="" textlink="">
        <xdr:nvSpPr>
          <xdr:cNvPr id="8" name="Text Box 24">
            <a:extLst>
              <a:ext uri="{FF2B5EF4-FFF2-40B4-BE49-F238E27FC236}">
                <a16:creationId xmlns:a16="http://schemas.microsoft.com/office/drawing/2014/main" id="{00000000-0008-0000-1100-000008000000}"/>
              </a:ext>
            </a:extLst>
          </xdr:cNvPr>
          <xdr:cNvSpPr txBox="1">
            <a:spLocks noChangeArrowheads="1"/>
          </xdr:cNvSpPr>
        </xdr:nvSpPr>
        <xdr:spPr bwMode="auto">
          <a:xfrm>
            <a:off x="1645" y="795"/>
            <a:ext cx="109" cy="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pl-PL" sz="1400" b="0" i="0" u="none" strike="noStrike" baseline="0">
                <a:solidFill>
                  <a:srgbClr val="000000"/>
                </a:solidFill>
                <a:latin typeface="Arial"/>
                <a:cs typeface="Arial"/>
              </a:rPr>
              <a:t>pe</a:t>
            </a:r>
          </a:p>
        </xdr:txBody>
      </xdr:sp>
      <xdr:sp macro="" textlink="">
        <xdr:nvSpPr>
          <xdr:cNvPr id="9" name="Text Box 25">
            <a:extLst>
              <a:ext uri="{FF2B5EF4-FFF2-40B4-BE49-F238E27FC236}">
                <a16:creationId xmlns:a16="http://schemas.microsoft.com/office/drawing/2014/main" id="{00000000-0008-0000-1100-000009000000}"/>
              </a:ext>
            </a:extLst>
          </xdr:cNvPr>
          <xdr:cNvSpPr txBox="1">
            <a:spLocks noChangeArrowheads="1"/>
          </xdr:cNvSpPr>
        </xdr:nvSpPr>
        <xdr:spPr bwMode="auto">
          <a:xfrm>
            <a:off x="1287" y="1157"/>
            <a:ext cx="109" cy="25"/>
          </a:xfrm>
          <a:prstGeom prst="rect">
            <a:avLst/>
          </a:prstGeom>
          <a:noFill/>
          <a:ln w="9525">
            <a:noFill/>
            <a:miter lim="800000"/>
            <a:headEnd/>
            <a:tailEnd/>
          </a:ln>
        </xdr:spPr>
        <xdr:txBody>
          <a:bodyPr vertOverflow="clip" wrap="square" lIns="36576" tIns="27432" rIns="36576" bIns="0" anchor="t" upright="1"/>
          <a:lstStyle/>
          <a:p>
            <a:pPr algn="ctr" rtl="0">
              <a:defRPr sz="1000"/>
            </a:pPr>
            <a:r>
              <a:rPr lang="pl-PL" sz="1400" b="0" i="0" u="none" strike="noStrike" baseline="0">
                <a:solidFill>
                  <a:srgbClr val="000000"/>
                </a:solidFill>
                <a:latin typeface="Arial"/>
                <a:cs typeface="Arial"/>
              </a:rPr>
              <a:t>abkühlen</a:t>
            </a:r>
          </a:p>
        </xdr:txBody>
      </xdr:sp>
      <xdr:sp macro="" textlink="">
        <xdr:nvSpPr>
          <xdr:cNvPr id="10" name="Text Box 26">
            <a:extLst>
              <a:ext uri="{FF2B5EF4-FFF2-40B4-BE49-F238E27FC236}">
                <a16:creationId xmlns:a16="http://schemas.microsoft.com/office/drawing/2014/main" id="{00000000-0008-0000-1100-00000A000000}"/>
              </a:ext>
            </a:extLst>
          </xdr:cNvPr>
          <xdr:cNvSpPr txBox="1">
            <a:spLocks noChangeArrowheads="1"/>
          </xdr:cNvSpPr>
        </xdr:nvSpPr>
        <xdr:spPr bwMode="auto">
          <a:xfrm>
            <a:off x="1587" y="1157"/>
            <a:ext cx="109" cy="25"/>
          </a:xfrm>
          <a:prstGeom prst="rect">
            <a:avLst/>
          </a:prstGeom>
          <a:noFill/>
          <a:ln w="9525">
            <a:noFill/>
            <a:miter lim="800000"/>
            <a:headEnd/>
            <a:tailEnd/>
          </a:ln>
        </xdr:spPr>
        <xdr:txBody>
          <a:bodyPr vertOverflow="clip" wrap="square" lIns="36576" tIns="27432" rIns="36576" bIns="0" anchor="t" upright="1"/>
          <a:lstStyle/>
          <a:p>
            <a:pPr algn="ctr" rtl="0">
              <a:defRPr sz="1000"/>
            </a:pPr>
            <a:r>
              <a:rPr lang="pl-PL" sz="1400" b="0" i="0" u="none" strike="noStrike" baseline="0">
                <a:solidFill>
                  <a:srgbClr val="000000"/>
                </a:solidFill>
                <a:latin typeface="Arial"/>
                <a:cs typeface="Arial"/>
              </a:rPr>
              <a:t>aufheizen</a:t>
            </a:r>
          </a:p>
        </xdr:txBody>
      </xdr:sp>
      <xdr:pic>
        <xdr:nvPicPr>
          <xdr:cNvPr id="11" name="Picture 27" descr="schema_c">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4" cstate="print"/>
          <a:srcRect l="56490" t="48676" r="14856" b="29378"/>
          <a:stretch>
            <a:fillRect/>
          </a:stretch>
        </xdr:blipFill>
        <xdr:spPr bwMode="auto">
          <a:xfrm>
            <a:off x="1196" y="818"/>
            <a:ext cx="596" cy="381"/>
          </a:xfrm>
          <a:prstGeom prst="rect">
            <a:avLst/>
          </a:prstGeom>
          <a:noFill/>
          <a:ln w="9525">
            <a:noFill/>
            <a:miter lim="800000"/>
            <a:headEnd/>
            <a:tailEnd/>
          </a:ln>
        </xdr:spPr>
      </xdr:pic>
      <xdr:sp macro="" textlink="">
        <xdr:nvSpPr>
          <xdr:cNvPr id="12" name="Text Box 28">
            <a:extLst>
              <a:ext uri="{FF2B5EF4-FFF2-40B4-BE49-F238E27FC236}">
                <a16:creationId xmlns:a16="http://schemas.microsoft.com/office/drawing/2014/main" id="{00000000-0008-0000-1100-00000C000000}"/>
              </a:ext>
            </a:extLst>
          </xdr:cNvPr>
          <xdr:cNvSpPr txBox="1">
            <a:spLocks noChangeArrowheads="1"/>
          </xdr:cNvSpPr>
        </xdr:nvSpPr>
        <xdr:spPr bwMode="auto">
          <a:xfrm>
            <a:off x="1284" y="1153"/>
            <a:ext cx="114" cy="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pl-PL" sz="1400" b="0" i="0" u="none" strike="noStrike" baseline="0">
                <a:solidFill>
                  <a:srgbClr val="000000"/>
                </a:solidFill>
                <a:latin typeface="Arial"/>
                <a:cs typeface="Arial"/>
              </a:rPr>
              <a:t>cooling</a:t>
            </a:r>
          </a:p>
        </xdr:txBody>
      </xdr:sp>
      <xdr:sp macro="" textlink="">
        <xdr:nvSpPr>
          <xdr:cNvPr id="13" name="Text Box 29">
            <a:extLst>
              <a:ext uri="{FF2B5EF4-FFF2-40B4-BE49-F238E27FC236}">
                <a16:creationId xmlns:a16="http://schemas.microsoft.com/office/drawing/2014/main" id="{00000000-0008-0000-1100-00000D000000}"/>
              </a:ext>
            </a:extLst>
          </xdr:cNvPr>
          <xdr:cNvSpPr txBox="1">
            <a:spLocks noChangeArrowheads="1"/>
          </xdr:cNvSpPr>
        </xdr:nvSpPr>
        <xdr:spPr bwMode="auto">
          <a:xfrm>
            <a:off x="1588" y="1153"/>
            <a:ext cx="124" cy="26"/>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pl-PL" sz="1400" b="0" i="0" u="none" strike="noStrike" baseline="0">
                <a:solidFill>
                  <a:srgbClr val="000000"/>
                </a:solidFill>
                <a:latin typeface="Arial"/>
                <a:cs typeface="Arial"/>
              </a:rPr>
              <a:t>heating</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28575</xdr:colOff>
      <xdr:row>5</xdr:row>
      <xdr:rowOff>66675</xdr:rowOff>
    </xdr:from>
    <xdr:to>
      <xdr:col>10</xdr:col>
      <xdr:colOff>114300</xdr:colOff>
      <xdr:row>12</xdr:row>
      <xdr:rowOff>104775</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2295525" y="1076325"/>
          <a:ext cx="6181725" cy="1400175"/>
        </a:xfrm>
        <a:prstGeom prst="rect">
          <a:avLst/>
        </a:prstGeom>
        <a:noFill/>
        <a:ln w="9525">
          <a:solidFill>
            <a:srgbClr val="969696"/>
          </a:solidFill>
          <a:miter lim="800000"/>
          <a:headEnd/>
          <a:tailEnd/>
        </a:ln>
      </xdr:spPr>
      <xdr:txBody>
        <a:bodyPr vertOverflow="clip" wrap="square" lIns="27432" tIns="22860" rIns="0" bIns="0" anchor="t" upright="1"/>
        <a:lstStyle/>
        <a:p>
          <a:pPr algn="l" rtl="0">
            <a:defRPr sz="1000"/>
          </a:pPr>
          <a:endParaRPr lang="pl-PL" sz="1000" b="0" i="0" u="none" strike="noStrike" baseline="0">
            <a:solidFill>
              <a:srgbClr val="000000"/>
            </a:solidFill>
            <a:latin typeface="Arial"/>
            <a:cs typeface="Arial"/>
          </a:endParaRPr>
        </a:p>
        <a:p>
          <a:pPr algn="l" rtl="0">
            <a:defRPr sz="1000"/>
          </a:pPr>
          <a:r>
            <a:rPr lang="pl-PL" sz="1000" b="0" i="0" u="none" strike="noStrike" baseline="0">
              <a:solidFill>
                <a:srgbClr val="000000"/>
              </a:solidFill>
              <a:latin typeface="Arial"/>
              <a:cs typeface="Arial"/>
            </a:rPr>
            <a:t> spez. Ausgleichsvolumenstrom:</a:t>
          </a:r>
        </a:p>
        <a:p>
          <a:pPr algn="l" rtl="0">
            <a:defRPr sz="1000"/>
          </a:pPr>
          <a:r>
            <a:rPr lang="pl-PL" sz="1000" b="0" i="0" u="none" strike="noStrike" baseline="0">
              <a:solidFill>
                <a:srgbClr val="000000"/>
              </a:solidFill>
              <a:latin typeface="Arial"/>
              <a:cs typeface="Arial"/>
            </a:rPr>
            <a:t>                        v</a:t>
          </a:r>
          <a:r>
            <a:rPr lang="pl-PL" sz="1000" b="0" i="0" u="none" strike="noStrike" baseline="-25000">
              <a:solidFill>
                <a:srgbClr val="000000"/>
              </a:solidFill>
              <a:latin typeface="Arial"/>
              <a:cs typeface="Arial"/>
            </a:rPr>
            <a:t>D        </a:t>
          </a:r>
          <a:r>
            <a:rPr lang="pl-PL" sz="1000" b="0" i="0" u="none" strike="noStrike" baseline="0">
              <a:solidFill>
                <a:srgbClr val="000000"/>
              </a:solidFill>
              <a:latin typeface="Arial"/>
              <a:cs typeface="Arial"/>
            </a:rPr>
            <a:t> = 0,0058*tmax + 0,094 für tmax &gt; 50°C</a:t>
          </a:r>
        </a:p>
        <a:p>
          <a:pPr algn="l" rtl="0">
            <a:defRPr sz="1000"/>
          </a:pPr>
          <a:r>
            <a:rPr lang="pl-PL" sz="1000" b="0" i="0" u="none" strike="noStrike" baseline="0">
              <a:solidFill>
                <a:srgbClr val="000000"/>
              </a:solidFill>
              <a:latin typeface="Arial"/>
              <a:cs typeface="Arial"/>
            </a:rPr>
            <a:t>                        v</a:t>
          </a:r>
          <a:r>
            <a:rPr lang="pl-PL" sz="1000" b="0" i="0" u="none" strike="noStrike" baseline="-25000">
              <a:solidFill>
                <a:srgbClr val="000000"/>
              </a:solidFill>
              <a:latin typeface="Arial"/>
              <a:cs typeface="Arial"/>
            </a:rPr>
            <a:t>D</a:t>
          </a:r>
          <a:r>
            <a:rPr lang="pl-PL" sz="1000" b="0" i="0" u="none" strike="noStrike" baseline="0">
              <a:solidFill>
                <a:srgbClr val="000000"/>
              </a:solidFill>
              <a:latin typeface="Arial"/>
              <a:cs typeface="Arial"/>
            </a:rPr>
            <a:t>       = 0.384 füt tmax &lt;= 50°C,  Begrenzung auf Minimalwert, da für Dimensionierung nicht</a:t>
          </a:r>
        </a:p>
        <a:p>
          <a:pPr algn="l" rtl="0">
            <a:defRPr sz="1000"/>
          </a:pPr>
          <a:r>
            <a:rPr lang="pl-PL" sz="1000" b="0" i="0" u="none" strike="noStrike" baseline="0">
              <a:solidFill>
                <a:srgbClr val="000000"/>
              </a:solidFill>
              <a:latin typeface="Arial"/>
              <a:cs typeface="Arial"/>
            </a:rPr>
            <a:t>                                     mehr die Ausdehnungsgeschwindigkeit entscheidend!</a:t>
          </a:r>
        </a:p>
        <a:p>
          <a:pPr algn="l" rtl="0">
            <a:defRPr sz="1000"/>
          </a:pPr>
          <a:r>
            <a:rPr lang="pl-PL" sz="1000" b="0" i="0" u="none" strike="noStrike" baseline="0">
              <a:solidFill>
                <a:srgbClr val="000000"/>
              </a:solidFill>
              <a:latin typeface="Arial"/>
              <a:cs typeface="Arial"/>
            </a:rPr>
            <a:t>Ausgleichsvolumenstrom:</a:t>
          </a:r>
        </a:p>
        <a:p>
          <a:pPr algn="l" rtl="0">
            <a:defRPr sz="1000"/>
          </a:pPr>
          <a:r>
            <a:rPr lang="pl-PL" sz="1000" b="0" i="0" u="none" strike="noStrike" baseline="0">
              <a:solidFill>
                <a:srgbClr val="000000"/>
              </a:solidFill>
              <a:latin typeface="Arial"/>
              <a:cs typeface="Arial"/>
            </a:rPr>
            <a:t>                        V</a:t>
          </a:r>
          <a:r>
            <a:rPr lang="pl-PL" sz="1000" b="0" i="0" u="none" strike="noStrike" baseline="-25000">
              <a:solidFill>
                <a:srgbClr val="000000"/>
              </a:solidFill>
              <a:latin typeface="Arial"/>
              <a:cs typeface="Arial"/>
            </a:rPr>
            <a:t>D </a:t>
          </a:r>
          <a:r>
            <a:rPr lang="pl-PL" sz="1000" b="0" i="0" u="none" strike="noStrike" baseline="0">
              <a:solidFill>
                <a:srgbClr val="000000"/>
              </a:solidFill>
              <a:latin typeface="Arial"/>
              <a:cs typeface="Arial"/>
            </a:rPr>
            <a:t>     = Q*v</a:t>
          </a:r>
          <a:r>
            <a:rPr lang="pl-PL" sz="1000" b="0" i="0" u="none" strike="noStrike" baseline="-25000">
              <a:solidFill>
                <a:srgbClr val="000000"/>
              </a:solidFill>
              <a:latin typeface="Arial"/>
              <a:cs typeface="Arial"/>
            </a:rPr>
            <a:t>D</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26</xdr:row>
      <xdr:rowOff>47625</xdr:rowOff>
    </xdr:from>
    <xdr:to>
      <xdr:col>17</xdr:col>
      <xdr:colOff>3495675</xdr:colOff>
      <xdr:row>68</xdr:row>
      <xdr:rowOff>104775</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5</xdr:row>
      <xdr:rowOff>76200</xdr:rowOff>
    </xdr:from>
    <xdr:to>
      <xdr:col>18</xdr:col>
      <xdr:colOff>19050</xdr:colOff>
      <xdr:row>7</xdr:row>
      <xdr:rowOff>19050</xdr:rowOff>
    </xdr:to>
    <xdr:pic>
      <xdr:nvPicPr>
        <xdr:cNvPr id="3" name="Picture 158">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23950"/>
          <a:ext cx="181356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xdr:row>
      <xdr:rowOff>104775</xdr:rowOff>
    </xdr:from>
    <xdr:to>
      <xdr:col>3</xdr:col>
      <xdr:colOff>133350</xdr:colOff>
      <xdr:row>3</xdr:row>
      <xdr:rowOff>28575</xdr:rowOff>
    </xdr:to>
    <xdr:pic>
      <xdr:nvPicPr>
        <xdr:cNvPr id="4" name="Picture 157">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66700"/>
          <a:ext cx="24193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71</xdr:row>
      <xdr:rowOff>85725</xdr:rowOff>
    </xdr:from>
    <xdr:to>
      <xdr:col>5</xdr:col>
      <xdr:colOff>142875</xdr:colOff>
      <xdr:row>76</xdr:row>
      <xdr:rowOff>9525</xdr:rowOff>
    </xdr:to>
    <xdr:pic>
      <xdr:nvPicPr>
        <xdr:cNvPr id="5" name="Grafik 21">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12992100"/>
          <a:ext cx="3962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561975</xdr:colOff>
      <xdr:row>69</xdr:row>
      <xdr:rowOff>76200</xdr:rowOff>
    </xdr:from>
    <xdr:to>
      <xdr:col>17</xdr:col>
      <xdr:colOff>3495675</xdr:colOff>
      <xdr:row>75</xdr:row>
      <xdr:rowOff>85725</xdr:rowOff>
    </xdr:to>
    <xdr:pic>
      <xdr:nvPicPr>
        <xdr:cNvPr id="6" name="Grafik 22">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82675" y="12658725"/>
          <a:ext cx="42767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125</xdr:row>
      <xdr:rowOff>133350</xdr:rowOff>
    </xdr:from>
    <xdr:to>
      <xdr:col>5</xdr:col>
      <xdr:colOff>142875</xdr:colOff>
      <xdr:row>130</xdr:row>
      <xdr:rowOff>38100</xdr:rowOff>
    </xdr:to>
    <xdr:pic>
      <xdr:nvPicPr>
        <xdr:cNvPr id="7" name="Grafik 23">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21783675"/>
          <a:ext cx="39624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561975</xdr:colOff>
      <xdr:row>123</xdr:row>
      <xdr:rowOff>114300</xdr:rowOff>
    </xdr:from>
    <xdr:to>
      <xdr:col>17</xdr:col>
      <xdr:colOff>3495675</xdr:colOff>
      <xdr:row>129</xdr:row>
      <xdr:rowOff>123825</xdr:rowOff>
    </xdr:to>
    <xdr:pic>
      <xdr:nvPicPr>
        <xdr:cNvPr id="8" name="Grafik 24">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82675" y="21440775"/>
          <a:ext cx="42767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178</xdr:row>
      <xdr:rowOff>76200</xdr:rowOff>
    </xdr:from>
    <xdr:to>
      <xdr:col>5</xdr:col>
      <xdr:colOff>142875</xdr:colOff>
      <xdr:row>182</xdr:row>
      <xdr:rowOff>142875</xdr:rowOff>
    </xdr:to>
    <xdr:pic>
      <xdr:nvPicPr>
        <xdr:cNvPr id="9" name="Grafik 25">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30308550"/>
          <a:ext cx="39624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561975</xdr:colOff>
      <xdr:row>176</xdr:row>
      <xdr:rowOff>66675</xdr:rowOff>
    </xdr:from>
    <xdr:to>
      <xdr:col>17</xdr:col>
      <xdr:colOff>3495675</xdr:colOff>
      <xdr:row>182</xdr:row>
      <xdr:rowOff>66675</xdr:rowOff>
    </xdr:to>
    <xdr:pic>
      <xdr:nvPicPr>
        <xdr:cNvPr id="10" name="Grafik 26">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82675" y="29975175"/>
          <a:ext cx="42767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237</xdr:row>
      <xdr:rowOff>19050</xdr:rowOff>
    </xdr:from>
    <xdr:to>
      <xdr:col>5</xdr:col>
      <xdr:colOff>142875</xdr:colOff>
      <xdr:row>241</xdr:row>
      <xdr:rowOff>95250</xdr:rowOff>
    </xdr:to>
    <xdr:pic>
      <xdr:nvPicPr>
        <xdr:cNvPr id="11" name="Grafik 27">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39804975"/>
          <a:ext cx="3962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561975</xdr:colOff>
      <xdr:row>235</xdr:row>
      <xdr:rowOff>9525</xdr:rowOff>
    </xdr:from>
    <xdr:to>
      <xdr:col>17</xdr:col>
      <xdr:colOff>3495675</xdr:colOff>
      <xdr:row>241</xdr:row>
      <xdr:rowOff>9525</xdr:rowOff>
    </xdr:to>
    <xdr:pic>
      <xdr:nvPicPr>
        <xdr:cNvPr id="12" name="Grafik 28">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82675" y="39471600"/>
          <a:ext cx="42767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292</xdr:row>
      <xdr:rowOff>104775</xdr:rowOff>
    </xdr:from>
    <xdr:to>
      <xdr:col>5</xdr:col>
      <xdr:colOff>142875</xdr:colOff>
      <xdr:row>297</xdr:row>
      <xdr:rowOff>9525</xdr:rowOff>
    </xdr:to>
    <xdr:pic>
      <xdr:nvPicPr>
        <xdr:cNvPr id="13" name="Grafik 29">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48796575"/>
          <a:ext cx="39624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561975</xdr:colOff>
      <xdr:row>290</xdr:row>
      <xdr:rowOff>95250</xdr:rowOff>
    </xdr:from>
    <xdr:to>
      <xdr:col>17</xdr:col>
      <xdr:colOff>3495675</xdr:colOff>
      <xdr:row>296</xdr:row>
      <xdr:rowOff>95250</xdr:rowOff>
    </xdr:to>
    <xdr:pic>
      <xdr:nvPicPr>
        <xdr:cNvPr id="14" name="Grafik 30">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82675" y="48463200"/>
          <a:ext cx="42767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352</xdr:row>
      <xdr:rowOff>76200</xdr:rowOff>
    </xdr:from>
    <xdr:to>
      <xdr:col>5</xdr:col>
      <xdr:colOff>142875</xdr:colOff>
      <xdr:row>356</xdr:row>
      <xdr:rowOff>142875</xdr:rowOff>
    </xdr:to>
    <xdr:pic>
      <xdr:nvPicPr>
        <xdr:cNvPr id="15" name="Grafik 31">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58483500"/>
          <a:ext cx="39624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561975</xdr:colOff>
      <xdr:row>350</xdr:row>
      <xdr:rowOff>66675</xdr:rowOff>
    </xdr:from>
    <xdr:to>
      <xdr:col>17</xdr:col>
      <xdr:colOff>3495675</xdr:colOff>
      <xdr:row>356</xdr:row>
      <xdr:rowOff>66675</xdr:rowOff>
    </xdr:to>
    <xdr:pic>
      <xdr:nvPicPr>
        <xdr:cNvPr id="16" name="Grafik 32">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82675" y="58150125"/>
          <a:ext cx="42767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406</xdr:row>
      <xdr:rowOff>38100</xdr:rowOff>
    </xdr:from>
    <xdr:to>
      <xdr:col>5</xdr:col>
      <xdr:colOff>142875</xdr:colOff>
      <xdr:row>410</xdr:row>
      <xdr:rowOff>104775</xdr:rowOff>
    </xdr:to>
    <xdr:pic>
      <xdr:nvPicPr>
        <xdr:cNvPr id="17" name="Grafik 33">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67189350"/>
          <a:ext cx="39624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561975</xdr:colOff>
      <xdr:row>404</xdr:row>
      <xdr:rowOff>19050</xdr:rowOff>
    </xdr:from>
    <xdr:to>
      <xdr:col>17</xdr:col>
      <xdr:colOff>3495675</xdr:colOff>
      <xdr:row>410</xdr:row>
      <xdr:rowOff>28575</xdr:rowOff>
    </xdr:to>
    <xdr:pic>
      <xdr:nvPicPr>
        <xdr:cNvPr id="18" name="Grafik 34">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82675" y="66846450"/>
          <a:ext cx="42767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517030</xdr:colOff>
      <xdr:row>10</xdr:row>
      <xdr:rowOff>120645</xdr:rowOff>
    </xdr:from>
    <xdr:to>
      <xdr:col>8</xdr:col>
      <xdr:colOff>460550</xdr:colOff>
      <xdr:row>12</xdr:row>
      <xdr:rowOff>9525</xdr:rowOff>
    </xdr:to>
    <xdr:sp macro="" textlink="">
      <xdr:nvSpPr>
        <xdr:cNvPr id="19" name="Text Box 22">
          <a:extLst>
            <a:ext uri="{FF2B5EF4-FFF2-40B4-BE49-F238E27FC236}">
              <a16:creationId xmlns:a16="http://schemas.microsoft.com/office/drawing/2014/main" id="{00000000-0008-0000-1300-000013000000}"/>
            </a:ext>
          </a:extLst>
        </xdr:cNvPr>
        <xdr:cNvSpPr txBox="1">
          <a:spLocks noChangeArrowheads="1"/>
        </xdr:cNvSpPr>
      </xdr:nvSpPr>
      <xdr:spPr bwMode="auto">
        <a:xfrm>
          <a:off x="5946280" y="2139945"/>
          <a:ext cx="705520" cy="365130"/>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400" b="0" i="0" u="none" strike="noStrike" baseline="0">
              <a:solidFill>
                <a:srgbClr val="000000"/>
              </a:solidFill>
              <a:latin typeface="Arial"/>
              <a:cs typeface="Arial"/>
            </a:rPr>
            <a:t>Pman</a:t>
          </a:r>
        </a:p>
      </xdr:txBody>
    </xdr:sp>
    <xdr:clientData/>
  </xdr:twoCellAnchor>
  <xdr:twoCellAnchor>
    <xdr:from>
      <xdr:col>5</xdr:col>
      <xdr:colOff>719784</xdr:colOff>
      <xdr:row>10</xdr:row>
      <xdr:rowOff>91563</xdr:rowOff>
    </xdr:from>
    <xdr:to>
      <xdr:col>6</xdr:col>
      <xdr:colOff>656890</xdr:colOff>
      <xdr:row>11</xdr:row>
      <xdr:rowOff>200025</xdr:rowOff>
    </xdr:to>
    <xdr:sp macro="" textlink="">
      <xdr:nvSpPr>
        <xdr:cNvPr id="20" name="Text Box 23">
          <a:extLst>
            <a:ext uri="{FF2B5EF4-FFF2-40B4-BE49-F238E27FC236}">
              <a16:creationId xmlns:a16="http://schemas.microsoft.com/office/drawing/2014/main" id="{00000000-0008-0000-1300-000014000000}"/>
            </a:ext>
          </a:extLst>
        </xdr:cNvPr>
        <xdr:cNvSpPr txBox="1">
          <a:spLocks noChangeArrowheads="1"/>
        </xdr:cNvSpPr>
      </xdr:nvSpPr>
      <xdr:spPr bwMode="auto">
        <a:xfrm>
          <a:off x="4625034" y="2110863"/>
          <a:ext cx="699106" cy="346587"/>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400" b="0" i="0" u="none" strike="noStrike" baseline="0">
              <a:solidFill>
                <a:srgbClr val="000000"/>
              </a:solidFill>
              <a:latin typeface="Arial"/>
              <a:cs typeface="Arial"/>
            </a:rPr>
            <a:t>pa</a:t>
          </a:r>
        </a:p>
      </xdr:txBody>
    </xdr:sp>
    <xdr:clientData/>
  </xdr:twoCellAnchor>
  <xdr:twoCellAnchor>
    <xdr:from>
      <xdr:col>9</xdr:col>
      <xdr:colOff>333519</xdr:colOff>
      <xdr:row>10</xdr:row>
      <xdr:rowOff>111557</xdr:rowOff>
    </xdr:from>
    <xdr:to>
      <xdr:col>11</xdr:col>
      <xdr:colOff>99175</xdr:colOff>
      <xdr:row>12</xdr:row>
      <xdr:rowOff>28575</xdr:rowOff>
    </xdr:to>
    <xdr:sp macro="" textlink="">
      <xdr:nvSpPr>
        <xdr:cNvPr id="21" name="Text Box 24">
          <a:extLst>
            <a:ext uri="{FF2B5EF4-FFF2-40B4-BE49-F238E27FC236}">
              <a16:creationId xmlns:a16="http://schemas.microsoft.com/office/drawing/2014/main" id="{00000000-0008-0000-1300-000015000000}"/>
            </a:ext>
          </a:extLst>
        </xdr:cNvPr>
        <xdr:cNvSpPr txBox="1">
          <a:spLocks noChangeArrowheads="1"/>
        </xdr:cNvSpPr>
      </xdr:nvSpPr>
      <xdr:spPr bwMode="auto">
        <a:xfrm>
          <a:off x="7286769" y="2130857"/>
          <a:ext cx="699106" cy="393268"/>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400" b="0" i="0" u="none" strike="noStrike" baseline="0">
              <a:solidFill>
                <a:srgbClr val="000000"/>
              </a:solidFill>
              <a:latin typeface="Arial"/>
              <a:cs typeface="Arial"/>
            </a:rPr>
            <a:t>pe</a:t>
          </a:r>
        </a:p>
      </xdr:txBody>
    </xdr:sp>
    <xdr:clientData/>
  </xdr:twoCellAnchor>
  <xdr:twoCellAnchor>
    <xdr:from>
      <xdr:col>6</xdr:col>
      <xdr:colOff>316957</xdr:colOff>
      <xdr:row>20</xdr:row>
      <xdr:rowOff>119095</xdr:rowOff>
    </xdr:from>
    <xdr:to>
      <xdr:col>7</xdr:col>
      <xdr:colOff>581024</xdr:colOff>
      <xdr:row>22</xdr:row>
      <xdr:rowOff>85724</xdr:rowOff>
    </xdr:to>
    <xdr:sp macro="" textlink="">
      <xdr:nvSpPr>
        <xdr:cNvPr id="22" name="Text Box 25">
          <a:extLst>
            <a:ext uri="{FF2B5EF4-FFF2-40B4-BE49-F238E27FC236}">
              <a16:creationId xmlns:a16="http://schemas.microsoft.com/office/drawing/2014/main" id="{00000000-0008-0000-1300-000016000000}"/>
            </a:ext>
          </a:extLst>
        </xdr:cNvPr>
        <xdr:cNvSpPr txBox="1">
          <a:spLocks noChangeArrowheads="1"/>
        </xdr:cNvSpPr>
      </xdr:nvSpPr>
      <xdr:spPr bwMode="auto">
        <a:xfrm>
          <a:off x="4984207" y="4500595"/>
          <a:ext cx="1026067" cy="423829"/>
        </a:xfrm>
        <a:prstGeom prst="rect">
          <a:avLst/>
        </a:prstGeom>
        <a:noFill/>
        <a:ln w="9525">
          <a:noFill/>
          <a:miter lim="800000"/>
          <a:headEnd/>
          <a:tailEnd/>
        </a:ln>
      </xdr:spPr>
      <xdr:txBody>
        <a:bodyPr vertOverflow="clip" wrap="square" lIns="36576" tIns="27432" rIns="36576" bIns="0" anchor="t" upright="1"/>
        <a:lstStyle/>
        <a:p>
          <a:pPr algn="ctr" rtl="0">
            <a:defRPr sz="1000"/>
          </a:pPr>
          <a:r>
            <a:rPr lang="de-CH" sz="1400" b="0" i="0" u="none" strike="noStrike" baseline="0">
              <a:solidFill>
                <a:srgbClr val="000000"/>
              </a:solidFill>
              <a:latin typeface="Arial"/>
              <a:cs typeface="Arial"/>
            </a:rPr>
            <a:t>abkühlen</a:t>
          </a:r>
        </a:p>
      </xdr:txBody>
    </xdr:sp>
    <xdr:clientData/>
  </xdr:twoCellAnchor>
  <xdr:twoCellAnchor>
    <xdr:from>
      <xdr:col>8</xdr:col>
      <xdr:colOff>723517</xdr:colOff>
      <xdr:row>20</xdr:row>
      <xdr:rowOff>119096</xdr:rowOff>
    </xdr:from>
    <xdr:to>
      <xdr:col>10</xdr:col>
      <xdr:colOff>85725</xdr:colOff>
      <xdr:row>22</xdr:row>
      <xdr:rowOff>38100</xdr:rowOff>
    </xdr:to>
    <xdr:sp macro="" textlink="">
      <xdr:nvSpPr>
        <xdr:cNvPr id="23" name="Text Box 26">
          <a:extLst>
            <a:ext uri="{FF2B5EF4-FFF2-40B4-BE49-F238E27FC236}">
              <a16:creationId xmlns:a16="http://schemas.microsoft.com/office/drawing/2014/main" id="{00000000-0008-0000-1300-000017000000}"/>
            </a:ext>
          </a:extLst>
        </xdr:cNvPr>
        <xdr:cNvSpPr txBox="1">
          <a:spLocks noChangeArrowheads="1"/>
        </xdr:cNvSpPr>
      </xdr:nvSpPr>
      <xdr:spPr bwMode="auto">
        <a:xfrm>
          <a:off x="6914767" y="4500596"/>
          <a:ext cx="886208" cy="376204"/>
        </a:xfrm>
        <a:prstGeom prst="rect">
          <a:avLst/>
        </a:prstGeom>
        <a:noFill/>
        <a:ln w="9525">
          <a:noFill/>
          <a:miter lim="800000"/>
          <a:headEnd/>
          <a:tailEnd/>
        </a:ln>
      </xdr:spPr>
      <xdr:txBody>
        <a:bodyPr vertOverflow="clip" wrap="square" lIns="36576" tIns="27432" rIns="36576" bIns="0" anchor="t" upright="1"/>
        <a:lstStyle/>
        <a:p>
          <a:pPr algn="ctr" rtl="0">
            <a:defRPr sz="1000"/>
          </a:pPr>
          <a:r>
            <a:rPr lang="de-CH" sz="1400" b="0" i="0" u="none" strike="noStrike" baseline="0">
              <a:solidFill>
                <a:srgbClr val="000000"/>
              </a:solidFill>
              <a:latin typeface="Arial"/>
              <a:cs typeface="Arial"/>
            </a:rPr>
            <a:t>aufheizen</a:t>
          </a:r>
        </a:p>
      </xdr:txBody>
    </xdr:sp>
    <xdr:clientData/>
  </xdr:twoCellAnchor>
  <xdr:twoCellAnchor>
    <xdr:from>
      <xdr:col>5</xdr:col>
      <xdr:colOff>485775</xdr:colOff>
      <xdr:row>11</xdr:row>
      <xdr:rowOff>180975</xdr:rowOff>
    </xdr:from>
    <xdr:to>
      <xdr:col>11</xdr:col>
      <xdr:colOff>333375</xdr:colOff>
      <xdr:row>22</xdr:row>
      <xdr:rowOff>38100</xdr:rowOff>
    </xdr:to>
    <xdr:pic>
      <xdr:nvPicPr>
        <xdr:cNvPr id="24" name="Picture 27" descr="schema_c">
          <a:extLst>
            <a:ext uri="{FF2B5EF4-FFF2-40B4-BE49-F238E27FC236}">
              <a16:creationId xmlns:a16="http://schemas.microsoft.com/office/drawing/2014/main" id="{00000000-0008-0000-1300-00001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6490" t="48676" r="14856" b="29378"/>
        <a:stretch>
          <a:fillRect/>
        </a:stretch>
      </xdr:blipFill>
      <xdr:spPr bwMode="auto">
        <a:xfrm>
          <a:off x="4391025" y="2438400"/>
          <a:ext cx="3829050"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11</xdr:row>
      <xdr:rowOff>76200</xdr:rowOff>
    </xdr:from>
    <xdr:to>
      <xdr:col>5</xdr:col>
      <xdr:colOff>276225</xdr:colOff>
      <xdr:row>22</xdr:row>
      <xdr:rowOff>0</xdr:rowOff>
    </xdr:to>
    <xdr:pic>
      <xdr:nvPicPr>
        <xdr:cNvPr id="25" name="Picture 3057">
          <a:extLst>
            <a:ext uri="{FF2B5EF4-FFF2-40B4-BE49-F238E27FC236}">
              <a16:creationId xmlns:a16="http://schemas.microsoft.com/office/drawing/2014/main" id="{00000000-0008-0000-13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9075" y="2333625"/>
          <a:ext cx="396240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28575</xdr:colOff>
      <xdr:row>6</xdr:row>
      <xdr:rowOff>57150</xdr:rowOff>
    </xdr:from>
    <xdr:to>
      <xdr:col>10</xdr:col>
      <xdr:colOff>295275</xdr:colOff>
      <xdr:row>13</xdr:row>
      <xdr:rowOff>142875</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962150" y="1428750"/>
          <a:ext cx="6429375" cy="1257300"/>
        </a:xfrm>
        <a:prstGeom prst="rect">
          <a:avLst/>
        </a:prstGeom>
        <a:noFill/>
        <a:ln w="9525">
          <a:solidFill>
            <a:srgbClr val="969696"/>
          </a:solidFill>
          <a:miter lim="800000"/>
          <a:headEnd/>
          <a:tailEnd/>
        </a:ln>
      </xdr:spPr>
      <xdr:txBody>
        <a:bodyPr vertOverflow="clip" wrap="square" lIns="27432" tIns="22860" rIns="0" bIns="0" anchor="t" upright="1"/>
        <a:lstStyle/>
        <a:p>
          <a:pPr algn="l" rtl="0">
            <a:defRPr sz="1000"/>
          </a:pPr>
          <a:endParaRPr lang="de-CH" sz="1000" b="0" i="0" u="none" strike="noStrike" baseline="0">
            <a:solidFill>
              <a:srgbClr val="000000"/>
            </a:solidFill>
            <a:latin typeface="Arial"/>
            <a:cs typeface="Arial"/>
          </a:endParaRPr>
        </a:p>
        <a:p>
          <a:pPr algn="l" rtl="0">
            <a:defRPr sz="1000"/>
          </a:pPr>
          <a:r>
            <a:rPr lang="de-CH" sz="1000" b="0" i="0" u="none" strike="noStrike" baseline="0">
              <a:solidFill>
                <a:srgbClr val="000000"/>
              </a:solidFill>
              <a:latin typeface="Arial"/>
              <a:cs typeface="Arial"/>
            </a:rPr>
            <a:t> spez. Ausgleichsvolumenstrom:</a:t>
          </a:r>
        </a:p>
        <a:p>
          <a:pPr algn="l" rtl="0">
            <a:defRPr sz="1000"/>
          </a:pPr>
          <a:r>
            <a:rPr lang="de-CH" sz="1000" b="0" i="0" u="none" strike="noStrike" baseline="0">
              <a:solidFill>
                <a:srgbClr val="000000"/>
              </a:solidFill>
              <a:latin typeface="Arial"/>
              <a:cs typeface="Arial"/>
            </a:rPr>
            <a:t>                        </a:t>
          </a:r>
          <a:r>
            <a:rPr lang="de-CH" sz="1000" b="0" i="0" u="none" strike="noStrike" baseline="0">
              <a:solidFill>
                <a:srgbClr val="000000"/>
              </a:solidFill>
              <a:latin typeface="Arial" pitchFamily="34" charset="0"/>
              <a:cs typeface="Arial" pitchFamily="34" charset="0"/>
            </a:rPr>
            <a:t>qN/Q</a:t>
          </a:r>
          <a:r>
            <a:rPr lang="de-CH" sz="1000" b="0" i="0" u="none" strike="noStrike" baseline="-25000">
              <a:solidFill>
                <a:srgbClr val="000000"/>
              </a:solidFill>
              <a:latin typeface="Arial" pitchFamily="34" charset="0"/>
              <a:cs typeface="Arial" pitchFamily="34" charset="0"/>
            </a:rPr>
            <a:t>        </a:t>
          </a:r>
          <a:r>
            <a:rPr lang="de-CH" sz="1000" b="0" i="0" u="none" strike="noStrike" baseline="0">
              <a:solidFill>
                <a:srgbClr val="000000"/>
              </a:solidFill>
              <a:latin typeface="Arial" pitchFamily="34" charset="0"/>
              <a:cs typeface="Arial" pitchFamily="34" charset="0"/>
            </a:rPr>
            <a:t> = 0,0058*tmax + 0,094 für tmax &gt; 50°C</a:t>
          </a:r>
        </a:p>
        <a:p>
          <a:pPr algn="l" rtl="0">
            <a:defRPr sz="1000"/>
          </a:pPr>
          <a:r>
            <a:rPr lang="de-CH" sz="1000" b="0" i="0" u="none" strike="noStrike" baseline="0">
              <a:solidFill>
                <a:srgbClr val="000000"/>
              </a:solidFill>
              <a:latin typeface="Arial" pitchFamily="34" charset="0"/>
              <a:cs typeface="Arial" pitchFamily="34" charset="0"/>
            </a:rPr>
            <a:t>                        </a:t>
          </a:r>
          <a:r>
            <a:rPr lang="de-CH" sz="1000" b="0" i="0" baseline="0">
              <a:latin typeface="Arial" pitchFamily="34" charset="0"/>
              <a:ea typeface="+mn-ea"/>
              <a:cs typeface="Arial" pitchFamily="34" charset="0"/>
            </a:rPr>
            <a:t>qN/Q</a:t>
          </a:r>
          <a:r>
            <a:rPr lang="de-CH" sz="1000" b="0" i="0" u="none" strike="noStrike" baseline="0">
              <a:solidFill>
                <a:srgbClr val="000000"/>
              </a:solidFill>
              <a:latin typeface="Arial" pitchFamily="34" charset="0"/>
              <a:cs typeface="Arial" pitchFamily="34" charset="0"/>
            </a:rPr>
            <a:t>       = 0.384 füt tmax &lt;= 50°C,  Begrenzung auf Minimalwert, da für Dimensionierung nicht</a:t>
          </a:r>
        </a:p>
        <a:p>
          <a:pPr algn="l" rtl="0">
            <a:defRPr sz="1000"/>
          </a:pPr>
          <a:r>
            <a:rPr lang="de-CH" sz="1000" b="0" i="0" u="none" strike="noStrike" baseline="0">
              <a:solidFill>
                <a:srgbClr val="000000"/>
              </a:solidFill>
              <a:latin typeface="Arial" pitchFamily="34" charset="0"/>
              <a:cs typeface="Arial" pitchFamily="34" charset="0"/>
            </a:rPr>
            <a:t>                                           mehr die Ausdehnungsgeschwindigkeit entscheidend!</a:t>
          </a:r>
        </a:p>
        <a:p>
          <a:pPr algn="l" rtl="0">
            <a:defRPr sz="1000"/>
          </a:pPr>
          <a:r>
            <a:rPr lang="de-CH" sz="1000" b="0" i="0" u="none" strike="noStrike" baseline="0">
              <a:solidFill>
                <a:srgbClr val="000000"/>
              </a:solidFill>
              <a:latin typeface="Arial" pitchFamily="34" charset="0"/>
              <a:cs typeface="Arial" pitchFamily="34" charset="0"/>
            </a:rPr>
            <a:t>Ausgleichsvolumenstrom:</a:t>
          </a:r>
        </a:p>
        <a:p>
          <a:pPr algn="l" rtl="0">
            <a:defRPr sz="1000"/>
          </a:pPr>
          <a:r>
            <a:rPr lang="de-CH" sz="1000" b="0" i="0" u="none" strike="noStrike" baseline="0">
              <a:solidFill>
                <a:srgbClr val="000000"/>
              </a:solidFill>
              <a:latin typeface="Arial" pitchFamily="34" charset="0"/>
              <a:cs typeface="Arial" pitchFamily="34" charset="0"/>
            </a:rPr>
            <a:t>                        qN      = Q*</a:t>
          </a:r>
          <a:r>
            <a:rPr lang="de-CH" sz="1000" b="0" i="0" baseline="0">
              <a:latin typeface="Arial" pitchFamily="34" charset="0"/>
              <a:ea typeface="+mn-ea"/>
              <a:cs typeface="Arial" pitchFamily="34" charset="0"/>
            </a:rPr>
            <a:t>qN/Q</a:t>
          </a:r>
          <a:endParaRPr lang="de-CH" sz="1000" b="0" i="0" u="none" strike="noStrike" baseline="-25000">
            <a:solidFill>
              <a:srgbClr val="000000"/>
            </a:solidFill>
            <a:latin typeface="Arial" pitchFamily="34" charset="0"/>
            <a:cs typeface="Arial"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8</xdr:row>
      <xdr:rowOff>19050</xdr:rowOff>
    </xdr:from>
    <xdr:to>
      <xdr:col>10</xdr:col>
      <xdr:colOff>742950</xdr:colOff>
      <xdr:row>39</xdr:row>
      <xdr:rowOff>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57150</xdr:colOff>
      <xdr:row>0</xdr:row>
      <xdr:rowOff>114300</xdr:rowOff>
    </xdr:from>
    <xdr:to>
      <xdr:col>17</xdr:col>
      <xdr:colOff>2762250</xdr:colOff>
      <xdr:row>2</xdr:row>
      <xdr:rowOff>238125</xdr:rowOff>
    </xdr:to>
    <xdr:pic>
      <xdr:nvPicPr>
        <xdr:cNvPr id="3" name="Picture 3" descr="ptex_LOGO_3var">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620875" y="114300"/>
          <a:ext cx="2705100" cy="447675"/>
        </a:xfrm>
        <a:prstGeom prst="rect">
          <a:avLst/>
        </a:prstGeom>
        <a:noFill/>
        <a:ln w="9525">
          <a:noFill/>
          <a:miter lim="800000"/>
          <a:headEnd/>
          <a:tailEnd/>
        </a:ln>
      </xdr:spPr>
    </xdr:pic>
    <xdr:clientData/>
  </xdr:twoCellAnchor>
  <xdr:twoCellAnchor>
    <xdr:from>
      <xdr:col>0</xdr:col>
      <xdr:colOff>28575</xdr:colOff>
      <xdr:row>40</xdr:row>
      <xdr:rowOff>0</xdr:rowOff>
    </xdr:from>
    <xdr:to>
      <xdr:col>11</xdr:col>
      <xdr:colOff>19050</xdr:colOff>
      <xdr:row>70</xdr:row>
      <xdr:rowOff>123825</xdr:rowOff>
    </xdr:to>
    <xdr:graphicFrame macro="">
      <xdr:nvGraphicFramePr>
        <xdr:cNvPr id="4" name="Chart 4">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47625</xdr:colOff>
      <xdr:row>25</xdr:row>
      <xdr:rowOff>66675</xdr:rowOff>
    </xdr:from>
    <xdr:to>
      <xdr:col>16</xdr:col>
      <xdr:colOff>285750</xdr:colOff>
      <xdr:row>47</xdr:row>
      <xdr:rowOff>142875</xdr:rowOff>
    </xdr:to>
    <xdr:pic>
      <xdr:nvPicPr>
        <xdr:cNvPr id="5" name="Picture 6" descr="schema_transfero">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cstate="print"/>
        <a:srcRect b="47296"/>
        <a:stretch>
          <a:fillRect/>
        </a:stretch>
      </xdr:blipFill>
      <xdr:spPr bwMode="auto">
        <a:xfrm>
          <a:off x="9267825" y="5772150"/>
          <a:ext cx="5086350" cy="3638550"/>
        </a:xfrm>
        <a:prstGeom prst="rect">
          <a:avLst/>
        </a:prstGeom>
        <a:noFill/>
        <a:ln w="9525">
          <a:noFill/>
          <a:miter lim="800000"/>
          <a:headEnd/>
          <a:tailEnd/>
        </a:ln>
      </xdr:spPr>
    </xdr:pic>
    <xdr:clientData/>
  </xdr:twoCellAnchor>
  <xdr:twoCellAnchor>
    <xdr:from>
      <xdr:col>13</xdr:col>
      <xdr:colOff>1809750</xdr:colOff>
      <xdr:row>49</xdr:row>
      <xdr:rowOff>66675</xdr:rowOff>
    </xdr:from>
    <xdr:to>
      <xdr:col>13</xdr:col>
      <xdr:colOff>2847975</xdr:colOff>
      <xdr:row>50</xdr:row>
      <xdr:rowOff>142875</xdr:rowOff>
    </xdr:to>
    <xdr:sp macro="" textlink="">
      <xdr:nvSpPr>
        <xdr:cNvPr id="6" name="Text Box 8">
          <a:extLst>
            <a:ext uri="{FF2B5EF4-FFF2-40B4-BE49-F238E27FC236}">
              <a16:creationId xmlns:a16="http://schemas.microsoft.com/office/drawing/2014/main" id="{00000000-0008-0000-1500-000006000000}"/>
            </a:ext>
          </a:extLst>
        </xdr:cNvPr>
        <xdr:cNvSpPr txBox="1">
          <a:spLocks noChangeArrowheads="1"/>
        </xdr:cNvSpPr>
      </xdr:nvSpPr>
      <xdr:spPr bwMode="auto">
        <a:xfrm>
          <a:off x="11029950" y="9658350"/>
          <a:ext cx="1038225" cy="2381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400" b="0" i="0" u="none" strike="noStrike" baseline="0">
              <a:solidFill>
                <a:srgbClr val="000000"/>
              </a:solidFill>
              <a:latin typeface="Arial"/>
              <a:cs typeface="Arial"/>
            </a:rPr>
            <a:t>Pman</a:t>
          </a:r>
        </a:p>
      </xdr:txBody>
    </xdr:sp>
    <xdr:clientData/>
  </xdr:twoCellAnchor>
  <xdr:twoCellAnchor>
    <xdr:from>
      <xdr:col>12</xdr:col>
      <xdr:colOff>952500</xdr:colOff>
      <xdr:row>49</xdr:row>
      <xdr:rowOff>47625</xdr:rowOff>
    </xdr:from>
    <xdr:to>
      <xdr:col>13</xdr:col>
      <xdr:colOff>1028700</xdr:colOff>
      <xdr:row>50</xdr:row>
      <xdr:rowOff>123825</xdr:rowOff>
    </xdr:to>
    <xdr:sp macro="" textlink="">
      <xdr:nvSpPr>
        <xdr:cNvPr id="7" name="Text Box 9">
          <a:extLst>
            <a:ext uri="{FF2B5EF4-FFF2-40B4-BE49-F238E27FC236}">
              <a16:creationId xmlns:a16="http://schemas.microsoft.com/office/drawing/2014/main" id="{00000000-0008-0000-1500-000007000000}"/>
            </a:ext>
          </a:extLst>
        </xdr:cNvPr>
        <xdr:cNvSpPr txBox="1">
          <a:spLocks noChangeArrowheads="1"/>
        </xdr:cNvSpPr>
      </xdr:nvSpPr>
      <xdr:spPr bwMode="auto">
        <a:xfrm>
          <a:off x="9210675" y="9639300"/>
          <a:ext cx="1038225" cy="2381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400" b="0" i="0" u="none" strike="noStrike" baseline="0">
              <a:solidFill>
                <a:srgbClr val="000000"/>
              </a:solidFill>
              <a:latin typeface="Arial"/>
              <a:cs typeface="Arial"/>
            </a:rPr>
            <a:t>pa</a:t>
          </a:r>
        </a:p>
      </xdr:txBody>
    </xdr:sp>
    <xdr:clientData/>
  </xdr:twoCellAnchor>
  <xdr:twoCellAnchor>
    <xdr:from>
      <xdr:col>14</xdr:col>
      <xdr:colOff>304800</xdr:colOff>
      <xdr:row>49</xdr:row>
      <xdr:rowOff>57150</xdr:rowOff>
    </xdr:from>
    <xdr:to>
      <xdr:col>15</xdr:col>
      <xdr:colOff>542925</xdr:colOff>
      <xdr:row>50</xdr:row>
      <xdr:rowOff>133350</xdr:rowOff>
    </xdr:to>
    <xdr:sp macro="" textlink="">
      <xdr:nvSpPr>
        <xdr:cNvPr id="8" name="Text Box 10">
          <a:extLst>
            <a:ext uri="{FF2B5EF4-FFF2-40B4-BE49-F238E27FC236}">
              <a16:creationId xmlns:a16="http://schemas.microsoft.com/office/drawing/2014/main" id="{00000000-0008-0000-1500-000008000000}"/>
            </a:ext>
          </a:extLst>
        </xdr:cNvPr>
        <xdr:cNvSpPr txBox="1">
          <a:spLocks noChangeArrowheads="1"/>
        </xdr:cNvSpPr>
      </xdr:nvSpPr>
      <xdr:spPr bwMode="auto">
        <a:xfrm>
          <a:off x="12973050" y="9648825"/>
          <a:ext cx="790575" cy="2381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400" b="0" i="0" u="none" strike="noStrike" baseline="0">
              <a:solidFill>
                <a:srgbClr val="000000"/>
              </a:solidFill>
              <a:latin typeface="Arial"/>
              <a:cs typeface="Arial"/>
            </a:rPr>
            <a:t>pe</a:t>
          </a:r>
        </a:p>
      </xdr:txBody>
    </xdr:sp>
    <xdr:clientData/>
  </xdr:twoCellAnchor>
  <xdr:twoCellAnchor editAs="oneCell">
    <xdr:from>
      <xdr:col>12</xdr:col>
      <xdr:colOff>800100</xdr:colOff>
      <xdr:row>50</xdr:row>
      <xdr:rowOff>95250</xdr:rowOff>
    </xdr:from>
    <xdr:to>
      <xdr:col>16</xdr:col>
      <xdr:colOff>447675</xdr:colOff>
      <xdr:row>68</xdr:row>
      <xdr:rowOff>38100</xdr:rowOff>
    </xdr:to>
    <xdr:pic>
      <xdr:nvPicPr>
        <xdr:cNvPr id="9" name="Picture 14" descr="schema_t">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5" cstate="print"/>
        <a:srcRect l="56299" t="64285" r="13846" b="16994"/>
        <a:stretch>
          <a:fillRect/>
        </a:stretch>
      </xdr:blipFill>
      <xdr:spPr bwMode="auto">
        <a:xfrm>
          <a:off x="9058275" y="9848850"/>
          <a:ext cx="5457825" cy="2857500"/>
        </a:xfrm>
        <a:prstGeom prst="rect">
          <a:avLst/>
        </a:prstGeom>
        <a:noFill/>
        <a:ln w="9525">
          <a:noFill/>
          <a:miter lim="800000"/>
          <a:headEnd/>
          <a:tailEnd/>
        </a:ln>
      </xdr:spPr>
    </xdr:pic>
    <xdr:clientData/>
  </xdr:twoCellAnchor>
  <xdr:twoCellAnchor>
    <xdr:from>
      <xdr:col>13</xdr:col>
      <xdr:colOff>533400</xdr:colOff>
      <xdr:row>65</xdr:row>
      <xdr:rowOff>66675</xdr:rowOff>
    </xdr:from>
    <xdr:to>
      <xdr:col>13</xdr:col>
      <xdr:colOff>1571625</xdr:colOff>
      <xdr:row>66</xdr:row>
      <xdr:rowOff>142875</xdr:rowOff>
    </xdr:to>
    <xdr:sp macro="" textlink="">
      <xdr:nvSpPr>
        <xdr:cNvPr id="10" name="Text Box 15">
          <a:extLst>
            <a:ext uri="{FF2B5EF4-FFF2-40B4-BE49-F238E27FC236}">
              <a16:creationId xmlns:a16="http://schemas.microsoft.com/office/drawing/2014/main" id="{00000000-0008-0000-1500-00000A000000}"/>
            </a:ext>
          </a:extLst>
        </xdr:cNvPr>
        <xdr:cNvSpPr txBox="1">
          <a:spLocks noChangeArrowheads="1"/>
        </xdr:cNvSpPr>
      </xdr:nvSpPr>
      <xdr:spPr bwMode="auto">
        <a:xfrm>
          <a:off x="9753600" y="12249150"/>
          <a:ext cx="1038225" cy="238125"/>
        </a:xfrm>
        <a:prstGeom prst="rect">
          <a:avLst/>
        </a:prstGeom>
        <a:noFill/>
        <a:ln w="9525">
          <a:noFill/>
          <a:miter lim="800000"/>
          <a:headEnd/>
          <a:tailEnd/>
        </a:ln>
      </xdr:spPr>
      <xdr:txBody>
        <a:bodyPr vertOverflow="clip" wrap="square" lIns="36576" tIns="27432" rIns="36576" bIns="0" anchor="t" upright="1"/>
        <a:lstStyle/>
        <a:p>
          <a:pPr algn="ctr" rtl="0">
            <a:defRPr sz="1000"/>
          </a:pPr>
          <a:r>
            <a:rPr lang="de-CH" sz="1400" b="0" i="0" u="none" strike="noStrike" baseline="0">
              <a:solidFill>
                <a:srgbClr val="000000"/>
              </a:solidFill>
              <a:latin typeface="Arial"/>
              <a:cs typeface="Arial"/>
            </a:rPr>
            <a:t>cooling</a:t>
          </a:r>
        </a:p>
      </xdr:txBody>
    </xdr:sp>
    <xdr:clientData/>
  </xdr:twoCellAnchor>
  <xdr:twoCellAnchor>
    <xdr:from>
      <xdr:col>13</xdr:col>
      <xdr:colOff>3390900</xdr:colOff>
      <xdr:row>65</xdr:row>
      <xdr:rowOff>66675</xdr:rowOff>
    </xdr:from>
    <xdr:to>
      <xdr:col>15</xdr:col>
      <xdr:colOff>428625</xdr:colOff>
      <xdr:row>66</xdr:row>
      <xdr:rowOff>142875</xdr:rowOff>
    </xdr:to>
    <xdr:sp macro="" textlink="">
      <xdr:nvSpPr>
        <xdr:cNvPr id="11" name="Text Box 16">
          <a:extLst>
            <a:ext uri="{FF2B5EF4-FFF2-40B4-BE49-F238E27FC236}">
              <a16:creationId xmlns:a16="http://schemas.microsoft.com/office/drawing/2014/main" id="{00000000-0008-0000-1500-00000B000000}"/>
            </a:ext>
          </a:extLst>
        </xdr:cNvPr>
        <xdr:cNvSpPr txBox="1">
          <a:spLocks noChangeArrowheads="1"/>
        </xdr:cNvSpPr>
      </xdr:nvSpPr>
      <xdr:spPr bwMode="auto">
        <a:xfrm>
          <a:off x="12611100" y="12249150"/>
          <a:ext cx="1038225" cy="238125"/>
        </a:xfrm>
        <a:prstGeom prst="rect">
          <a:avLst/>
        </a:prstGeom>
        <a:noFill/>
        <a:ln w="9525">
          <a:noFill/>
          <a:miter lim="800000"/>
          <a:headEnd/>
          <a:tailEnd/>
        </a:ln>
      </xdr:spPr>
      <xdr:txBody>
        <a:bodyPr vertOverflow="clip" wrap="square" lIns="36576" tIns="27432" rIns="36576" bIns="0" anchor="t" upright="1"/>
        <a:lstStyle/>
        <a:p>
          <a:pPr algn="ctr" rtl="0">
            <a:defRPr sz="1000"/>
          </a:pPr>
          <a:r>
            <a:rPr lang="de-CH" sz="1400" b="0" i="0" u="none" strike="noStrike" baseline="0">
              <a:solidFill>
                <a:srgbClr val="000000"/>
              </a:solidFill>
              <a:latin typeface="Arial"/>
              <a:cs typeface="Arial"/>
            </a:rPr>
            <a:t>heating</a:t>
          </a:r>
        </a:p>
      </xdr:txBody>
    </xdr:sp>
    <xdr:clientData/>
  </xdr:twoCellAnchor>
  <xdr:twoCellAnchor>
    <xdr:from>
      <xdr:col>0</xdr:col>
      <xdr:colOff>19050</xdr:colOff>
      <xdr:row>100</xdr:row>
      <xdr:rowOff>142875</xdr:rowOff>
    </xdr:from>
    <xdr:to>
      <xdr:col>11</xdr:col>
      <xdr:colOff>9525</xdr:colOff>
      <xdr:row>131</xdr:row>
      <xdr:rowOff>114300</xdr:rowOff>
    </xdr:to>
    <xdr:graphicFrame macro="">
      <xdr:nvGraphicFramePr>
        <xdr:cNvPr id="12" name="Chart 17">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133</xdr:row>
      <xdr:rowOff>0</xdr:rowOff>
    </xdr:from>
    <xdr:to>
      <xdr:col>11</xdr:col>
      <xdr:colOff>28575</xdr:colOff>
      <xdr:row>161</xdr:row>
      <xdr:rowOff>142875</xdr:rowOff>
    </xdr:to>
    <xdr:graphicFrame macro="">
      <xdr:nvGraphicFramePr>
        <xdr:cNvPr id="13" name="Chart 18">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163</xdr:row>
      <xdr:rowOff>0</xdr:rowOff>
    </xdr:from>
    <xdr:to>
      <xdr:col>11</xdr:col>
      <xdr:colOff>47625</xdr:colOff>
      <xdr:row>192</xdr:row>
      <xdr:rowOff>142875</xdr:rowOff>
    </xdr:to>
    <xdr:graphicFrame macro="">
      <xdr:nvGraphicFramePr>
        <xdr:cNvPr id="14" name="Chart 20">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196</xdr:row>
      <xdr:rowOff>0</xdr:rowOff>
    </xdr:from>
    <xdr:to>
      <xdr:col>11</xdr:col>
      <xdr:colOff>38100</xdr:colOff>
      <xdr:row>224</xdr:row>
      <xdr:rowOff>28575</xdr:rowOff>
    </xdr:to>
    <xdr:graphicFrame macro="">
      <xdr:nvGraphicFramePr>
        <xdr:cNvPr id="15" name="Chart 21">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72</xdr:row>
      <xdr:rowOff>104775</xdr:rowOff>
    </xdr:from>
    <xdr:to>
      <xdr:col>11</xdr:col>
      <xdr:colOff>28575</xdr:colOff>
      <xdr:row>99</xdr:row>
      <xdr:rowOff>76200</xdr:rowOff>
    </xdr:to>
    <xdr:graphicFrame macro="">
      <xdr:nvGraphicFramePr>
        <xdr:cNvPr id="16" name="Chart 22">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28575</xdr:colOff>
      <xdr:row>6</xdr:row>
      <xdr:rowOff>57150</xdr:rowOff>
    </xdr:from>
    <xdr:to>
      <xdr:col>10</xdr:col>
      <xdr:colOff>47625</xdr:colOff>
      <xdr:row>13</xdr:row>
      <xdr:rowOff>142875</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1962150" y="1428750"/>
          <a:ext cx="6181725" cy="1257300"/>
        </a:xfrm>
        <a:prstGeom prst="rect">
          <a:avLst/>
        </a:prstGeom>
        <a:noFill/>
        <a:ln w="9525">
          <a:solidFill>
            <a:srgbClr val="969696"/>
          </a:solidFill>
          <a:miter lim="800000"/>
          <a:headEnd/>
          <a:tailEnd/>
        </a:ln>
      </xdr:spPr>
      <xdr:txBody>
        <a:bodyPr vertOverflow="clip" wrap="square" lIns="27432" tIns="22860" rIns="0" bIns="0" anchor="t" upright="1"/>
        <a:lstStyle/>
        <a:p>
          <a:pPr algn="l" rtl="0">
            <a:defRPr sz="1000"/>
          </a:pPr>
          <a:endParaRPr lang="de-CH" sz="1000" b="0" i="0" u="none" strike="noStrike" baseline="0">
            <a:solidFill>
              <a:srgbClr val="000000"/>
            </a:solidFill>
            <a:latin typeface="Arial"/>
            <a:cs typeface="Arial"/>
          </a:endParaRPr>
        </a:p>
        <a:p>
          <a:pPr algn="l" rtl="0">
            <a:defRPr sz="1000"/>
          </a:pPr>
          <a:r>
            <a:rPr lang="de-CH" sz="1000" b="0" i="0" u="none" strike="noStrike" baseline="0">
              <a:solidFill>
                <a:srgbClr val="000000"/>
              </a:solidFill>
              <a:latin typeface="Arial"/>
              <a:cs typeface="Arial"/>
            </a:rPr>
            <a:t> spez. Ausgleichsvolumenstrom:</a:t>
          </a:r>
        </a:p>
        <a:p>
          <a:pPr algn="l" rtl="0">
            <a:defRPr sz="1000"/>
          </a:pPr>
          <a:r>
            <a:rPr lang="de-CH" sz="1000" b="0" i="0" u="none" strike="noStrike" baseline="0">
              <a:solidFill>
                <a:srgbClr val="000000"/>
              </a:solidFill>
              <a:latin typeface="Arial"/>
              <a:cs typeface="Arial"/>
            </a:rPr>
            <a:t>                        v</a:t>
          </a:r>
          <a:r>
            <a:rPr lang="de-CH" sz="1000" b="0" i="0" u="none" strike="noStrike" baseline="-25000">
              <a:solidFill>
                <a:srgbClr val="000000"/>
              </a:solidFill>
              <a:latin typeface="Arial"/>
              <a:cs typeface="Arial"/>
            </a:rPr>
            <a:t>D        </a:t>
          </a:r>
          <a:r>
            <a:rPr lang="de-CH" sz="1000" b="0" i="0" u="none" strike="noStrike" baseline="0">
              <a:solidFill>
                <a:srgbClr val="000000"/>
              </a:solidFill>
              <a:latin typeface="Arial"/>
              <a:cs typeface="Arial"/>
            </a:rPr>
            <a:t> = 0,0058*tmax + 0,094 für tmax &gt; 50°C</a:t>
          </a:r>
        </a:p>
        <a:p>
          <a:pPr algn="l" rtl="0">
            <a:defRPr sz="1000"/>
          </a:pPr>
          <a:r>
            <a:rPr lang="de-CH" sz="1000" b="0" i="0" u="none" strike="noStrike" baseline="0">
              <a:solidFill>
                <a:srgbClr val="000000"/>
              </a:solidFill>
              <a:latin typeface="Arial"/>
              <a:cs typeface="Arial"/>
            </a:rPr>
            <a:t>                        v</a:t>
          </a:r>
          <a:r>
            <a:rPr lang="de-CH" sz="1000" b="0" i="0" u="none" strike="noStrike" baseline="-25000">
              <a:solidFill>
                <a:srgbClr val="000000"/>
              </a:solidFill>
              <a:latin typeface="Arial"/>
              <a:cs typeface="Arial"/>
            </a:rPr>
            <a:t>D</a:t>
          </a:r>
          <a:r>
            <a:rPr lang="de-CH" sz="1000" b="0" i="0" u="none" strike="noStrike" baseline="0">
              <a:solidFill>
                <a:srgbClr val="000000"/>
              </a:solidFill>
              <a:latin typeface="Arial"/>
              <a:cs typeface="Arial"/>
            </a:rPr>
            <a:t>       = 0.384 füt tmax &lt;= 50°C,  Begrenzung auf Minimalwert, da für Dimensionierung nicht</a:t>
          </a:r>
        </a:p>
        <a:p>
          <a:pPr algn="l" rtl="0">
            <a:defRPr sz="1000"/>
          </a:pPr>
          <a:r>
            <a:rPr lang="de-CH" sz="1000" b="0" i="0" u="none" strike="noStrike" baseline="0">
              <a:solidFill>
                <a:srgbClr val="000000"/>
              </a:solidFill>
              <a:latin typeface="Arial"/>
              <a:cs typeface="Arial"/>
            </a:rPr>
            <a:t>                                     mehr die Ausdehnungsgeschwindigkeit entscheidend!</a:t>
          </a:r>
        </a:p>
        <a:p>
          <a:pPr algn="l" rtl="0">
            <a:defRPr sz="1000"/>
          </a:pPr>
          <a:r>
            <a:rPr lang="de-CH" sz="1000" b="0" i="0" u="none" strike="noStrike" baseline="0">
              <a:solidFill>
                <a:srgbClr val="000000"/>
              </a:solidFill>
              <a:latin typeface="Arial"/>
              <a:cs typeface="Arial"/>
            </a:rPr>
            <a:t>Ausgleichsvolumenstrom:</a:t>
          </a:r>
        </a:p>
        <a:p>
          <a:pPr algn="l" rtl="0">
            <a:defRPr sz="1000"/>
          </a:pPr>
          <a:r>
            <a:rPr lang="de-CH" sz="1000" b="0" i="0" u="none" strike="noStrike" baseline="0">
              <a:solidFill>
                <a:srgbClr val="000000"/>
              </a:solidFill>
              <a:latin typeface="Arial"/>
              <a:cs typeface="Arial"/>
            </a:rPr>
            <a:t>                        V</a:t>
          </a:r>
          <a:r>
            <a:rPr lang="de-CH" sz="1000" b="0" i="0" u="none" strike="noStrike" baseline="-25000">
              <a:solidFill>
                <a:srgbClr val="000000"/>
              </a:solidFill>
              <a:latin typeface="Arial"/>
              <a:cs typeface="Arial"/>
            </a:rPr>
            <a:t>D</a:t>
          </a:r>
          <a:r>
            <a:rPr lang="de-CH" sz="1000" b="0" i="0" u="none" strike="noStrike" baseline="0">
              <a:solidFill>
                <a:srgbClr val="000000"/>
              </a:solidFill>
              <a:latin typeface="Arial"/>
              <a:cs typeface="Arial"/>
            </a:rPr>
            <a:t>      = Q*v</a:t>
          </a:r>
          <a:r>
            <a:rPr lang="de-CH" sz="1000" b="0" i="0" u="none" strike="noStrike" baseline="-25000">
              <a:solidFill>
                <a:srgbClr val="000000"/>
              </a:solidFill>
              <a:latin typeface="Arial"/>
              <a:cs typeface="Arial"/>
            </a:rPr>
            <a:t>D</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28</xdr:row>
      <xdr:rowOff>47625</xdr:rowOff>
    </xdr:from>
    <xdr:to>
      <xdr:col>17</xdr:col>
      <xdr:colOff>3495675</xdr:colOff>
      <xdr:row>70</xdr:row>
      <xdr:rowOff>104775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12</xdr:row>
      <xdr:rowOff>57150</xdr:rowOff>
    </xdr:from>
    <xdr:to>
      <xdr:col>5</xdr:col>
      <xdr:colOff>466725</xdr:colOff>
      <xdr:row>24</xdr:row>
      <xdr:rowOff>161925</xdr:rowOff>
    </xdr:to>
    <xdr:pic>
      <xdr:nvPicPr>
        <xdr:cNvPr id="3" name="Picture 6" descr="schema_transfer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47296"/>
        <a:stretch>
          <a:fillRect/>
        </a:stretch>
      </xdr:blipFill>
      <xdr:spPr bwMode="auto">
        <a:xfrm>
          <a:off x="85725" y="2905125"/>
          <a:ext cx="4286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504825</xdr:colOff>
      <xdr:row>14</xdr:row>
      <xdr:rowOff>0</xdr:rowOff>
    </xdr:from>
    <xdr:to>
      <xdr:col>11</xdr:col>
      <xdr:colOff>142875</xdr:colOff>
      <xdr:row>22</xdr:row>
      <xdr:rowOff>142875</xdr:rowOff>
    </xdr:to>
    <xdr:grpSp>
      <xdr:nvGrpSpPr>
        <xdr:cNvPr id="4" name="Gruppieren 20">
          <a:extLst>
            <a:ext uri="{FF2B5EF4-FFF2-40B4-BE49-F238E27FC236}">
              <a16:creationId xmlns:a16="http://schemas.microsoft.com/office/drawing/2014/main" id="{00000000-0008-0000-1700-000004000000}"/>
            </a:ext>
          </a:extLst>
        </xdr:cNvPr>
        <xdr:cNvGrpSpPr>
          <a:grpSpLocks/>
        </xdr:cNvGrpSpPr>
      </xdr:nvGrpSpPr>
      <xdr:grpSpPr bwMode="auto">
        <a:xfrm>
          <a:off x="4401911" y="3265714"/>
          <a:ext cx="3611335" cy="1971675"/>
          <a:chOff x="1584512" y="5078205"/>
          <a:chExt cx="4612341" cy="2618600"/>
        </a:xfrm>
      </xdr:grpSpPr>
      <xdr:sp macro="" textlink="">
        <xdr:nvSpPr>
          <xdr:cNvPr id="5" name="Text Box 8">
            <a:extLst>
              <a:ext uri="{FF2B5EF4-FFF2-40B4-BE49-F238E27FC236}">
                <a16:creationId xmlns:a16="http://schemas.microsoft.com/office/drawing/2014/main" id="{00000000-0008-0000-1700-000005000000}"/>
              </a:ext>
            </a:extLst>
          </xdr:cNvPr>
          <xdr:cNvSpPr txBox="1">
            <a:spLocks noChangeArrowheads="1"/>
          </xdr:cNvSpPr>
        </xdr:nvSpPr>
        <xdr:spPr bwMode="auto">
          <a:xfrm>
            <a:off x="3247382" y="5090385"/>
            <a:ext cx="873917" cy="207052"/>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000" b="0" i="0" u="none" strike="noStrike" baseline="0">
                <a:solidFill>
                  <a:srgbClr val="000000"/>
                </a:solidFill>
                <a:latin typeface="Arial"/>
                <a:cs typeface="Arial"/>
              </a:rPr>
              <a:t>pman</a:t>
            </a:r>
          </a:p>
        </xdr:txBody>
      </xdr:sp>
      <xdr:sp macro="" textlink="">
        <xdr:nvSpPr>
          <xdr:cNvPr id="6" name="Text Box 9">
            <a:extLst>
              <a:ext uri="{FF2B5EF4-FFF2-40B4-BE49-F238E27FC236}">
                <a16:creationId xmlns:a16="http://schemas.microsoft.com/office/drawing/2014/main" id="{00000000-0008-0000-1700-000006000000}"/>
              </a:ext>
            </a:extLst>
          </xdr:cNvPr>
          <xdr:cNvSpPr txBox="1">
            <a:spLocks noChangeArrowheads="1"/>
          </xdr:cNvSpPr>
        </xdr:nvSpPr>
        <xdr:spPr bwMode="auto">
          <a:xfrm>
            <a:off x="1718027" y="5078205"/>
            <a:ext cx="873917" cy="328847"/>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000" b="0" i="0" u="none" strike="noStrike" baseline="0">
                <a:solidFill>
                  <a:srgbClr val="000000"/>
                </a:solidFill>
                <a:latin typeface="Arial"/>
                <a:cs typeface="Arial"/>
              </a:rPr>
              <a:t>pa</a:t>
            </a:r>
          </a:p>
        </xdr:txBody>
      </xdr:sp>
      <xdr:sp macro="" textlink="">
        <xdr:nvSpPr>
          <xdr:cNvPr id="7" name="Text Box 10">
            <a:extLst>
              <a:ext uri="{FF2B5EF4-FFF2-40B4-BE49-F238E27FC236}">
                <a16:creationId xmlns:a16="http://schemas.microsoft.com/office/drawing/2014/main" id="{00000000-0008-0000-1700-000007000000}"/>
              </a:ext>
            </a:extLst>
          </xdr:cNvPr>
          <xdr:cNvSpPr txBox="1">
            <a:spLocks noChangeArrowheads="1"/>
          </xdr:cNvSpPr>
        </xdr:nvSpPr>
        <xdr:spPr bwMode="auto">
          <a:xfrm>
            <a:off x="4898115" y="5090385"/>
            <a:ext cx="655438" cy="280129"/>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000" b="0" i="0" u="none" strike="noStrike" baseline="0">
                <a:solidFill>
                  <a:srgbClr val="000000"/>
                </a:solidFill>
                <a:latin typeface="Arial"/>
                <a:cs typeface="Arial"/>
              </a:rPr>
              <a:t>pe</a:t>
            </a:r>
          </a:p>
        </xdr:txBody>
      </xdr:sp>
      <xdr:pic>
        <xdr:nvPicPr>
          <xdr:cNvPr id="8" name="Picture 14" descr="schema_t">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56299" t="64285" r="13846" b="16994"/>
          <a:stretch>
            <a:fillRect/>
          </a:stretch>
        </xdr:blipFill>
        <xdr:spPr bwMode="auto">
          <a:xfrm>
            <a:off x="1584512" y="5361072"/>
            <a:ext cx="4612341" cy="2335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Text Box 15">
            <a:extLst>
              <a:ext uri="{FF2B5EF4-FFF2-40B4-BE49-F238E27FC236}">
                <a16:creationId xmlns:a16="http://schemas.microsoft.com/office/drawing/2014/main" id="{00000000-0008-0000-1700-000009000000}"/>
              </a:ext>
            </a:extLst>
          </xdr:cNvPr>
          <xdr:cNvSpPr txBox="1">
            <a:spLocks noChangeArrowheads="1"/>
          </xdr:cNvSpPr>
        </xdr:nvSpPr>
        <xdr:spPr bwMode="auto">
          <a:xfrm>
            <a:off x="1778716" y="7075649"/>
            <a:ext cx="1990589" cy="487181"/>
          </a:xfrm>
          <a:prstGeom prst="rect">
            <a:avLst/>
          </a:prstGeom>
          <a:noFill/>
          <a:ln w="9525">
            <a:noFill/>
            <a:miter lim="800000"/>
            <a:headEnd/>
            <a:tailEnd/>
          </a:ln>
        </xdr:spPr>
        <xdr:txBody>
          <a:bodyPr vertOverflow="clip" wrap="square" lIns="36576" tIns="27432" rIns="36576" bIns="0" anchor="t" upright="1"/>
          <a:lstStyle/>
          <a:p>
            <a:pPr algn="ctr" rtl="0">
              <a:defRPr sz="1000"/>
            </a:pPr>
            <a:r>
              <a:rPr lang="de-CH" sz="1000" b="0" i="0" u="none" strike="noStrike" baseline="0">
                <a:solidFill>
                  <a:srgbClr val="000000"/>
                </a:solidFill>
                <a:latin typeface="Arial"/>
                <a:cs typeface="Arial"/>
              </a:rPr>
              <a:t>abkühlen / cool down / refroidir </a:t>
            </a:r>
          </a:p>
        </xdr:txBody>
      </xdr:sp>
      <xdr:sp macro="" textlink="">
        <xdr:nvSpPr>
          <xdr:cNvPr id="10" name="Text Box 16">
            <a:extLst>
              <a:ext uri="{FF2B5EF4-FFF2-40B4-BE49-F238E27FC236}">
                <a16:creationId xmlns:a16="http://schemas.microsoft.com/office/drawing/2014/main" id="{00000000-0008-0000-1700-00000A000000}"/>
              </a:ext>
            </a:extLst>
          </xdr:cNvPr>
          <xdr:cNvSpPr txBox="1">
            <a:spLocks noChangeArrowheads="1"/>
          </xdr:cNvSpPr>
        </xdr:nvSpPr>
        <xdr:spPr bwMode="auto">
          <a:xfrm>
            <a:off x="3951371" y="7063469"/>
            <a:ext cx="1893487" cy="426284"/>
          </a:xfrm>
          <a:prstGeom prst="rect">
            <a:avLst/>
          </a:prstGeom>
          <a:noFill/>
          <a:ln w="9525">
            <a:noFill/>
            <a:miter lim="800000"/>
            <a:headEnd/>
            <a:tailEnd/>
          </a:ln>
        </xdr:spPr>
        <xdr:txBody>
          <a:bodyPr vertOverflow="clip" wrap="square" lIns="36576" tIns="27432" rIns="36576" bIns="0" anchor="t" upright="1"/>
          <a:lstStyle/>
          <a:p>
            <a:pPr algn="ctr" rtl="0">
              <a:defRPr sz="1000"/>
            </a:pPr>
            <a:r>
              <a:rPr lang="de-CH" sz="1000" b="0" i="0" u="none" strike="noStrike" baseline="0">
                <a:solidFill>
                  <a:srgbClr val="000000"/>
                </a:solidFill>
                <a:latin typeface="Arial"/>
                <a:cs typeface="Arial"/>
              </a:rPr>
              <a:t>aufheizen / heating up / chauffer </a:t>
            </a:r>
          </a:p>
        </xdr:txBody>
      </xdr:sp>
    </xdr:grpSp>
    <xdr:clientData/>
  </xdr:twoCellAnchor>
  <xdr:twoCellAnchor editAs="oneCell">
    <xdr:from>
      <xdr:col>0</xdr:col>
      <xdr:colOff>0</xdr:colOff>
      <xdr:row>5</xdr:row>
      <xdr:rowOff>76200</xdr:rowOff>
    </xdr:from>
    <xdr:to>
      <xdr:col>18</xdr:col>
      <xdr:colOff>19050</xdr:colOff>
      <xdr:row>5</xdr:row>
      <xdr:rowOff>152400</xdr:rowOff>
    </xdr:to>
    <xdr:pic>
      <xdr:nvPicPr>
        <xdr:cNvPr id="11" name="Picture 158">
          <a:extLst>
            <a:ext uri="{FF2B5EF4-FFF2-40B4-BE49-F238E27FC236}">
              <a16:creationId xmlns:a16="http://schemas.microsoft.com/office/drawing/2014/main" id="{00000000-0008-0000-17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133475"/>
          <a:ext cx="181356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1733550</xdr:colOff>
      <xdr:row>72</xdr:row>
      <xdr:rowOff>66675</xdr:rowOff>
    </xdr:from>
    <xdr:to>
      <xdr:col>17</xdr:col>
      <xdr:colOff>3409950</xdr:colOff>
      <xdr:row>77</xdr:row>
      <xdr:rowOff>152400</xdr:rowOff>
    </xdr:to>
    <xdr:pic>
      <xdr:nvPicPr>
        <xdr:cNvPr id="12" name="Picture 3802">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297275" y="13877925"/>
          <a:ext cx="16764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1733550</xdr:colOff>
      <xdr:row>126</xdr:row>
      <xdr:rowOff>133350</xdr:rowOff>
    </xdr:from>
    <xdr:to>
      <xdr:col>17</xdr:col>
      <xdr:colOff>3409950</xdr:colOff>
      <xdr:row>132</xdr:row>
      <xdr:rowOff>66675</xdr:rowOff>
    </xdr:to>
    <xdr:pic>
      <xdr:nvPicPr>
        <xdr:cNvPr id="13" name="Picture 3802">
          <a:extLst>
            <a:ext uri="{FF2B5EF4-FFF2-40B4-BE49-F238E27FC236}">
              <a16:creationId xmlns:a16="http://schemas.microsoft.com/office/drawing/2014/main" id="{00000000-0008-0000-17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297275" y="22860000"/>
          <a:ext cx="1676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2</xdr:row>
      <xdr:rowOff>38100</xdr:rowOff>
    </xdr:from>
    <xdr:to>
      <xdr:col>2</xdr:col>
      <xdr:colOff>600075</xdr:colOff>
      <xdr:row>3</xdr:row>
      <xdr:rowOff>28575</xdr:rowOff>
    </xdr:to>
    <xdr:pic>
      <xdr:nvPicPr>
        <xdr:cNvPr id="14" name="Picture 4347">
          <a:extLst>
            <a:ext uri="{FF2B5EF4-FFF2-40B4-BE49-F238E27FC236}">
              <a16:creationId xmlns:a16="http://schemas.microsoft.com/office/drawing/2014/main" id="{00000000-0008-0000-17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361950"/>
          <a:ext cx="21240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0</xdr:colOff>
      <xdr:row>82</xdr:row>
      <xdr:rowOff>47625</xdr:rowOff>
    </xdr:from>
    <xdr:to>
      <xdr:col>17</xdr:col>
      <xdr:colOff>3495675</xdr:colOff>
      <xdr:row>124</xdr:row>
      <xdr:rowOff>104775</xdr:rowOff>
    </xdr:to>
    <xdr:graphicFrame macro="">
      <xdr:nvGraphicFramePr>
        <xdr:cNvPr id="15" name="Chart 1">
          <a:extLst>
            <a:ext uri="{FF2B5EF4-FFF2-40B4-BE49-F238E27FC236}">
              <a16:creationId xmlns:a16="http://schemas.microsoft.com/office/drawing/2014/main" id="{00000000-0008-0000-1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135</xdr:row>
      <xdr:rowOff>76200</xdr:rowOff>
    </xdr:from>
    <xdr:to>
      <xdr:col>17</xdr:col>
      <xdr:colOff>3495675</xdr:colOff>
      <xdr:row>177</xdr:row>
      <xdr:rowOff>133350</xdr:rowOff>
    </xdr:to>
    <xdr:graphicFrame macro="">
      <xdr:nvGraphicFramePr>
        <xdr:cNvPr id="16" name="Chart 1">
          <a:extLst>
            <a:ext uri="{FF2B5EF4-FFF2-40B4-BE49-F238E27FC236}">
              <a16:creationId xmlns:a16="http://schemas.microsoft.com/office/drawing/2014/main" id="{00000000-0008-0000-1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190</xdr:row>
      <xdr:rowOff>123825</xdr:rowOff>
    </xdr:from>
    <xdr:to>
      <xdr:col>17</xdr:col>
      <xdr:colOff>3495675</xdr:colOff>
      <xdr:row>233</xdr:row>
      <xdr:rowOff>28575</xdr:rowOff>
    </xdr:to>
    <xdr:graphicFrame macro="">
      <xdr:nvGraphicFramePr>
        <xdr:cNvPr id="17" name="Chart 1">
          <a:extLst>
            <a:ext uri="{FF2B5EF4-FFF2-40B4-BE49-F238E27FC236}">
              <a16:creationId xmlns:a16="http://schemas.microsoft.com/office/drawing/2014/main" id="{00000000-0008-0000-1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17</xdr:col>
      <xdr:colOff>1733550</xdr:colOff>
      <xdr:row>179</xdr:row>
      <xdr:rowOff>47625</xdr:rowOff>
    </xdr:from>
    <xdr:to>
      <xdr:col>17</xdr:col>
      <xdr:colOff>3409950</xdr:colOff>
      <xdr:row>184</xdr:row>
      <xdr:rowOff>152400</xdr:rowOff>
    </xdr:to>
    <xdr:pic>
      <xdr:nvPicPr>
        <xdr:cNvPr id="18" name="Picture 3802">
          <a:extLst>
            <a:ext uri="{FF2B5EF4-FFF2-40B4-BE49-F238E27FC236}">
              <a16:creationId xmlns:a16="http://schemas.microsoft.com/office/drawing/2014/main" id="{00000000-0008-0000-1700-00001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297275" y="31527750"/>
          <a:ext cx="1676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1733550</xdr:colOff>
      <xdr:row>237</xdr:row>
      <xdr:rowOff>19050</xdr:rowOff>
    </xdr:from>
    <xdr:to>
      <xdr:col>17</xdr:col>
      <xdr:colOff>3409950</xdr:colOff>
      <xdr:row>242</xdr:row>
      <xdr:rowOff>114300</xdr:rowOff>
    </xdr:to>
    <xdr:pic>
      <xdr:nvPicPr>
        <xdr:cNvPr id="19" name="Picture 3802">
          <a:extLst>
            <a:ext uri="{FF2B5EF4-FFF2-40B4-BE49-F238E27FC236}">
              <a16:creationId xmlns:a16="http://schemas.microsoft.com/office/drawing/2014/main" id="{00000000-0008-0000-1700-00001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297275" y="41062275"/>
          <a:ext cx="1676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15</xdr:col>
          <xdr:colOff>838200</xdr:colOff>
          <xdr:row>11</xdr:row>
          <xdr:rowOff>7620</xdr:rowOff>
        </xdr:to>
        <xdr:sp macro="" textlink="">
          <xdr:nvSpPr>
            <xdr:cNvPr id="40961" name="Drop Down 1" hidden="1">
              <a:extLst>
                <a:ext uri="{63B3BB69-23CF-44E3-9099-C40C66FF867C}">
                  <a14:compatExt spid="_x0000_s40961"/>
                </a:ext>
                <a:ext uri="{FF2B5EF4-FFF2-40B4-BE49-F238E27FC236}">
                  <a16:creationId xmlns:a16="http://schemas.microsoft.com/office/drawing/2014/main" id="{00000000-0008-0000-1700-000001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476251</xdr:colOff>
      <xdr:row>215</xdr:row>
      <xdr:rowOff>190501</xdr:rowOff>
    </xdr:from>
    <xdr:to>
      <xdr:col>11</xdr:col>
      <xdr:colOff>38100</xdr:colOff>
      <xdr:row>227</xdr:row>
      <xdr:rowOff>178555</xdr:rowOff>
    </xdr:to>
    <xdr:pic>
      <xdr:nvPicPr>
        <xdr:cNvPr id="4134" name="Picture 38">
          <a:extLst>
            <a:ext uri="{FF2B5EF4-FFF2-40B4-BE49-F238E27FC236}">
              <a16:creationId xmlns:a16="http://schemas.microsoft.com/office/drawing/2014/main" id="{00000000-0008-0000-0100-000026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1" y="44757976"/>
          <a:ext cx="4076699" cy="2616954"/>
        </a:xfrm>
        <a:prstGeom prst="rect">
          <a:avLst/>
        </a:prstGeom>
        <a:noFill/>
      </xdr:spPr>
    </xdr:pic>
    <xdr:clientData/>
  </xdr:twoCellAnchor>
  <xdr:twoCellAnchor>
    <xdr:from>
      <xdr:col>3</xdr:col>
      <xdr:colOff>295275</xdr:colOff>
      <xdr:row>217</xdr:row>
      <xdr:rowOff>142875</xdr:rowOff>
    </xdr:from>
    <xdr:to>
      <xdr:col>5</xdr:col>
      <xdr:colOff>38100</xdr:colOff>
      <xdr:row>217</xdr:row>
      <xdr:rowOff>152400</xdr:rowOff>
    </xdr:to>
    <xdr:cxnSp macro="">
      <xdr:nvCxnSpPr>
        <xdr:cNvPr id="14" name="Łącznik prosty ze strzałką 13">
          <a:extLst>
            <a:ext uri="{FF2B5EF4-FFF2-40B4-BE49-F238E27FC236}">
              <a16:creationId xmlns:a16="http://schemas.microsoft.com/office/drawing/2014/main" id="{00000000-0008-0000-0100-00000E000000}"/>
            </a:ext>
          </a:extLst>
        </xdr:cNvPr>
        <xdr:cNvCxnSpPr/>
      </xdr:nvCxnSpPr>
      <xdr:spPr>
        <a:xfrm flipH="1" flipV="1">
          <a:off x="1533525" y="45148500"/>
          <a:ext cx="828675" cy="95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256189</xdr:colOff>
      <xdr:row>223</xdr:row>
      <xdr:rowOff>111673</xdr:rowOff>
    </xdr:from>
    <xdr:to>
      <xdr:col>4</xdr:col>
      <xdr:colOff>26276</xdr:colOff>
      <xdr:row>223</xdr:row>
      <xdr:rowOff>111673</xdr:rowOff>
    </xdr:to>
    <xdr:cxnSp macro="">
      <xdr:nvCxnSpPr>
        <xdr:cNvPr id="15" name="Łącznik prosty ze strzałką 14">
          <a:extLst>
            <a:ext uri="{FF2B5EF4-FFF2-40B4-BE49-F238E27FC236}">
              <a16:creationId xmlns:a16="http://schemas.microsoft.com/office/drawing/2014/main" id="{00000000-0008-0000-0100-00000F000000}"/>
            </a:ext>
          </a:extLst>
        </xdr:cNvPr>
        <xdr:cNvCxnSpPr/>
      </xdr:nvCxnSpPr>
      <xdr:spPr>
        <a:xfrm flipH="1">
          <a:off x="1491155" y="45956483"/>
          <a:ext cx="282466"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118240</xdr:colOff>
      <xdr:row>217</xdr:row>
      <xdr:rowOff>105104</xdr:rowOff>
    </xdr:from>
    <xdr:to>
      <xdr:col>11</xdr:col>
      <xdr:colOff>420414</xdr:colOff>
      <xdr:row>217</xdr:row>
      <xdr:rowOff>170793</xdr:rowOff>
    </xdr:to>
    <xdr:cxnSp macro="">
      <xdr:nvCxnSpPr>
        <xdr:cNvPr id="16" name="Łącznik prosty ze strzałką 15">
          <a:extLst>
            <a:ext uri="{FF2B5EF4-FFF2-40B4-BE49-F238E27FC236}">
              <a16:creationId xmlns:a16="http://schemas.microsoft.com/office/drawing/2014/main" id="{00000000-0008-0000-0100-000010000000}"/>
            </a:ext>
          </a:extLst>
        </xdr:cNvPr>
        <xdr:cNvCxnSpPr/>
      </xdr:nvCxnSpPr>
      <xdr:spPr>
        <a:xfrm flipV="1">
          <a:off x="5143499" y="44649259"/>
          <a:ext cx="1018191" cy="6568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40728</xdr:colOff>
      <xdr:row>223</xdr:row>
      <xdr:rowOff>111673</xdr:rowOff>
    </xdr:from>
    <xdr:to>
      <xdr:col>11</xdr:col>
      <xdr:colOff>413845</xdr:colOff>
      <xdr:row>223</xdr:row>
      <xdr:rowOff>126125</xdr:rowOff>
    </xdr:to>
    <xdr:cxnSp macro="">
      <xdr:nvCxnSpPr>
        <xdr:cNvPr id="22" name="Łącznik prosty ze strzałką 21">
          <a:extLst>
            <a:ext uri="{FF2B5EF4-FFF2-40B4-BE49-F238E27FC236}">
              <a16:creationId xmlns:a16="http://schemas.microsoft.com/office/drawing/2014/main" id="{00000000-0008-0000-0100-000016000000}"/>
            </a:ext>
          </a:extLst>
        </xdr:cNvPr>
        <xdr:cNvCxnSpPr/>
      </xdr:nvCxnSpPr>
      <xdr:spPr>
        <a:xfrm flipV="1">
          <a:off x="5782004" y="45956483"/>
          <a:ext cx="373117" cy="1445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180975</xdr:colOff>
      <xdr:row>229</xdr:row>
      <xdr:rowOff>95249</xdr:rowOff>
    </xdr:from>
    <xdr:to>
      <xdr:col>11</xdr:col>
      <xdr:colOff>361950</xdr:colOff>
      <xdr:row>234</xdr:row>
      <xdr:rowOff>171450</xdr:rowOff>
    </xdr:to>
    <xdr:sp macro="" textlink="">
      <xdr:nvSpPr>
        <xdr:cNvPr id="11" name="Prostokąt 10">
          <a:extLst>
            <a:ext uri="{FF2B5EF4-FFF2-40B4-BE49-F238E27FC236}">
              <a16:creationId xmlns:a16="http://schemas.microsoft.com/office/drawing/2014/main" id="{00000000-0008-0000-0100-00000B000000}"/>
            </a:ext>
          </a:extLst>
        </xdr:cNvPr>
        <xdr:cNvSpPr/>
      </xdr:nvSpPr>
      <xdr:spPr>
        <a:xfrm>
          <a:off x="847725" y="50863499"/>
          <a:ext cx="5486400" cy="117157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l-PL" sz="1100"/>
        </a:p>
      </xdr:txBody>
    </xdr:sp>
    <xdr:clientData/>
  </xdr:twoCellAnchor>
  <xdr:twoCellAnchor editAs="oneCell">
    <xdr:from>
      <xdr:col>3</xdr:col>
      <xdr:colOff>419101</xdr:colOff>
      <xdr:row>220</xdr:row>
      <xdr:rowOff>127084</xdr:rowOff>
    </xdr:from>
    <xdr:to>
      <xdr:col>4</xdr:col>
      <xdr:colOff>317189</xdr:colOff>
      <xdr:row>223</xdr:row>
      <xdr:rowOff>9525</xdr:rowOff>
    </xdr:to>
    <xdr:pic>
      <xdr:nvPicPr>
        <xdr:cNvPr id="12" name="Picture 5">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57351" y="49580884"/>
          <a:ext cx="412438" cy="539666"/>
        </a:xfrm>
        <a:prstGeom prst="rect">
          <a:avLst/>
        </a:prstGeom>
        <a:noFill/>
        <a:ln w="12700" algn="ctr">
          <a:noFill/>
          <a:miter lim="800000"/>
          <a:headEnd/>
          <a:tailEnd/>
        </a:ln>
      </xdr:spPr>
    </xdr:pic>
    <xdr:clientData/>
  </xdr:twoCellAnchor>
  <xdr:twoCellAnchor editAs="oneCell">
    <xdr:from>
      <xdr:col>4</xdr:col>
      <xdr:colOff>495301</xdr:colOff>
      <xdr:row>214</xdr:row>
      <xdr:rowOff>209551</xdr:rowOff>
    </xdr:from>
    <xdr:to>
      <xdr:col>5</xdr:col>
      <xdr:colOff>304800</xdr:colOff>
      <xdr:row>217</xdr:row>
      <xdr:rowOff>84712</xdr:rowOff>
    </xdr:to>
    <xdr:pic>
      <xdr:nvPicPr>
        <xdr:cNvPr id="13" name="Picture 4">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247901" y="48348901"/>
          <a:ext cx="380999" cy="532386"/>
        </a:xfrm>
        <a:prstGeom prst="rect">
          <a:avLst/>
        </a:prstGeom>
        <a:noFill/>
        <a:ln w="12700" algn="ctr">
          <a:noFill/>
          <a:miter lim="800000"/>
          <a:headEnd/>
          <a:tailEnd/>
        </a:ln>
      </xdr:spPr>
    </xdr:pic>
    <xdr:clientData/>
  </xdr:twoCellAnchor>
  <xdr:twoCellAnchor editAs="oneCell">
    <xdr:from>
      <xdr:col>9</xdr:col>
      <xdr:colOff>400051</xdr:colOff>
      <xdr:row>215</xdr:row>
      <xdr:rowOff>9525</xdr:rowOff>
    </xdr:from>
    <xdr:to>
      <xdr:col>10</xdr:col>
      <xdr:colOff>197308</xdr:colOff>
      <xdr:row>217</xdr:row>
      <xdr:rowOff>104775</xdr:rowOff>
    </xdr:to>
    <xdr:pic>
      <xdr:nvPicPr>
        <xdr:cNvPr id="17" name="Picture 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857751" y="48367950"/>
          <a:ext cx="378282" cy="533400"/>
        </a:xfrm>
        <a:prstGeom prst="rect">
          <a:avLst/>
        </a:prstGeom>
        <a:noFill/>
        <a:ln w="12700" algn="ctr">
          <a:noFill/>
          <a:miter lim="800000"/>
          <a:headEnd/>
          <a:tailEnd/>
        </a:ln>
      </xdr:spPr>
    </xdr:pic>
    <xdr:clientData/>
  </xdr:twoCellAnchor>
  <xdr:twoCellAnchor editAs="oneCell">
    <xdr:from>
      <xdr:col>0</xdr:col>
      <xdr:colOff>0</xdr:colOff>
      <xdr:row>0</xdr:row>
      <xdr:rowOff>0</xdr:rowOff>
    </xdr:from>
    <xdr:to>
      <xdr:col>1</xdr:col>
      <xdr:colOff>9525</xdr:colOff>
      <xdr:row>1</xdr:row>
      <xdr:rowOff>575</xdr:rowOff>
    </xdr:to>
    <xdr:pic>
      <xdr:nvPicPr>
        <xdr:cNvPr id="19" name="Obraz 18" descr="Powrót.png">
          <a:hlinkClick xmlns:r="http://schemas.openxmlformats.org/officeDocument/2006/relationships" r:id="rId5"/>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6" cstate="print"/>
        <a:stretch>
          <a:fillRect/>
        </a:stretch>
      </xdr:blipFill>
      <xdr:spPr>
        <a:xfrm>
          <a:off x="0" y="0"/>
          <a:ext cx="676275" cy="663515"/>
        </a:xfrm>
        <a:prstGeom prst="rect">
          <a:avLst/>
        </a:prstGeom>
      </xdr:spPr>
    </xdr:pic>
    <xdr:clientData/>
  </xdr:twoCellAnchor>
  <xdr:twoCellAnchor editAs="oneCell">
    <xdr:from>
      <xdr:col>13</xdr:col>
      <xdr:colOff>0</xdr:colOff>
      <xdr:row>1</xdr:row>
      <xdr:rowOff>0</xdr:rowOff>
    </xdr:from>
    <xdr:to>
      <xdr:col>21</xdr:col>
      <xdr:colOff>228600</xdr:colOff>
      <xdr:row>13</xdr:row>
      <xdr:rowOff>28575</xdr:rowOff>
    </xdr:to>
    <xdr:pic>
      <xdr:nvPicPr>
        <xdr:cNvPr id="4161" name="Picture 65">
          <a:extLst>
            <a:ext uri="{FF2B5EF4-FFF2-40B4-BE49-F238E27FC236}">
              <a16:creationId xmlns:a16="http://schemas.microsoft.com/office/drawing/2014/main" id="{00000000-0008-0000-0100-0000411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381875" y="666750"/>
          <a:ext cx="5467350" cy="2657475"/>
        </a:xfrm>
        <a:prstGeom prst="rect">
          <a:avLst/>
        </a:prstGeom>
        <a:noFill/>
      </xdr:spPr>
    </xdr:pic>
    <xdr:clientData/>
  </xdr:twoCellAnchor>
  <xdr:twoCellAnchor editAs="oneCell">
    <xdr:from>
      <xdr:col>14</xdr:col>
      <xdr:colOff>99388</xdr:colOff>
      <xdr:row>126</xdr:row>
      <xdr:rowOff>191361</xdr:rowOff>
    </xdr:from>
    <xdr:to>
      <xdr:col>18</xdr:col>
      <xdr:colOff>556587</xdr:colOff>
      <xdr:row>135</xdr:row>
      <xdr:rowOff>165203</xdr:rowOff>
    </xdr:to>
    <xdr:pic>
      <xdr:nvPicPr>
        <xdr:cNvPr id="4157" name="Picture 61">
          <a:extLst>
            <a:ext uri="{FF2B5EF4-FFF2-40B4-BE49-F238E27FC236}">
              <a16:creationId xmlns:a16="http://schemas.microsoft.com/office/drawing/2014/main" id="{00000000-0008-0000-0100-00003D1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918171" y="26057948"/>
          <a:ext cx="3207025" cy="1911972"/>
        </a:xfrm>
        <a:prstGeom prst="rect">
          <a:avLst/>
        </a:prstGeom>
        <a:noFill/>
        <a:ln w="1">
          <a:noFill/>
          <a:miter lim="800000"/>
          <a:headEnd/>
          <a:tailEnd type="none" w="med" len="med"/>
        </a:ln>
        <a:effectLst/>
      </xdr:spPr>
    </xdr:pic>
    <xdr:clientData/>
  </xdr:twoCellAnchor>
  <xdr:twoCellAnchor editAs="oneCell">
    <xdr:from>
      <xdr:col>14</xdr:col>
      <xdr:colOff>91104</xdr:colOff>
      <xdr:row>137</xdr:row>
      <xdr:rowOff>62549</xdr:rowOff>
    </xdr:from>
    <xdr:to>
      <xdr:col>18</xdr:col>
      <xdr:colOff>542683</xdr:colOff>
      <xdr:row>144</xdr:row>
      <xdr:rowOff>173122</xdr:rowOff>
    </xdr:to>
    <xdr:pic>
      <xdr:nvPicPr>
        <xdr:cNvPr id="4159" name="Picture 63">
          <a:extLst>
            <a:ext uri="{FF2B5EF4-FFF2-40B4-BE49-F238E27FC236}">
              <a16:creationId xmlns:a16="http://schemas.microsoft.com/office/drawing/2014/main" id="{00000000-0008-0000-0100-00003F1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7909887" y="28297962"/>
          <a:ext cx="3201405" cy="1692551"/>
        </a:xfrm>
        <a:prstGeom prst="rect">
          <a:avLst/>
        </a:prstGeom>
        <a:noFill/>
      </xdr:spPr>
    </xdr:pic>
    <xdr:clientData/>
  </xdr:twoCellAnchor>
  <xdr:twoCellAnchor>
    <xdr:from>
      <xdr:col>0</xdr:col>
      <xdr:colOff>657224</xdr:colOff>
      <xdr:row>0</xdr:row>
      <xdr:rowOff>14021</xdr:rowOff>
    </xdr:from>
    <xdr:to>
      <xdr:col>12</xdr:col>
      <xdr:colOff>314324</xdr:colOff>
      <xdr:row>1</xdr:row>
      <xdr:rowOff>9525</xdr:rowOff>
    </xdr:to>
    <xdr:sp macro="" textlink="">
      <xdr:nvSpPr>
        <xdr:cNvPr id="18" name="Rectangle 1">
          <a:extLst>
            <a:ext uri="{FF2B5EF4-FFF2-40B4-BE49-F238E27FC236}">
              <a16:creationId xmlns:a16="http://schemas.microsoft.com/office/drawing/2014/main" id="{00000000-0008-0000-0100-000012000000}"/>
            </a:ext>
          </a:extLst>
        </xdr:cNvPr>
        <xdr:cNvSpPr/>
      </xdr:nvSpPr>
      <xdr:spPr>
        <a:xfrm>
          <a:off x="657224" y="14021"/>
          <a:ext cx="6334125" cy="662254"/>
        </a:xfrm>
        <a:prstGeom prst="rect">
          <a:avLst/>
        </a:prstGeom>
        <a:gradFill flip="none" rotWithShape="1">
          <a:gsLst>
            <a:gs pos="0">
              <a:srgbClr val="EF7D00"/>
            </a:gs>
            <a:gs pos="100000">
              <a:srgbClr val="C74F07"/>
            </a:gs>
          </a:gsLst>
          <a:lin ang="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wrap="square" lIns="360000" tIns="360000" rIns="91417" bIns="108000" rtlCol="0" anchor="ctr"/>
        <a:lstStyle>
          <a:defPPr>
            <a:defRPr lang="en-US"/>
          </a:defPPr>
          <a:lvl1pPr marL="0" algn="l" defTabSz="510683" rtl="0" eaLnBrk="1" latinLnBrk="0" hangingPunct="1">
            <a:defRPr sz="2000" kern="1200">
              <a:solidFill>
                <a:schemeClr val="lt1"/>
              </a:solidFill>
              <a:latin typeface="+mn-lt"/>
              <a:ea typeface="+mn-ea"/>
              <a:cs typeface="+mn-cs"/>
            </a:defRPr>
          </a:lvl1pPr>
          <a:lvl2pPr marL="510683" algn="l" defTabSz="510683" rtl="0" eaLnBrk="1" latinLnBrk="0" hangingPunct="1">
            <a:defRPr sz="2000" kern="1200">
              <a:solidFill>
                <a:schemeClr val="lt1"/>
              </a:solidFill>
              <a:latin typeface="+mn-lt"/>
              <a:ea typeface="+mn-ea"/>
              <a:cs typeface="+mn-cs"/>
            </a:defRPr>
          </a:lvl2pPr>
          <a:lvl3pPr marL="1021367" algn="l" defTabSz="510683" rtl="0" eaLnBrk="1" latinLnBrk="0" hangingPunct="1">
            <a:defRPr sz="2000" kern="1200">
              <a:solidFill>
                <a:schemeClr val="lt1"/>
              </a:solidFill>
              <a:latin typeface="+mn-lt"/>
              <a:ea typeface="+mn-ea"/>
              <a:cs typeface="+mn-cs"/>
            </a:defRPr>
          </a:lvl3pPr>
          <a:lvl4pPr marL="1532050" algn="l" defTabSz="510683" rtl="0" eaLnBrk="1" latinLnBrk="0" hangingPunct="1">
            <a:defRPr sz="2000" kern="1200">
              <a:solidFill>
                <a:schemeClr val="lt1"/>
              </a:solidFill>
              <a:latin typeface="+mn-lt"/>
              <a:ea typeface="+mn-ea"/>
              <a:cs typeface="+mn-cs"/>
            </a:defRPr>
          </a:lvl4pPr>
          <a:lvl5pPr marL="2042734" algn="l" defTabSz="510683" rtl="0" eaLnBrk="1" latinLnBrk="0" hangingPunct="1">
            <a:defRPr sz="2000" kern="1200">
              <a:solidFill>
                <a:schemeClr val="lt1"/>
              </a:solidFill>
              <a:latin typeface="+mn-lt"/>
              <a:ea typeface="+mn-ea"/>
              <a:cs typeface="+mn-cs"/>
            </a:defRPr>
          </a:lvl5pPr>
          <a:lvl6pPr marL="2553418" algn="l" defTabSz="510683" rtl="0" eaLnBrk="1" latinLnBrk="0" hangingPunct="1">
            <a:defRPr sz="2000" kern="1200">
              <a:solidFill>
                <a:schemeClr val="lt1"/>
              </a:solidFill>
              <a:latin typeface="+mn-lt"/>
              <a:ea typeface="+mn-ea"/>
              <a:cs typeface="+mn-cs"/>
            </a:defRPr>
          </a:lvl6pPr>
          <a:lvl7pPr marL="3064102" algn="l" defTabSz="510683" rtl="0" eaLnBrk="1" latinLnBrk="0" hangingPunct="1">
            <a:defRPr sz="2000" kern="1200">
              <a:solidFill>
                <a:schemeClr val="lt1"/>
              </a:solidFill>
              <a:latin typeface="+mn-lt"/>
              <a:ea typeface="+mn-ea"/>
              <a:cs typeface="+mn-cs"/>
            </a:defRPr>
          </a:lvl7pPr>
          <a:lvl8pPr marL="3574785" algn="l" defTabSz="510683" rtl="0" eaLnBrk="1" latinLnBrk="0" hangingPunct="1">
            <a:defRPr sz="2000" kern="1200">
              <a:solidFill>
                <a:schemeClr val="lt1"/>
              </a:solidFill>
              <a:latin typeface="+mn-lt"/>
              <a:ea typeface="+mn-ea"/>
              <a:cs typeface="+mn-cs"/>
            </a:defRPr>
          </a:lvl8pPr>
          <a:lvl9pPr marL="4085470" algn="l" defTabSz="510683" rtl="0" eaLnBrk="1" latinLnBrk="0" hangingPunct="1">
            <a:defRPr sz="2000" kern="1200">
              <a:solidFill>
                <a:schemeClr val="lt1"/>
              </a:solidFill>
              <a:latin typeface="+mn-lt"/>
              <a:ea typeface="+mn-ea"/>
              <a:cs typeface="+mn-cs"/>
            </a:defRPr>
          </a:lvl9pPr>
        </a:lstStyle>
        <a:p>
          <a:pPr marL="0" algn="l"/>
          <a:r>
            <a:rPr lang="pl-PL" sz="1800" baseline="0">
              <a:latin typeface="+mn-lt"/>
            </a:rPr>
            <a:t>Arkusz doboru </a:t>
          </a:r>
          <a:r>
            <a:rPr lang="pl-PL" sz="1800" b="1" baseline="0">
              <a:latin typeface="+mn-lt"/>
            </a:rPr>
            <a:t>naczynia wzbiorczego </a:t>
          </a:r>
          <a:r>
            <a:rPr lang="pl-PL" sz="1800" b="0" baseline="0">
              <a:latin typeface="+mn-lt"/>
            </a:rPr>
            <a:t>:</a:t>
          </a:r>
          <a:r>
            <a:rPr lang="pl-PL" sz="1800" baseline="0">
              <a:latin typeface="+mn-lt"/>
            </a:rPr>
            <a:t> PN-EN 12828</a:t>
          </a:r>
          <a:endParaRPr lang="en-US" sz="1800" baseline="0">
            <a:latin typeface="+mn-lt"/>
          </a:endParaRPr>
        </a:p>
      </xdr:txBody>
    </xdr:sp>
    <xdr:clientData/>
  </xdr:twoCellAnchor>
  <xdr:twoCellAnchor editAs="oneCell">
    <xdr:from>
      <xdr:col>10</xdr:col>
      <xdr:colOff>663939</xdr:colOff>
      <xdr:row>0</xdr:row>
      <xdr:rowOff>0</xdr:rowOff>
    </xdr:from>
    <xdr:to>
      <xdr:col>13</xdr:col>
      <xdr:colOff>89166</xdr:colOff>
      <xdr:row>1</xdr:row>
      <xdr:rowOff>104774</xdr:rowOff>
    </xdr:to>
    <xdr:pic>
      <xdr:nvPicPr>
        <xdr:cNvPr id="20" name="Picture 10">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0" cstate="print"/>
        <a:stretch>
          <a:fillRect/>
        </a:stretch>
      </xdr:blipFill>
      <xdr:spPr>
        <a:xfrm>
          <a:off x="5921739" y="0"/>
          <a:ext cx="1158777" cy="771524"/>
        </a:xfrm>
        <a:prstGeom prst="rect">
          <a:avLst/>
        </a:prstGeom>
      </xdr:spPr>
    </xdr:pic>
    <xdr:clientData/>
  </xdr:twoCellAnchor>
  <xdr:twoCellAnchor editAs="oneCell">
    <xdr:from>
      <xdr:col>1</xdr:col>
      <xdr:colOff>9525</xdr:colOff>
      <xdr:row>243</xdr:row>
      <xdr:rowOff>209551</xdr:rowOff>
    </xdr:from>
    <xdr:to>
      <xdr:col>13</xdr:col>
      <xdr:colOff>0</xdr:colOff>
      <xdr:row>246</xdr:row>
      <xdr:rowOff>81434</xdr:rowOff>
    </xdr:to>
    <xdr:pic>
      <xdr:nvPicPr>
        <xdr:cNvPr id="21" name="Picture 6">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76275" y="54044851"/>
          <a:ext cx="6315075" cy="529108"/>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8</xdr:col>
          <xdr:colOff>312420</xdr:colOff>
          <xdr:row>14</xdr:row>
          <xdr:rowOff>22860</xdr:rowOff>
        </xdr:from>
        <xdr:to>
          <xdr:col>12</xdr:col>
          <xdr:colOff>0</xdr:colOff>
          <xdr:row>15</xdr:row>
          <xdr:rowOff>38100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7</xdr:row>
          <xdr:rowOff>83820</xdr:rowOff>
        </xdr:from>
        <xdr:to>
          <xdr:col>12</xdr:col>
          <xdr:colOff>0</xdr:colOff>
          <xdr:row>9</xdr:row>
          <xdr:rowOff>38100</xdr:rowOff>
        </xdr:to>
        <xdr:sp macro="" textlink="">
          <xdr:nvSpPr>
            <xdr:cNvPr id="4110" name="Spinner 14" hidden="1">
              <a:extLst>
                <a:ext uri="{63B3BB69-23CF-44E3-9099-C40C66FF867C}">
                  <a14:compatExt spid="_x0000_s4110"/>
                </a:ext>
                <a:ext uri="{FF2B5EF4-FFF2-40B4-BE49-F238E27FC236}">
                  <a16:creationId xmlns:a16="http://schemas.microsoft.com/office/drawing/2014/main" id="{00000000-0008-0000-0100-00000E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17</xdr:row>
          <xdr:rowOff>99060</xdr:rowOff>
        </xdr:from>
        <xdr:to>
          <xdr:col>12</xdr:col>
          <xdr:colOff>0</xdr:colOff>
          <xdr:row>19</xdr:row>
          <xdr:rowOff>45720</xdr:rowOff>
        </xdr:to>
        <xdr:sp macro="" textlink="">
          <xdr:nvSpPr>
            <xdr:cNvPr id="4112" name="Spinner 16" hidden="1">
              <a:extLst>
                <a:ext uri="{63B3BB69-23CF-44E3-9099-C40C66FF867C}">
                  <a14:compatExt spid="_x0000_s4112"/>
                </a:ext>
                <a:ext uri="{FF2B5EF4-FFF2-40B4-BE49-F238E27FC236}">
                  <a16:creationId xmlns:a16="http://schemas.microsoft.com/office/drawing/2014/main" id="{00000000-0008-0000-0100-000010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19</xdr:row>
          <xdr:rowOff>99060</xdr:rowOff>
        </xdr:from>
        <xdr:to>
          <xdr:col>12</xdr:col>
          <xdr:colOff>0</xdr:colOff>
          <xdr:row>21</xdr:row>
          <xdr:rowOff>45720</xdr:rowOff>
        </xdr:to>
        <xdr:sp macro="" textlink="">
          <xdr:nvSpPr>
            <xdr:cNvPr id="4113" name="Spinner 17"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22</xdr:row>
          <xdr:rowOff>160020</xdr:rowOff>
        </xdr:from>
        <xdr:to>
          <xdr:col>12</xdr:col>
          <xdr:colOff>30480</xdr:colOff>
          <xdr:row>23</xdr:row>
          <xdr:rowOff>160020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100-0000121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45</xdr:row>
          <xdr:rowOff>83820</xdr:rowOff>
        </xdr:from>
        <xdr:to>
          <xdr:col>9</xdr:col>
          <xdr:colOff>45720</xdr:colOff>
          <xdr:row>48</xdr:row>
          <xdr:rowOff>22860</xdr:rowOff>
        </xdr:to>
        <xdr:sp macro="" textlink="">
          <xdr:nvSpPr>
            <xdr:cNvPr id="4116" name="Object 20" hidden="1">
              <a:extLst>
                <a:ext uri="{63B3BB69-23CF-44E3-9099-C40C66FF867C}">
                  <a14:compatExt spid="_x0000_s4116"/>
                </a:ext>
                <a:ext uri="{FF2B5EF4-FFF2-40B4-BE49-F238E27FC236}">
                  <a16:creationId xmlns:a16="http://schemas.microsoft.com/office/drawing/2014/main" id="{00000000-0008-0000-0100-00001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57</xdr:row>
          <xdr:rowOff>137160</xdr:rowOff>
        </xdr:from>
        <xdr:to>
          <xdr:col>5</xdr:col>
          <xdr:colOff>38100</xdr:colOff>
          <xdr:row>59</xdr:row>
          <xdr:rowOff>60960</xdr:rowOff>
        </xdr:to>
        <xdr:sp macro="" textlink="">
          <xdr:nvSpPr>
            <xdr:cNvPr id="4117" name="Object 21" hidden="1">
              <a:extLst>
                <a:ext uri="{63B3BB69-23CF-44E3-9099-C40C66FF867C}">
                  <a14:compatExt spid="_x0000_s4117"/>
                </a:ext>
                <a:ext uri="{FF2B5EF4-FFF2-40B4-BE49-F238E27FC236}">
                  <a16:creationId xmlns:a16="http://schemas.microsoft.com/office/drawing/2014/main" id="{00000000-0008-0000-0100-00001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72</xdr:row>
          <xdr:rowOff>137160</xdr:rowOff>
        </xdr:from>
        <xdr:to>
          <xdr:col>5</xdr:col>
          <xdr:colOff>236220</xdr:colOff>
          <xdr:row>74</xdr:row>
          <xdr:rowOff>60960</xdr:rowOff>
        </xdr:to>
        <xdr:sp macro="" textlink="">
          <xdr:nvSpPr>
            <xdr:cNvPr id="4118" name="Object 22" hidden="1">
              <a:extLst>
                <a:ext uri="{63B3BB69-23CF-44E3-9099-C40C66FF867C}">
                  <a14:compatExt spid="_x0000_s4118"/>
                </a:ext>
                <a:ext uri="{FF2B5EF4-FFF2-40B4-BE49-F238E27FC236}">
                  <a16:creationId xmlns:a16="http://schemas.microsoft.com/office/drawing/2014/main" id="{00000000-0008-0000-0100-00001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87</xdr:row>
          <xdr:rowOff>114300</xdr:rowOff>
        </xdr:from>
        <xdr:to>
          <xdr:col>5</xdr:col>
          <xdr:colOff>365760</xdr:colOff>
          <xdr:row>89</xdr:row>
          <xdr:rowOff>114300</xdr:rowOff>
        </xdr:to>
        <xdr:sp macro="" textlink="">
          <xdr:nvSpPr>
            <xdr:cNvPr id="4120" name="Object 24" hidden="1">
              <a:extLst>
                <a:ext uri="{63B3BB69-23CF-44E3-9099-C40C66FF867C}">
                  <a14:compatExt spid="_x0000_s4120"/>
                </a:ext>
                <a:ext uri="{FF2B5EF4-FFF2-40B4-BE49-F238E27FC236}">
                  <a16:creationId xmlns:a16="http://schemas.microsoft.com/office/drawing/2014/main" id="{00000000-0008-0000-0100-000018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101</xdr:row>
          <xdr:rowOff>160020</xdr:rowOff>
        </xdr:from>
        <xdr:to>
          <xdr:col>5</xdr:col>
          <xdr:colOff>365760</xdr:colOff>
          <xdr:row>103</xdr:row>
          <xdr:rowOff>38100</xdr:rowOff>
        </xdr:to>
        <xdr:sp macro="" textlink="">
          <xdr:nvSpPr>
            <xdr:cNvPr id="4121" name="Object 25" hidden="1">
              <a:extLst>
                <a:ext uri="{63B3BB69-23CF-44E3-9099-C40C66FF867C}">
                  <a14:compatExt spid="_x0000_s4121"/>
                </a:ext>
                <a:ext uri="{FF2B5EF4-FFF2-40B4-BE49-F238E27FC236}">
                  <a16:creationId xmlns:a16="http://schemas.microsoft.com/office/drawing/2014/main" id="{00000000-0008-0000-0100-000019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160020</xdr:colOff>
          <xdr:row>115</xdr:row>
          <xdr:rowOff>22860</xdr:rowOff>
        </xdr:from>
        <xdr:to>
          <xdr:col>5</xdr:col>
          <xdr:colOff>198120</xdr:colOff>
          <xdr:row>117</xdr:row>
          <xdr:rowOff>99060</xdr:rowOff>
        </xdr:to>
        <xdr:sp macro="" textlink="">
          <xdr:nvSpPr>
            <xdr:cNvPr id="4122" name="Object 26" hidden="1">
              <a:extLst>
                <a:ext uri="{63B3BB69-23CF-44E3-9099-C40C66FF867C}">
                  <a14:compatExt spid="_x0000_s4122"/>
                </a:ext>
                <a:ext uri="{FF2B5EF4-FFF2-40B4-BE49-F238E27FC236}">
                  <a16:creationId xmlns:a16="http://schemas.microsoft.com/office/drawing/2014/main" id="{00000000-0008-0000-0100-00001A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137160</xdr:rowOff>
        </xdr:from>
        <xdr:to>
          <xdr:col>4</xdr:col>
          <xdr:colOff>350520</xdr:colOff>
          <xdr:row>140</xdr:row>
          <xdr:rowOff>137160</xdr:rowOff>
        </xdr:to>
        <xdr:sp macro="" textlink="">
          <xdr:nvSpPr>
            <xdr:cNvPr id="4124" name="Drop Down 28" hidden="1">
              <a:extLst>
                <a:ext uri="{63B3BB69-23CF-44E3-9099-C40C66FF867C}">
                  <a14:compatExt spid="_x0000_s4124"/>
                </a:ext>
                <a:ext uri="{FF2B5EF4-FFF2-40B4-BE49-F238E27FC236}">
                  <a16:creationId xmlns:a16="http://schemas.microsoft.com/office/drawing/2014/main" id="{00000000-0008-0000-0100-00001C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139</xdr:row>
          <xdr:rowOff>30480</xdr:rowOff>
        </xdr:from>
        <xdr:to>
          <xdr:col>8</xdr:col>
          <xdr:colOff>144780</xdr:colOff>
          <xdr:row>140</xdr:row>
          <xdr:rowOff>160020</xdr:rowOff>
        </xdr:to>
        <xdr:sp macro="" textlink="">
          <xdr:nvSpPr>
            <xdr:cNvPr id="4125" name="Spinner 29" hidden="1">
              <a:extLst>
                <a:ext uri="{63B3BB69-23CF-44E3-9099-C40C66FF867C}">
                  <a14:compatExt spid="_x0000_s4125"/>
                </a:ext>
                <a:ext uri="{FF2B5EF4-FFF2-40B4-BE49-F238E27FC236}">
                  <a16:creationId xmlns:a16="http://schemas.microsoft.com/office/drawing/2014/main" id="{00000000-0008-0000-0100-00001D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149</xdr:row>
          <xdr:rowOff>137160</xdr:rowOff>
        </xdr:from>
        <xdr:to>
          <xdr:col>6</xdr:col>
          <xdr:colOff>7620</xdr:colOff>
          <xdr:row>151</xdr:row>
          <xdr:rowOff>60960</xdr:rowOff>
        </xdr:to>
        <xdr:sp macro="" textlink="">
          <xdr:nvSpPr>
            <xdr:cNvPr id="4126" name="Object 30" hidden="1">
              <a:extLst>
                <a:ext uri="{63B3BB69-23CF-44E3-9099-C40C66FF867C}">
                  <a14:compatExt spid="_x0000_s4126"/>
                </a:ext>
                <a:ext uri="{FF2B5EF4-FFF2-40B4-BE49-F238E27FC236}">
                  <a16:creationId xmlns:a16="http://schemas.microsoft.com/office/drawing/2014/main" id="{00000000-0008-0000-0100-00001E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190</xdr:row>
          <xdr:rowOff>68580</xdr:rowOff>
        </xdr:from>
        <xdr:to>
          <xdr:col>6</xdr:col>
          <xdr:colOff>312420</xdr:colOff>
          <xdr:row>192</xdr:row>
          <xdr:rowOff>152400</xdr:rowOff>
        </xdr:to>
        <xdr:sp macro="" textlink="">
          <xdr:nvSpPr>
            <xdr:cNvPr id="4127" name="Object 31" hidden="1">
              <a:extLst>
                <a:ext uri="{63B3BB69-23CF-44E3-9099-C40C66FF867C}">
                  <a14:compatExt spid="_x0000_s4127"/>
                </a:ext>
                <a:ext uri="{FF2B5EF4-FFF2-40B4-BE49-F238E27FC236}">
                  <a16:creationId xmlns:a16="http://schemas.microsoft.com/office/drawing/2014/main" id="{00000000-0008-0000-0100-00001F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205</xdr:row>
          <xdr:rowOff>60960</xdr:rowOff>
        </xdr:from>
        <xdr:to>
          <xdr:col>6</xdr:col>
          <xdr:colOff>381000</xdr:colOff>
          <xdr:row>207</xdr:row>
          <xdr:rowOff>144780</xdr:rowOff>
        </xdr:to>
        <xdr:sp macro="" textlink="">
          <xdr:nvSpPr>
            <xdr:cNvPr id="4130" name="Object 34" hidden="1">
              <a:extLst>
                <a:ext uri="{63B3BB69-23CF-44E3-9099-C40C66FF867C}">
                  <a14:compatExt spid="_x0000_s4130"/>
                </a:ext>
                <a:ext uri="{FF2B5EF4-FFF2-40B4-BE49-F238E27FC236}">
                  <a16:creationId xmlns:a16="http://schemas.microsoft.com/office/drawing/2014/main" id="{00000000-0008-0000-0100-00002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24</xdr:row>
          <xdr:rowOff>106680</xdr:rowOff>
        </xdr:from>
        <xdr:to>
          <xdr:col>12</xdr:col>
          <xdr:colOff>0</xdr:colOff>
          <xdr:row>26</xdr:row>
          <xdr:rowOff>60960</xdr:rowOff>
        </xdr:to>
        <xdr:sp macro="" textlink="">
          <xdr:nvSpPr>
            <xdr:cNvPr id="4143" name="Spinner 47" hidden="1">
              <a:extLst>
                <a:ext uri="{63B3BB69-23CF-44E3-9099-C40C66FF867C}">
                  <a14:compatExt spid="_x0000_s4143"/>
                </a:ext>
                <a:ext uri="{FF2B5EF4-FFF2-40B4-BE49-F238E27FC236}">
                  <a16:creationId xmlns:a16="http://schemas.microsoft.com/office/drawing/2014/main" id="{00000000-0008-0000-0100-00002F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164</xdr:row>
          <xdr:rowOff>99060</xdr:rowOff>
        </xdr:from>
        <xdr:to>
          <xdr:col>5</xdr:col>
          <xdr:colOff>327660</xdr:colOff>
          <xdr:row>166</xdr:row>
          <xdr:rowOff>22860</xdr:rowOff>
        </xdr:to>
        <xdr:sp macro="" textlink="">
          <xdr:nvSpPr>
            <xdr:cNvPr id="4152" name="Object 56" hidden="1">
              <a:extLst>
                <a:ext uri="{63B3BB69-23CF-44E3-9099-C40C66FF867C}">
                  <a14:compatExt spid="_x0000_s4152"/>
                </a:ext>
                <a:ext uri="{FF2B5EF4-FFF2-40B4-BE49-F238E27FC236}">
                  <a16:creationId xmlns:a16="http://schemas.microsoft.com/office/drawing/2014/main" id="{00000000-0008-0000-0100-000038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9</xdr:row>
          <xdr:rowOff>83820</xdr:rowOff>
        </xdr:from>
        <xdr:to>
          <xdr:col>12</xdr:col>
          <xdr:colOff>0</xdr:colOff>
          <xdr:row>11</xdr:row>
          <xdr:rowOff>38100</xdr:rowOff>
        </xdr:to>
        <xdr:sp macro="" textlink="">
          <xdr:nvSpPr>
            <xdr:cNvPr id="4154" name="Spinner 58" hidden="1">
              <a:extLst>
                <a:ext uri="{63B3BB69-23CF-44E3-9099-C40C66FF867C}">
                  <a14:compatExt spid="_x0000_s4154"/>
                </a:ext>
                <a:ext uri="{FF2B5EF4-FFF2-40B4-BE49-F238E27FC236}">
                  <a16:creationId xmlns:a16="http://schemas.microsoft.com/office/drawing/2014/main" id="{00000000-0008-0000-0100-00003A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11</xdr:row>
          <xdr:rowOff>83820</xdr:rowOff>
        </xdr:from>
        <xdr:to>
          <xdr:col>12</xdr:col>
          <xdr:colOff>0</xdr:colOff>
          <xdr:row>13</xdr:row>
          <xdr:rowOff>38100</xdr:rowOff>
        </xdr:to>
        <xdr:sp macro="" textlink="">
          <xdr:nvSpPr>
            <xdr:cNvPr id="4155" name="Spinner 59" hidden="1">
              <a:extLst>
                <a:ext uri="{63B3BB69-23CF-44E3-9099-C40C66FF867C}">
                  <a14:compatExt spid="_x0000_s4155"/>
                </a:ext>
                <a:ext uri="{FF2B5EF4-FFF2-40B4-BE49-F238E27FC236}">
                  <a16:creationId xmlns:a16="http://schemas.microsoft.com/office/drawing/2014/main" id="{00000000-0008-0000-0100-00003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152400</xdr:rowOff>
    </xdr:from>
    <xdr:to>
      <xdr:col>22</xdr:col>
      <xdr:colOff>581025</xdr:colOff>
      <xdr:row>3</xdr:row>
      <xdr:rowOff>0</xdr:rowOff>
    </xdr:to>
    <xdr:pic>
      <xdr:nvPicPr>
        <xdr:cNvPr id="2" name="Picture 158">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8175"/>
          <a:ext cx="181260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19</xdr:col>
      <xdr:colOff>676275</xdr:colOff>
      <xdr:row>0</xdr:row>
      <xdr:rowOff>161925</xdr:rowOff>
    </xdr:from>
    <xdr:to>
      <xdr:col>22</xdr:col>
      <xdr:colOff>476250</xdr:colOff>
      <xdr:row>2</xdr:row>
      <xdr:rowOff>19050</xdr:rowOff>
    </xdr:to>
    <xdr:pic>
      <xdr:nvPicPr>
        <xdr:cNvPr id="3" name="Picture 4347">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0" y="161925"/>
          <a:ext cx="21145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28</xdr:row>
      <xdr:rowOff>47625</xdr:rowOff>
    </xdr:from>
    <xdr:to>
      <xdr:col>17</xdr:col>
      <xdr:colOff>3495675</xdr:colOff>
      <xdr:row>70</xdr:row>
      <xdr:rowOff>104775</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12</xdr:row>
      <xdr:rowOff>57150</xdr:rowOff>
    </xdr:from>
    <xdr:to>
      <xdr:col>5</xdr:col>
      <xdr:colOff>466725</xdr:colOff>
      <xdr:row>24</xdr:row>
      <xdr:rowOff>161925</xdr:rowOff>
    </xdr:to>
    <xdr:pic>
      <xdr:nvPicPr>
        <xdr:cNvPr id="3" name="Picture 6" descr="schema_transfero">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47296"/>
        <a:stretch>
          <a:fillRect/>
        </a:stretch>
      </xdr:blipFill>
      <xdr:spPr bwMode="auto">
        <a:xfrm>
          <a:off x="85725" y="2905125"/>
          <a:ext cx="42862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504825</xdr:colOff>
      <xdr:row>14</xdr:row>
      <xdr:rowOff>0</xdr:rowOff>
    </xdr:from>
    <xdr:to>
      <xdr:col>11</xdr:col>
      <xdr:colOff>142875</xdr:colOff>
      <xdr:row>22</xdr:row>
      <xdr:rowOff>142875</xdr:rowOff>
    </xdr:to>
    <xdr:grpSp>
      <xdr:nvGrpSpPr>
        <xdr:cNvPr id="4" name="Gruppieren 20">
          <a:extLst>
            <a:ext uri="{FF2B5EF4-FFF2-40B4-BE49-F238E27FC236}">
              <a16:creationId xmlns:a16="http://schemas.microsoft.com/office/drawing/2014/main" id="{00000000-0008-0000-1900-000004000000}"/>
            </a:ext>
          </a:extLst>
        </xdr:cNvPr>
        <xdr:cNvGrpSpPr>
          <a:grpSpLocks/>
        </xdr:cNvGrpSpPr>
      </xdr:nvGrpSpPr>
      <xdr:grpSpPr bwMode="auto">
        <a:xfrm>
          <a:off x="4401911" y="3265714"/>
          <a:ext cx="3611335" cy="1971675"/>
          <a:chOff x="1584512" y="5078205"/>
          <a:chExt cx="4612341" cy="2618600"/>
        </a:xfrm>
      </xdr:grpSpPr>
      <xdr:sp macro="" textlink="">
        <xdr:nvSpPr>
          <xdr:cNvPr id="5" name="Text Box 8">
            <a:extLst>
              <a:ext uri="{FF2B5EF4-FFF2-40B4-BE49-F238E27FC236}">
                <a16:creationId xmlns:a16="http://schemas.microsoft.com/office/drawing/2014/main" id="{00000000-0008-0000-1900-000005000000}"/>
              </a:ext>
            </a:extLst>
          </xdr:cNvPr>
          <xdr:cNvSpPr txBox="1">
            <a:spLocks noChangeArrowheads="1"/>
          </xdr:cNvSpPr>
        </xdr:nvSpPr>
        <xdr:spPr bwMode="auto">
          <a:xfrm>
            <a:off x="3247382" y="5090385"/>
            <a:ext cx="873917" cy="207052"/>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000" b="0" i="0" u="none" strike="noStrike" baseline="0">
                <a:solidFill>
                  <a:srgbClr val="000000"/>
                </a:solidFill>
                <a:latin typeface="Arial"/>
                <a:cs typeface="Arial"/>
              </a:rPr>
              <a:t>pman</a:t>
            </a:r>
          </a:p>
        </xdr:txBody>
      </xdr:sp>
      <xdr:sp macro="" textlink="">
        <xdr:nvSpPr>
          <xdr:cNvPr id="6" name="Text Box 9">
            <a:extLst>
              <a:ext uri="{FF2B5EF4-FFF2-40B4-BE49-F238E27FC236}">
                <a16:creationId xmlns:a16="http://schemas.microsoft.com/office/drawing/2014/main" id="{00000000-0008-0000-1900-000006000000}"/>
              </a:ext>
            </a:extLst>
          </xdr:cNvPr>
          <xdr:cNvSpPr txBox="1">
            <a:spLocks noChangeArrowheads="1"/>
          </xdr:cNvSpPr>
        </xdr:nvSpPr>
        <xdr:spPr bwMode="auto">
          <a:xfrm>
            <a:off x="1718027" y="5078205"/>
            <a:ext cx="873917" cy="328847"/>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000" b="0" i="0" u="none" strike="noStrike" baseline="0">
                <a:solidFill>
                  <a:srgbClr val="000000"/>
                </a:solidFill>
                <a:latin typeface="Arial"/>
                <a:cs typeface="Arial"/>
              </a:rPr>
              <a:t>pa</a:t>
            </a:r>
          </a:p>
        </xdr:txBody>
      </xdr:sp>
      <xdr:sp macro="" textlink="">
        <xdr:nvSpPr>
          <xdr:cNvPr id="7" name="Text Box 10">
            <a:extLst>
              <a:ext uri="{FF2B5EF4-FFF2-40B4-BE49-F238E27FC236}">
                <a16:creationId xmlns:a16="http://schemas.microsoft.com/office/drawing/2014/main" id="{00000000-0008-0000-1900-000007000000}"/>
              </a:ext>
            </a:extLst>
          </xdr:cNvPr>
          <xdr:cNvSpPr txBox="1">
            <a:spLocks noChangeArrowheads="1"/>
          </xdr:cNvSpPr>
        </xdr:nvSpPr>
        <xdr:spPr bwMode="auto">
          <a:xfrm>
            <a:off x="4898115" y="5090385"/>
            <a:ext cx="655438" cy="280129"/>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CH" sz="1000" b="0" i="0" u="none" strike="noStrike" baseline="0">
                <a:solidFill>
                  <a:srgbClr val="000000"/>
                </a:solidFill>
                <a:latin typeface="Arial"/>
                <a:cs typeface="Arial"/>
              </a:rPr>
              <a:t>pe</a:t>
            </a:r>
          </a:p>
        </xdr:txBody>
      </xdr:sp>
      <xdr:pic>
        <xdr:nvPicPr>
          <xdr:cNvPr id="8" name="Picture 14" descr="schema_t">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56299" t="64285" r="13846" b="16994"/>
          <a:stretch>
            <a:fillRect/>
          </a:stretch>
        </xdr:blipFill>
        <xdr:spPr bwMode="auto">
          <a:xfrm>
            <a:off x="1584512" y="5361072"/>
            <a:ext cx="4612341" cy="2335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Text Box 15">
            <a:extLst>
              <a:ext uri="{FF2B5EF4-FFF2-40B4-BE49-F238E27FC236}">
                <a16:creationId xmlns:a16="http://schemas.microsoft.com/office/drawing/2014/main" id="{00000000-0008-0000-1900-000009000000}"/>
              </a:ext>
            </a:extLst>
          </xdr:cNvPr>
          <xdr:cNvSpPr txBox="1">
            <a:spLocks noChangeArrowheads="1"/>
          </xdr:cNvSpPr>
        </xdr:nvSpPr>
        <xdr:spPr bwMode="auto">
          <a:xfrm>
            <a:off x="1778716" y="7075649"/>
            <a:ext cx="1990589" cy="487181"/>
          </a:xfrm>
          <a:prstGeom prst="rect">
            <a:avLst/>
          </a:prstGeom>
          <a:noFill/>
          <a:ln w="9525">
            <a:noFill/>
            <a:miter lim="800000"/>
            <a:headEnd/>
            <a:tailEnd/>
          </a:ln>
        </xdr:spPr>
        <xdr:txBody>
          <a:bodyPr vertOverflow="clip" wrap="square" lIns="36576" tIns="27432" rIns="36576" bIns="0" anchor="t" upright="1"/>
          <a:lstStyle/>
          <a:p>
            <a:pPr algn="ctr" rtl="0">
              <a:defRPr sz="1000"/>
            </a:pPr>
            <a:r>
              <a:rPr lang="de-CH" sz="1000" b="0" i="0" u="none" strike="noStrike" baseline="0">
                <a:solidFill>
                  <a:srgbClr val="000000"/>
                </a:solidFill>
                <a:latin typeface="Arial"/>
                <a:cs typeface="Arial"/>
              </a:rPr>
              <a:t>abkühlen / cool down / refroidir </a:t>
            </a:r>
          </a:p>
        </xdr:txBody>
      </xdr:sp>
      <xdr:sp macro="" textlink="">
        <xdr:nvSpPr>
          <xdr:cNvPr id="10" name="Text Box 16">
            <a:extLst>
              <a:ext uri="{FF2B5EF4-FFF2-40B4-BE49-F238E27FC236}">
                <a16:creationId xmlns:a16="http://schemas.microsoft.com/office/drawing/2014/main" id="{00000000-0008-0000-1900-00000A000000}"/>
              </a:ext>
            </a:extLst>
          </xdr:cNvPr>
          <xdr:cNvSpPr txBox="1">
            <a:spLocks noChangeArrowheads="1"/>
          </xdr:cNvSpPr>
        </xdr:nvSpPr>
        <xdr:spPr bwMode="auto">
          <a:xfrm>
            <a:off x="3951371" y="7063469"/>
            <a:ext cx="1893487" cy="426284"/>
          </a:xfrm>
          <a:prstGeom prst="rect">
            <a:avLst/>
          </a:prstGeom>
          <a:noFill/>
          <a:ln w="9525">
            <a:noFill/>
            <a:miter lim="800000"/>
            <a:headEnd/>
            <a:tailEnd/>
          </a:ln>
        </xdr:spPr>
        <xdr:txBody>
          <a:bodyPr vertOverflow="clip" wrap="square" lIns="36576" tIns="27432" rIns="36576" bIns="0" anchor="t" upright="1"/>
          <a:lstStyle/>
          <a:p>
            <a:pPr algn="ctr" rtl="0">
              <a:defRPr sz="1000"/>
            </a:pPr>
            <a:r>
              <a:rPr lang="de-CH" sz="1000" b="0" i="0" u="none" strike="noStrike" baseline="0">
                <a:solidFill>
                  <a:srgbClr val="000000"/>
                </a:solidFill>
                <a:latin typeface="Arial"/>
                <a:cs typeface="Arial"/>
              </a:rPr>
              <a:t>aufheizen / heating up / chauffer </a:t>
            </a:r>
          </a:p>
        </xdr:txBody>
      </xdr:sp>
    </xdr:grpSp>
    <xdr:clientData/>
  </xdr:twoCellAnchor>
  <xdr:twoCellAnchor editAs="oneCell">
    <xdr:from>
      <xdr:col>0</xdr:col>
      <xdr:colOff>0</xdr:colOff>
      <xdr:row>5</xdr:row>
      <xdr:rowOff>76200</xdr:rowOff>
    </xdr:from>
    <xdr:to>
      <xdr:col>18</xdr:col>
      <xdr:colOff>19050</xdr:colOff>
      <xdr:row>5</xdr:row>
      <xdr:rowOff>152400</xdr:rowOff>
    </xdr:to>
    <xdr:pic>
      <xdr:nvPicPr>
        <xdr:cNvPr id="11" name="Picture 158">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133475"/>
          <a:ext cx="181356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1733550</xdr:colOff>
      <xdr:row>72</xdr:row>
      <xdr:rowOff>66675</xdr:rowOff>
    </xdr:from>
    <xdr:to>
      <xdr:col>17</xdr:col>
      <xdr:colOff>3409950</xdr:colOff>
      <xdr:row>77</xdr:row>
      <xdr:rowOff>152400</xdr:rowOff>
    </xdr:to>
    <xdr:pic>
      <xdr:nvPicPr>
        <xdr:cNvPr id="12" name="Picture 3802">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297275" y="13877925"/>
          <a:ext cx="16764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1733550</xdr:colOff>
      <xdr:row>126</xdr:row>
      <xdr:rowOff>133350</xdr:rowOff>
    </xdr:from>
    <xdr:to>
      <xdr:col>17</xdr:col>
      <xdr:colOff>3409950</xdr:colOff>
      <xdr:row>132</xdr:row>
      <xdr:rowOff>66675</xdr:rowOff>
    </xdr:to>
    <xdr:pic>
      <xdr:nvPicPr>
        <xdr:cNvPr id="13" name="Picture 3802">
          <a:extLst>
            <a:ext uri="{FF2B5EF4-FFF2-40B4-BE49-F238E27FC236}">
              <a16:creationId xmlns:a16="http://schemas.microsoft.com/office/drawing/2014/main" id="{00000000-0008-0000-19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297275" y="22860000"/>
          <a:ext cx="1676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600075</xdr:colOff>
      <xdr:row>2</xdr:row>
      <xdr:rowOff>180975</xdr:rowOff>
    </xdr:to>
    <xdr:pic>
      <xdr:nvPicPr>
        <xdr:cNvPr id="14" name="Picture 4347">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61925"/>
          <a:ext cx="2124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0</xdr:colOff>
      <xdr:row>82</xdr:row>
      <xdr:rowOff>47625</xdr:rowOff>
    </xdr:from>
    <xdr:to>
      <xdr:col>17</xdr:col>
      <xdr:colOff>3495675</xdr:colOff>
      <xdr:row>124</xdr:row>
      <xdr:rowOff>104775</xdr:rowOff>
    </xdr:to>
    <xdr:graphicFrame macro="">
      <xdr:nvGraphicFramePr>
        <xdr:cNvPr id="15" name="Chart 1">
          <a:extLst>
            <a:ext uri="{FF2B5EF4-FFF2-40B4-BE49-F238E27FC236}">
              <a16:creationId xmlns:a16="http://schemas.microsoft.com/office/drawing/2014/main" id="{00000000-0008-0000-1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135</xdr:row>
      <xdr:rowOff>76200</xdr:rowOff>
    </xdr:from>
    <xdr:to>
      <xdr:col>17</xdr:col>
      <xdr:colOff>3495675</xdr:colOff>
      <xdr:row>177</xdr:row>
      <xdr:rowOff>133350</xdr:rowOff>
    </xdr:to>
    <xdr:graphicFrame macro="">
      <xdr:nvGraphicFramePr>
        <xdr:cNvPr id="16" name="Chart 1">
          <a:extLst>
            <a:ext uri="{FF2B5EF4-FFF2-40B4-BE49-F238E27FC236}">
              <a16:creationId xmlns:a16="http://schemas.microsoft.com/office/drawing/2014/main" id="{00000000-0008-0000-1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190</xdr:row>
      <xdr:rowOff>123825</xdr:rowOff>
    </xdr:from>
    <xdr:to>
      <xdr:col>17</xdr:col>
      <xdr:colOff>3495675</xdr:colOff>
      <xdr:row>233</xdr:row>
      <xdr:rowOff>28575</xdr:rowOff>
    </xdr:to>
    <xdr:graphicFrame macro="">
      <xdr:nvGraphicFramePr>
        <xdr:cNvPr id="17" name="Chart 1">
          <a:extLst>
            <a:ext uri="{FF2B5EF4-FFF2-40B4-BE49-F238E27FC236}">
              <a16:creationId xmlns:a16="http://schemas.microsoft.com/office/drawing/2014/main" id="{00000000-0008-0000-1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17</xdr:col>
      <xdr:colOff>1733550</xdr:colOff>
      <xdr:row>179</xdr:row>
      <xdr:rowOff>47625</xdr:rowOff>
    </xdr:from>
    <xdr:to>
      <xdr:col>17</xdr:col>
      <xdr:colOff>3409950</xdr:colOff>
      <xdr:row>184</xdr:row>
      <xdr:rowOff>152400</xdr:rowOff>
    </xdr:to>
    <xdr:pic>
      <xdr:nvPicPr>
        <xdr:cNvPr id="18" name="Picture 3802">
          <a:extLst>
            <a:ext uri="{FF2B5EF4-FFF2-40B4-BE49-F238E27FC236}">
              <a16:creationId xmlns:a16="http://schemas.microsoft.com/office/drawing/2014/main" id="{00000000-0008-0000-1900-00001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297275" y="31527750"/>
          <a:ext cx="1676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1733550</xdr:colOff>
      <xdr:row>237</xdr:row>
      <xdr:rowOff>19050</xdr:rowOff>
    </xdr:from>
    <xdr:to>
      <xdr:col>17</xdr:col>
      <xdr:colOff>3409950</xdr:colOff>
      <xdr:row>242</xdr:row>
      <xdr:rowOff>114300</xdr:rowOff>
    </xdr:to>
    <xdr:pic>
      <xdr:nvPicPr>
        <xdr:cNvPr id="19" name="Picture 3802">
          <a:extLst>
            <a:ext uri="{FF2B5EF4-FFF2-40B4-BE49-F238E27FC236}">
              <a16:creationId xmlns:a16="http://schemas.microsoft.com/office/drawing/2014/main" id="{00000000-0008-0000-1900-00001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297275" y="41062275"/>
          <a:ext cx="1676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12</xdr:col>
      <xdr:colOff>870857</xdr:colOff>
      <xdr:row>23</xdr:row>
      <xdr:rowOff>13607</xdr:rowOff>
    </xdr:from>
    <xdr:to>
      <xdr:col>17</xdr:col>
      <xdr:colOff>122464</xdr:colOff>
      <xdr:row>25</xdr:row>
      <xdr:rowOff>108857</xdr:rowOff>
    </xdr:to>
    <xdr:sp macro="" textlink="">
      <xdr:nvSpPr>
        <xdr:cNvPr id="20" name="Textfeld 21">
          <a:extLst>
            <a:ext uri="{FF2B5EF4-FFF2-40B4-BE49-F238E27FC236}">
              <a16:creationId xmlns:a16="http://schemas.microsoft.com/office/drawing/2014/main" id="{00000000-0008-0000-1900-000014000000}"/>
            </a:ext>
          </a:extLst>
        </xdr:cNvPr>
        <xdr:cNvSpPr txBox="1"/>
      </xdr:nvSpPr>
      <xdr:spPr>
        <a:xfrm>
          <a:off x="9129032" y="5480957"/>
          <a:ext cx="5557157" cy="590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pl-PL"/>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10</xdr:row>
          <xdr:rowOff>0</xdr:rowOff>
        </xdr:from>
        <xdr:to>
          <xdr:col>16</xdr:col>
          <xdr:colOff>0</xdr:colOff>
          <xdr:row>11</xdr:row>
          <xdr:rowOff>7620</xdr:rowOff>
        </xdr:to>
        <xdr:sp macro="" textlink="">
          <xdr:nvSpPr>
            <xdr:cNvPr id="41985" name="Drop Down 1" hidden="1">
              <a:extLst>
                <a:ext uri="{63B3BB69-23CF-44E3-9099-C40C66FF867C}">
                  <a14:compatExt spid="_x0000_s41985"/>
                </a:ext>
                <a:ext uri="{FF2B5EF4-FFF2-40B4-BE49-F238E27FC236}">
                  <a16:creationId xmlns:a16="http://schemas.microsoft.com/office/drawing/2014/main" id="{00000000-0008-0000-1900-000001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0</xdr:col>
      <xdr:colOff>0</xdr:colOff>
      <xdr:row>5</xdr:row>
      <xdr:rowOff>76200</xdr:rowOff>
    </xdr:from>
    <xdr:to>
      <xdr:col>18</xdr:col>
      <xdr:colOff>19050</xdr:colOff>
      <xdr:row>5</xdr:row>
      <xdr:rowOff>152400</xdr:rowOff>
    </xdr:to>
    <xdr:pic>
      <xdr:nvPicPr>
        <xdr:cNvPr id="2" name="Picture 158">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33475"/>
          <a:ext cx="181356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287</xdr:row>
      <xdr:rowOff>104775</xdr:rowOff>
    </xdr:from>
    <xdr:to>
      <xdr:col>5</xdr:col>
      <xdr:colOff>142875</xdr:colOff>
      <xdr:row>292</xdr:row>
      <xdr:rowOff>9525</xdr:rowOff>
    </xdr:to>
    <xdr:pic>
      <xdr:nvPicPr>
        <xdr:cNvPr id="3" name="Grafik 29">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47043975"/>
          <a:ext cx="39624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561975</xdr:colOff>
      <xdr:row>285</xdr:row>
      <xdr:rowOff>95250</xdr:rowOff>
    </xdr:from>
    <xdr:to>
      <xdr:col>17</xdr:col>
      <xdr:colOff>3495675</xdr:colOff>
      <xdr:row>291</xdr:row>
      <xdr:rowOff>95250</xdr:rowOff>
    </xdr:to>
    <xdr:pic>
      <xdr:nvPicPr>
        <xdr:cNvPr id="4" name="Grafik 30">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782675" y="46710600"/>
          <a:ext cx="42767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1733550</xdr:colOff>
      <xdr:row>65</xdr:row>
      <xdr:rowOff>66675</xdr:rowOff>
    </xdr:from>
    <xdr:to>
      <xdr:col>17</xdr:col>
      <xdr:colOff>3409950</xdr:colOff>
      <xdr:row>70</xdr:row>
      <xdr:rowOff>152400</xdr:rowOff>
    </xdr:to>
    <xdr:pic>
      <xdr:nvPicPr>
        <xdr:cNvPr id="5" name="Picture 3802">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297275" y="11058525"/>
          <a:ext cx="16764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1733550</xdr:colOff>
      <xdr:row>119</xdr:row>
      <xdr:rowOff>133350</xdr:rowOff>
    </xdr:from>
    <xdr:to>
      <xdr:col>17</xdr:col>
      <xdr:colOff>3409950</xdr:colOff>
      <xdr:row>125</xdr:row>
      <xdr:rowOff>66675</xdr:rowOff>
    </xdr:to>
    <xdr:pic>
      <xdr:nvPicPr>
        <xdr:cNvPr id="6" name="Picture 3802">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297275" y="19869150"/>
          <a:ext cx="1676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2</xdr:row>
      <xdr:rowOff>38100</xdr:rowOff>
    </xdr:from>
    <xdr:to>
      <xdr:col>2</xdr:col>
      <xdr:colOff>600075</xdr:colOff>
      <xdr:row>3</xdr:row>
      <xdr:rowOff>38100</xdr:rowOff>
    </xdr:to>
    <xdr:pic>
      <xdr:nvPicPr>
        <xdr:cNvPr id="7" name="Picture 4347">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361950"/>
          <a:ext cx="21240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1733550</xdr:colOff>
      <xdr:row>172</xdr:row>
      <xdr:rowOff>47625</xdr:rowOff>
    </xdr:from>
    <xdr:to>
      <xdr:col>17</xdr:col>
      <xdr:colOff>3409950</xdr:colOff>
      <xdr:row>177</xdr:row>
      <xdr:rowOff>152400</xdr:rowOff>
    </xdr:to>
    <xdr:pic>
      <xdr:nvPicPr>
        <xdr:cNvPr id="8" name="Picture 3802">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297275" y="28365450"/>
          <a:ext cx="1676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1733550</xdr:colOff>
      <xdr:row>230</xdr:row>
      <xdr:rowOff>19050</xdr:rowOff>
    </xdr:from>
    <xdr:to>
      <xdr:col>17</xdr:col>
      <xdr:colOff>3409950</xdr:colOff>
      <xdr:row>235</xdr:row>
      <xdr:rowOff>114300</xdr:rowOff>
    </xdr:to>
    <xdr:pic>
      <xdr:nvPicPr>
        <xdr:cNvPr id="9" name="Picture 3802">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297275" y="37728525"/>
          <a:ext cx="1676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367391</xdr:colOff>
      <xdr:row>8</xdr:row>
      <xdr:rowOff>54431</xdr:rowOff>
    </xdr:from>
    <xdr:to>
      <xdr:col>17</xdr:col>
      <xdr:colOff>1479177</xdr:colOff>
      <xdr:row>25</xdr:row>
      <xdr:rowOff>33618</xdr:rowOff>
    </xdr:to>
    <xdr:sp macro="" textlink="">
      <xdr:nvSpPr>
        <xdr:cNvPr id="10" name="Textfeld 21">
          <a:extLst>
            <a:ext uri="{FF2B5EF4-FFF2-40B4-BE49-F238E27FC236}">
              <a16:creationId xmlns:a16="http://schemas.microsoft.com/office/drawing/2014/main" id="{00000000-0008-0000-1A00-00000A000000}"/>
            </a:ext>
          </a:extLst>
        </xdr:cNvPr>
        <xdr:cNvSpPr txBox="1"/>
      </xdr:nvSpPr>
      <xdr:spPr>
        <a:xfrm>
          <a:off x="367391" y="1664156"/>
          <a:ext cx="15675511" cy="27509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CH" sz="1000">
              <a:solidFill>
                <a:schemeClr val="dk1"/>
              </a:solidFill>
              <a:latin typeface="+mn-lt"/>
              <a:ea typeface="+mn-ea"/>
              <a:cs typeface="+mn-cs"/>
            </a:rPr>
            <a:t>Seitens einiger IMI Hydronic Engineering Mitarbeiter besteht immer wieder der Wunsch nach Veröffentlichung der Leistungskennlinien für Compresso und Transfero. Mitunter werden sie als Nachweis dem Kunden gegenüber gefordert. </a:t>
          </a:r>
        </a:p>
        <a:p>
          <a:r>
            <a:rPr lang="de-CH" sz="1000">
              <a:solidFill>
                <a:schemeClr val="dk1"/>
              </a:solidFill>
              <a:latin typeface="+mn-lt"/>
              <a:ea typeface="+mn-ea"/>
              <a:cs typeface="+mn-cs"/>
            </a:rPr>
            <a:t> In den</a:t>
          </a:r>
          <a:r>
            <a:rPr lang="de-CH" sz="1000" baseline="0">
              <a:solidFill>
                <a:schemeClr val="dk1"/>
              </a:solidFill>
              <a:latin typeface="+mn-lt"/>
              <a:ea typeface="+mn-ea"/>
              <a:cs typeface="+mn-cs"/>
            </a:rPr>
            <a:t> Data Sheets und Planungsunterlagen </a:t>
          </a:r>
          <a:r>
            <a:rPr lang="de-CH" sz="1000">
              <a:solidFill>
                <a:schemeClr val="dk1"/>
              </a:solidFill>
              <a:latin typeface="+mn-lt"/>
              <a:ea typeface="+mn-ea"/>
              <a:cs typeface="+mn-cs"/>
            </a:rPr>
            <a:t>sind sie in Tabellenform als H</a:t>
          </a:r>
          <a:r>
            <a:rPr lang="de-CH" sz="1000" baseline="-25000">
              <a:solidFill>
                <a:schemeClr val="dk1"/>
              </a:solidFill>
              <a:latin typeface="+mn-lt"/>
              <a:ea typeface="+mn-ea"/>
              <a:cs typeface="+mn-cs"/>
            </a:rPr>
            <a:t>ST</a:t>
          </a:r>
          <a:r>
            <a:rPr lang="de-CH" sz="1000">
              <a:solidFill>
                <a:schemeClr val="dk1"/>
              </a:solidFill>
              <a:latin typeface="+mn-lt"/>
              <a:ea typeface="+mn-ea"/>
              <a:cs typeface="+mn-cs"/>
            </a:rPr>
            <a:t> = f (Q) dargestellt, in Hyselect als Kennlinien p0 = f (qN) hinterlegt. Berechnet wurden die Kennlinien auf Basis der verwendeten Pumpen- bzw. Kompressorentypen unter Berücksichtigung der Leistungsbegrenzung durch die Überströmeinrichtung. Die hydraulischen Widerstände innerhalb der TecBox (Ventile, Blenden, Rohrleitungen….) sind berücksichtigt. </a:t>
          </a:r>
        </a:p>
        <a:p>
          <a:r>
            <a:rPr lang="de-CH" sz="1000">
              <a:solidFill>
                <a:schemeClr val="dk1"/>
              </a:solidFill>
              <a:latin typeface="+mn-lt"/>
              <a:ea typeface="+mn-ea"/>
              <a:cs typeface="+mn-cs"/>
            </a:rPr>
            <a:t> Im Intranet finden Sie nun die Kennlinien für alle aktuellen TecBoxes Compresso und Transfero. Dazu beachten Sie bitte folgende Hinweise:</a:t>
          </a:r>
        </a:p>
        <a:p>
          <a:r>
            <a:rPr lang="de-CH" sz="1000">
              <a:solidFill>
                <a:schemeClr val="dk1"/>
              </a:solidFill>
              <a:latin typeface="+mn-lt"/>
              <a:ea typeface="+mn-ea"/>
              <a:cs typeface="+mn-cs"/>
            </a:rPr>
            <a:t> </a:t>
          </a:r>
        </a:p>
        <a:p>
          <a:r>
            <a:rPr lang="de-CH" sz="1000" u="sng">
              <a:solidFill>
                <a:schemeClr val="dk1"/>
              </a:solidFill>
              <a:latin typeface="+mn-lt"/>
              <a:ea typeface="+mn-ea"/>
              <a:cs typeface="+mn-cs"/>
            </a:rPr>
            <a:t>Zum prinzipiellen Gebrauch</a:t>
          </a:r>
          <a:endParaRPr lang="de-CH" sz="1000">
            <a:solidFill>
              <a:schemeClr val="dk1"/>
            </a:solidFill>
            <a:latin typeface="+mn-lt"/>
            <a:ea typeface="+mn-ea"/>
            <a:cs typeface="+mn-cs"/>
          </a:endParaRPr>
        </a:p>
        <a:p>
          <a:r>
            <a:rPr lang="de-CH" sz="1000">
              <a:solidFill>
                <a:schemeClr val="dk1"/>
              </a:solidFill>
              <a:latin typeface="+mn-lt"/>
              <a:ea typeface="+mn-ea"/>
              <a:cs typeface="+mn-cs"/>
            </a:rPr>
            <a:t>•	Die Kennlinien wurden in Excel in den Tabellen </a:t>
          </a:r>
          <a:r>
            <a:rPr lang="de-CH" sz="1000" i="1">
              <a:solidFill>
                <a:schemeClr val="dk1"/>
              </a:solidFill>
              <a:latin typeface="+mn-lt"/>
              <a:ea typeface="+mn-ea"/>
              <a:cs typeface="+mn-cs"/>
            </a:rPr>
            <a:t>Data </a:t>
          </a:r>
          <a:r>
            <a:rPr lang="de-CH" sz="1000">
              <a:solidFill>
                <a:schemeClr val="dk1"/>
              </a:solidFill>
              <a:latin typeface="+mn-lt"/>
              <a:ea typeface="+mn-ea"/>
              <a:cs typeface="+mn-cs"/>
            </a:rPr>
            <a:t>ermittelt und in den Tabellen</a:t>
          </a:r>
          <a:r>
            <a:rPr lang="de-CH" sz="1000" baseline="0">
              <a:solidFill>
                <a:schemeClr val="dk1"/>
              </a:solidFill>
              <a:latin typeface="+mn-lt"/>
              <a:ea typeface="+mn-ea"/>
              <a:cs typeface="+mn-cs"/>
            </a:rPr>
            <a:t> </a:t>
          </a:r>
          <a:r>
            <a:rPr lang="de-CH" sz="1000" i="1">
              <a:solidFill>
                <a:schemeClr val="dk1"/>
              </a:solidFill>
              <a:latin typeface="+mn-lt"/>
              <a:ea typeface="+mn-ea"/>
              <a:cs typeface="+mn-cs"/>
            </a:rPr>
            <a:t>Selection pman-p0-qN</a:t>
          </a:r>
          <a:r>
            <a:rPr lang="de-CH" sz="1000" i="1" baseline="0">
              <a:solidFill>
                <a:schemeClr val="dk1"/>
              </a:solidFill>
              <a:latin typeface="+mn-lt"/>
              <a:ea typeface="+mn-ea"/>
              <a:cs typeface="+mn-cs"/>
            </a:rPr>
            <a:t> </a:t>
          </a:r>
          <a:r>
            <a:rPr lang="de-CH" sz="1000" i="0" baseline="0">
              <a:solidFill>
                <a:schemeClr val="dk1"/>
              </a:solidFill>
              <a:latin typeface="+mn-lt"/>
              <a:ea typeface="+mn-ea"/>
              <a:cs typeface="+mn-cs"/>
            </a:rPr>
            <a:t>und</a:t>
          </a:r>
          <a:r>
            <a:rPr lang="de-CH" sz="1000" i="1">
              <a:solidFill>
                <a:schemeClr val="dk1"/>
              </a:solidFill>
              <a:latin typeface="+mn-lt"/>
              <a:ea typeface="+mn-ea"/>
              <a:cs typeface="+mn-cs"/>
            </a:rPr>
            <a:t> Selection pman-p0-Q und </a:t>
          </a:r>
          <a:r>
            <a:rPr lang="de-CH" sz="1000">
              <a:solidFill>
                <a:schemeClr val="dk1"/>
              </a:solidFill>
              <a:latin typeface="+mn-lt"/>
              <a:ea typeface="+mn-ea"/>
              <a:cs typeface="+mn-cs"/>
            </a:rPr>
            <a:t>dargestellt.</a:t>
          </a:r>
        </a:p>
        <a:p>
          <a:r>
            <a:rPr lang="de-CH" sz="1000">
              <a:solidFill>
                <a:schemeClr val="dk1"/>
              </a:solidFill>
              <a:latin typeface="+mn-lt"/>
              <a:ea typeface="+mn-ea"/>
              <a:cs typeface="+mn-cs"/>
            </a:rPr>
            <a:t>•	Sie können die Files downloaden und bearbeiten.</a:t>
          </a:r>
        </a:p>
        <a:p>
          <a:r>
            <a:rPr lang="de-CH" sz="1000">
              <a:solidFill>
                <a:schemeClr val="dk1"/>
              </a:solidFill>
              <a:latin typeface="+mn-lt"/>
              <a:ea typeface="+mn-ea"/>
              <a:cs typeface="+mn-cs"/>
            </a:rPr>
            <a:t>•	</a:t>
          </a:r>
          <a:r>
            <a:rPr lang="de-CH" sz="1000" b="1">
              <a:solidFill>
                <a:schemeClr val="dk1"/>
              </a:solidFill>
              <a:latin typeface="+mn-lt"/>
              <a:ea typeface="+mn-ea"/>
              <a:cs typeface="+mn-cs"/>
            </a:rPr>
            <a:t>Bei jeder Anwendung die Files aus dem Intranet neu downloaden, dann sind Sie immer up to date! Keine abgespeicherten Files wieder benutzen!</a:t>
          </a:r>
          <a:endParaRPr lang="de-CH" sz="1000">
            <a:solidFill>
              <a:schemeClr val="dk1"/>
            </a:solidFill>
            <a:latin typeface="+mn-lt"/>
            <a:ea typeface="+mn-ea"/>
            <a:cs typeface="+mn-cs"/>
          </a:endParaRPr>
        </a:p>
        <a:p>
          <a:r>
            <a:rPr lang="de-CH" sz="1000">
              <a:solidFill>
                <a:schemeClr val="dk1"/>
              </a:solidFill>
              <a:latin typeface="+mn-lt"/>
              <a:ea typeface="+mn-ea"/>
              <a:cs typeface="+mn-cs"/>
            </a:rPr>
            <a:t>•	</a:t>
          </a:r>
          <a:r>
            <a:rPr lang="de-CH" sz="1000" b="1">
              <a:solidFill>
                <a:schemeClr val="dk1"/>
              </a:solidFill>
              <a:latin typeface="+mn-lt"/>
              <a:ea typeface="+mn-ea"/>
              <a:cs typeface="+mn-cs"/>
            </a:rPr>
            <a:t>Nur die unter Eingabe blau gekennzeichneten Werte entsprechend den Anlagendaten verändern!</a:t>
          </a:r>
          <a:endParaRPr lang="de-CH" sz="1000">
            <a:solidFill>
              <a:schemeClr val="dk1"/>
            </a:solidFill>
            <a:latin typeface="+mn-lt"/>
            <a:ea typeface="+mn-ea"/>
            <a:cs typeface="+mn-cs"/>
          </a:endParaRPr>
        </a:p>
        <a:p>
          <a:r>
            <a:rPr lang="de-CH" sz="1000">
              <a:solidFill>
                <a:schemeClr val="dk1"/>
              </a:solidFill>
              <a:latin typeface="+mn-lt"/>
              <a:ea typeface="+mn-ea"/>
              <a:cs typeface="+mn-cs"/>
            </a:rPr>
            <a:t>•	</a:t>
          </a:r>
          <a:r>
            <a:rPr lang="de-CH" sz="1000" b="1">
              <a:solidFill>
                <a:schemeClr val="dk1"/>
              </a:solidFill>
              <a:latin typeface="+mn-lt"/>
              <a:ea typeface="+mn-ea"/>
              <a:cs typeface="+mn-cs"/>
            </a:rPr>
            <a:t>Keine Änderungen an den Tabellenwerten insbesondere bei </a:t>
          </a:r>
          <a:r>
            <a:rPr lang="de-CH" sz="1000" i="1">
              <a:solidFill>
                <a:schemeClr val="dk1"/>
              </a:solidFill>
              <a:latin typeface="+mn-lt"/>
              <a:ea typeface="+mn-ea"/>
              <a:cs typeface="+mn-cs"/>
            </a:rPr>
            <a:t>Data </a:t>
          </a:r>
          <a:r>
            <a:rPr lang="de-CH" sz="1000" b="1">
              <a:solidFill>
                <a:schemeClr val="dk1"/>
              </a:solidFill>
              <a:latin typeface="+mn-lt"/>
              <a:ea typeface="+mn-ea"/>
              <a:cs typeface="+mn-cs"/>
            </a:rPr>
            <a:t>vornehmen!</a:t>
          </a:r>
          <a:r>
            <a:rPr lang="de-CH" sz="1000">
              <a:solidFill>
                <a:schemeClr val="dk1"/>
              </a:solidFill>
              <a:latin typeface="+mn-lt"/>
              <a:ea typeface="+mn-ea"/>
              <a:cs typeface="+mn-cs"/>
            </a:rPr>
            <a:t> Dies führt zu falschen Ergebnissen.</a:t>
          </a:r>
        </a:p>
        <a:p>
          <a:r>
            <a:rPr lang="de-CH" sz="1000">
              <a:solidFill>
                <a:schemeClr val="dk1"/>
              </a:solidFill>
              <a:latin typeface="+mn-lt"/>
              <a:ea typeface="+mn-ea"/>
              <a:cs typeface="+mn-cs"/>
            </a:rPr>
            <a:t>•	</a:t>
          </a:r>
          <a:r>
            <a:rPr lang="de-CH" sz="1000" b="1">
              <a:solidFill>
                <a:schemeClr val="dk1"/>
              </a:solidFill>
              <a:latin typeface="+mn-lt"/>
              <a:ea typeface="+mn-ea"/>
              <a:cs typeface="+mn-cs"/>
            </a:rPr>
            <a:t>Die Tabelle </a:t>
          </a:r>
          <a:r>
            <a:rPr lang="de-CH" sz="1000" i="1">
              <a:solidFill>
                <a:schemeClr val="dk1"/>
              </a:solidFill>
              <a:latin typeface="+mn-lt"/>
              <a:ea typeface="+mn-ea"/>
              <a:cs typeface="+mn-cs"/>
            </a:rPr>
            <a:t>Data</a:t>
          </a:r>
          <a:r>
            <a:rPr lang="de-CH" sz="1000" b="1">
              <a:solidFill>
                <a:schemeClr val="dk1"/>
              </a:solidFill>
              <a:latin typeface="+mn-lt"/>
              <a:ea typeface="+mn-ea"/>
              <a:cs typeface="+mn-cs"/>
            </a:rPr>
            <a:t> nicht an Kunden herausgeben!</a:t>
          </a:r>
          <a:endParaRPr lang="de-CH" sz="1000">
            <a:solidFill>
              <a:schemeClr val="dk1"/>
            </a:solidFill>
            <a:latin typeface="+mn-lt"/>
            <a:ea typeface="+mn-ea"/>
            <a:cs typeface="+mn-cs"/>
          </a:endParaRPr>
        </a:p>
        <a:p>
          <a:r>
            <a:rPr lang="de-CH" sz="1000">
              <a:solidFill>
                <a:schemeClr val="dk1"/>
              </a:solidFill>
              <a:latin typeface="+mn-lt"/>
              <a:ea typeface="+mn-ea"/>
              <a:cs typeface="+mn-cs"/>
            </a:rPr>
            <a:t>	Sie enthält die Berechnungsformeln für den Ausgleichsvolumenstrom qN, die digitalisierten Kennlinien p0 = f(qN) sowie die Beziehungen für den Dampfdruck  in Abhängigkeit der Absicherungstemperatur TAZ und des Frostschutzmittelzusatzes Z. </a:t>
          </a:r>
        </a:p>
        <a:p>
          <a:r>
            <a:rPr lang="de-CH" sz="1000">
              <a:solidFill>
                <a:schemeClr val="dk1"/>
              </a:solidFill>
              <a:latin typeface="+mn-lt"/>
              <a:ea typeface="+mn-ea"/>
              <a:cs typeface="+mn-cs"/>
            </a:rPr>
            <a:t>	Diese Daten sind zwar nicht streng geheim, sollten aber nicht unnötig in die Hände des Wettbewerbs geraten.</a:t>
          </a:r>
        </a:p>
        <a:p>
          <a:r>
            <a:rPr lang="de-CH" sz="1000">
              <a:solidFill>
                <a:schemeClr val="dk1"/>
              </a:solidFill>
              <a:latin typeface="+mn-lt"/>
              <a:ea typeface="+mn-ea"/>
              <a:cs typeface="+mn-cs"/>
            </a:rPr>
            <a:t>•	</a:t>
          </a:r>
          <a:r>
            <a:rPr lang="de-CH" sz="1000" b="1">
              <a:solidFill>
                <a:schemeClr val="dk1"/>
              </a:solidFill>
              <a:latin typeface="+mn-lt"/>
              <a:ea typeface="+mn-ea"/>
              <a:cs typeface="+mn-cs"/>
            </a:rPr>
            <a:t>Die Tabelle </a:t>
          </a:r>
          <a:r>
            <a:rPr lang="de-CH" sz="1000" i="1">
              <a:solidFill>
                <a:schemeClr val="dk1"/>
              </a:solidFill>
              <a:latin typeface="+mn-lt"/>
              <a:ea typeface="+mn-ea"/>
              <a:cs typeface="+mn-cs"/>
            </a:rPr>
            <a:t>pman-p0-qN </a:t>
          </a:r>
          <a:r>
            <a:rPr lang="de-CH" sz="1000" b="1">
              <a:solidFill>
                <a:schemeClr val="dk1"/>
              </a:solidFill>
              <a:latin typeface="+mn-lt"/>
              <a:ea typeface="+mn-ea"/>
              <a:cs typeface="+mn-cs"/>
            </a:rPr>
            <a:t>nur in Ausnahmefällen an den Kunden als </a:t>
          </a:r>
          <a:r>
            <a:rPr lang="de-CH" sz="1000" b="1" u="sng">
              <a:solidFill>
                <a:schemeClr val="dk1"/>
              </a:solidFill>
              <a:latin typeface="+mn-lt"/>
              <a:ea typeface="+mn-ea"/>
              <a:cs typeface="+mn-cs"/>
            </a:rPr>
            <a:t>PDF</a:t>
          </a:r>
          <a:r>
            <a:rPr lang="de-CH" sz="1000" b="1">
              <a:solidFill>
                <a:schemeClr val="dk1"/>
              </a:solidFill>
              <a:latin typeface="+mn-lt"/>
              <a:ea typeface="+mn-ea"/>
              <a:cs typeface="+mn-cs"/>
            </a:rPr>
            <a:t> nicht als Excel herausgeben!</a:t>
          </a:r>
        </a:p>
        <a:p>
          <a:pPr marL="0" marR="0" indent="0" defTabSz="914400" eaLnBrk="1" fontAlgn="auto" latinLnBrk="0" hangingPunct="1">
            <a:lnSpc>
              <a:spcPct val="100000"/>
            </a:lnSpc>
            <a:spcBef>
              <a:spcPts val="0"/>
            </a:spcBef>
            <a:spcAft>
              <a:spcPts val="0"/>
            </a:spcAft>
            <a:buClrTx/>
            <a:buSzTx/>
            <a:buFontTx/>
            <a:buNone/>
            <a:tabLst/>
            <a:defRPr/>
          </a:pPr>
          <a:r>
            <a:rPr lang="de-CH" sz="1000">
              <a:solidFill>
                <a:schemeClr val="dk1"/>
              </a:solidFill>
              <a:latin typeface="+mn-lt"/>
              <a:ea typeface="+mn-ea"/>
              <a:cs typeface="+mn-cs"/>
            </a:rPr>
            <a:t>•	</a:t>
          </a:r>
          <a:r>
            <a:rPr lang="de-CH" sz="1000" b="1">
              <a:solidFill>
                <a:schemeClr val="dk1"/>
              </a:solidFill>
              <a:latin typeface="+mn-lt"/>
              <a:ea typeface="+mn-ea"/>
              <a:cs typeface="+mn-cs"/>
            </a:rPr>
            <a:t>Die Tabelle </a:t>
          </a:r>
          <a:r>
            <a:rPr lang="de-CH" sz="1000" i="1">
              <a:solidFill>
                <a:schemeClr val="dk1"/>
              </a:solidFill>
              <a:latin typeface="+mn-lt"/>
              <a:ea typeface="+mn-ea"/>
              <a:cs typeface="+mn-cs"/>
            </a:rPr>
            <a:t>pman-p0-Q  </a:t>
          </a:r>
          <a:r>
            <a:rPr lang="de-CH" sz="1000" b="1">
              <a:solidFill>
                <a:schemeClr val="dk1"/>
              </a:solidFill>
              <a:latin typeface="+mn-lt"/>
              <a:ea typeface="+mn-ea"/>
              <a:cs typeface="+mn-cs"/>
            </a:rPr>
            <a:t>darf an den Kunden als </a:t>
          </a:r>
          <a:r>
            <a:rPr lang="de-CH" sz="1000" b="1" u="sng">
              <a:solidFill>
                <a:schemeClr val="dk1"/>
              </a:solidFill>
              <a:latin typeface="+mn-lt"/>
              <a:ea typeface="+mn-ea"/>
              <a:cs typeface="+mn-cs"/>
            </a:rPr>
            <a:t>PDF</a:t>
          </a:r>
          <a:r>
            <a:rPr lang="de-CH" sz="1000" b="1">
              <a:solidFill>
                <a:schemeClr val="dk1"/>
              </a:solidFill>
              <a:latin typeface="+mn-lt"/>
              <a:ea typeface="+mn-ea"/>
              <a:cs typeface="+mn-cs"/>
            </a:rPr>
            <a:t> aber nicht als Excel herausgegeben werden!</a:t>
          </a:r>
          <a:r>
            <a:rPr lang="de-DE" sz="1000">
              <a:solidFill>
                <a:schemeClr val="dk1"/>
              </a:solidFill>
              <a:latin typeface="+mn-lt"/>
              <a:ea typeface="+mn-ea"/>
              <a:cs typeface="+mn-cs"/>
            </a:rPr>
            <a:t> </a:t>
          </a:r>
          <a:endParaRPr lang="de-CH" sz="1000">
            <a:solidFill>
              <a:schemeClr val="dk1"/>
            </a:solidFill>
            <a:latin typeface="+mn-lt"/>
            <a:ea typeface="+mn-ea"/>
            <a:cs typeface="+mn-cs"/>
          </a:endParaRPr>
        </a:p>
        <a:p>
          <a:endParaRPr lang="de-CH" sz="1100"/>
        </a:p>
      </xdr:txBody>
    </xdr:sp>
    <xdr:clientData/>
  </xdr:twoCellAnchor>
  <xdr:twoCellAnchor>
    <xdr:from>
      <xdr:col>0</xdr:col>
      <xdr:colOff>367391</xdr:colOff>
      <xdr:row>29</xdr:row>
      <xdr:rowOff>54431</xdr:rowOff>
    </xdr:from>
    <xdr:to>
      <xdr:col>17</xdr:col>
      <xdr:colOff>1535206</xdr:colOff>
      <xdr:row>43</xdr:row>
      <xdr:rowOff>76200</xdr:rowOff>
    </xdr:to>
    <xdr:sp macro="" textlink="">
      <xdr:nvSpPr>
        <xdr:cNvPr id="11" name="Textfeld 10">
          <a:extLst>
            <a:ext uri="{FF2B5EF4-FFF2-40B4-BE49-F238E27FC236}">
              <a16:creationId xmlns:a16="http://schemas.microsoft.com/office/drawing/2014/main" id="{00000000-0008-0000-1A00-00000B000000}"/>
            </a:ext>
          </a:extLst>
        </xdr:cNvPr>
        <xdr:cNvSpPr txBox="1"/>
      </xdr:nvSpPr>
      <xdr:spPr>
        <a:xfrm>
          <a:off x="367391" y="5150306"/>
          <a:ext cx="15731540" cy="2288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CH" sz="1000">
              <a:solidFill>
                <a:schemeClr val="dk1"/>
              </a:solidFill>
              <a:latin typeface="+mn-lt"/>
              <a:ea typeface="+mn-ea"/>
              <a:cs typeface="+mn-cs"/>
            </a:rPr>
            <a:t>On the part of some IMI Hydronic Engineering staff is always the desire for publication of performance characteristics for Compresso and Transfero. They are sometimes compared to require proof to the customer.</a:t>
          </a:r>
        </a:p>
        <a:p>
          <a:r>
            <a:rPr lang="de-CH" sz="1000">
              <a:solidFill>
                <a:schemeClr val="dk1"/>
              </a:solidFill>
              <a:latin typeface="+mn-lt"/>
              <a:ea typeface="+mn-ea"/>
              <a:cs typeface="+mn-cs"/>
            </a:rPr>
            <a:t>In the Data Sheets and planning documents these curves are presented in tabular form as HST = f (Q), in Hyselect as characteristics p0 = f (QN). These</a:t>
          </a:r>
          <a:r>
            <a:rPr lang="de-CH" sz="1000" baseline="0">
              <a:solidFill>
                <a:schemeClr val="dk1"/>
              </a:solidFill>
              <a:latin typeface="+mn-lt"/>
              <a:ea typeface="+mn-ea"/>
              <a:cs typeface="+mn-cs"/>
            </a:rPr>
            <a:t> curves w</a:t>
          </a:r>
          <a:r>
            <a:rPr lang="de-CH" sz="1000">
              <a:solidFill>
                <a:schemeClr val="dk1"/>
              </a:solidFill>
              <a:latin typeface="+mn-lt"/>
              <a:ea typeface="+mn-ea"/>
              <a:cs typeface="+mn-cs"/>
            </a:rPr>
            <a:t>ere calculated with base</a:t>
          </a:r>
          <a:r>
            <a:rPr lang="de-CH" sz="1000" baseline="0">
              <a:solidFill>
                <a:schemeClr val="dk1"/>
              </a:solidFill>
              <a:latin typeface="+mn-lt"/>
              <a:ea typeface="+mn-ea"/>
              <a:cs typeface="+mn-cs"/>
            </a:rPr>
            <a:t> o</a:t>
          </a:r>
          <a:r>
            <a:rPr lang="de-CH" sz="1000">
              <a:solidFill>
                <a:schemeClr val="dk1"/>
              </a:solidFill>
              <a:latin typeface="+mn-lt"/>
              <a:ea typeface="+mn-ea"/>
              <a:cs typeface="+mn-cs"/>
            </a:rPr>
            <a:t>n the characteristics of the pump or compressor types in consideration of the capacity limitation by the overflow device that is used. The hydraulic resistances within the TecBox (valves, diaphragms, pipes ....) are taken into account.</a:t>
          </a:r>
          <a:br>
            <a:rPr lang="de-CH" sz="1000">
              <a:solidFill>
                <a:schemeClr val="dk1"/>
              </a:solidFill>
              <a:latin typeface="+mn-lt"/>
              <a:ea typeface="+mn-ea"/>
              <a:cs typeface="+mn-cs"/>
            </a:rPr>
          </a:br>
          <a:r>
            <a:rPr lang="de-CH" sz="1000">
              <a:solidFill>
                <a:schemeClr val="dk1"/>
              </a:solidFill>
              <a:latin typeface="+mn-lt"/>
              <a:ea typeface="+mn-ea"/>
              <a:cs typeface="+mn-cs"/>
            </a:rPr>
            <a:t>In the Intranet</a:t>
          </a:r>
          <a:r>
            <a:rPr lang="de-CH" sz="1000" baseline="0">
              <a:solidFill>
                <a:schemeClr val="dk1"/>
              </a:solidFill>
              <a:latin typeface="+mn-lt"/>
              <a:ea typeface="+mn-ea"/>
              <a:cs typeface="+mn-cs"/>
            </a:rPr>
            <a:t> you find t</a:t>
          </a:r>
          <a:r>
            <a:rPr lang="de-CH" sz="1000">
              <a:solidFill>
                <a:schemeClr val="dk1"/>
              </a:solidFill>
              <a:latin typeface="+mn-lt"/>
              <a:ea typeface="+mn-ea"/>
              <a:cs typeface="+mn-cs"/>
            </a:rPr>
            <a:t>he characteristics for all the latest Compresso and Transfero TecBoxes. In addition please note the following hints: </a:t>
          </a:r>
        </a:p>
        <a:p>
          <a:r>
            <a:rPr lang="de-CH" sz="1000" u="sng">
              <a:solidFill>
                <a:schemeClr val="dk1"/>
              </a:solidFill>
              <a:latin typeface="+mn-lt"/>
              <a:ea typeface="+mn-ea"/>
              <a:cs typeface="+mn-cs"/>
            </a:rPr>
            <a:t>For basic use</a:t>
          </a:r>
          <a:endParaRPr lang="de-CH" sz="1000">
            <a:solidFill>
              <a:schemeClr val="dk1"/>
            </a:solidFill>
            <a:latin typeface="+mn-lt"/>
            <a:ea typeface="+mn-ea"/>
            <a:cs typeface="+mn-cs"/>
          </a:endParaRPr>
        </a:p>
        <a:p>
          <a:r>
            <a:rPr lang="de-CH" sz="1000">
              <a:solidFill>
                <a:schemeClr val="dk1"/>
              </a:solidFill>
              <a:latin typeface="+mn-lt"/>
              <a:ea typeface="+mn-ea"/>
              <a:cs typeface="+mn-cs"/>
            </a:rPr>
            <a:t>• 	The characteristic </a:t>
          </a:r>
          <a:r>
            <a:rPr lang="de-CH" sz="1000" i="0">
              <a:solidFill>
                <a:schemeClr val="dk1"/>
              </a:solidFill>
              <a:latin typeface="+mn-lt"/>
              <a:ea typeface="+mn-ea"/>
              <a:cs typeface="+mn-cs"/>
            </a:rPr>
            <a:t>curves were calculated in Excel table </a:t>
          </a:r>
          <a:r>
            <a:rPr lang="de-CH" sz="1000" i="1">
              <a:solidFill>
                <a:schemeClr val="dk1"/>
              </a:solidFill>
              <a:latin typeface="+mn-lt"/>
              <a:ea typeface="+mn-ea"/>
              <a:cs typeface="+mn-cs"/>
            </a:rPr>
            <a:t>Data</a:t>
          </a:r>
          <a:r>
            <a:rPr lang="de-CH" sz="1000" i="0">
              <a:solidFill>
                <a:schemeClr val="dk1"/>
              </a:solidFill>
              <a:latin typeface="+mn-lt"/>
              <a:ea typeface="+mn-ea"/>
              <a:cs typeface="+mn-cs"/>
            </a:rPr>
            <a:t>, and presented in the tables </a:t>
          </a:r>
          <a:r>
            <a:rPr lang="de-CH" sz="1000" i="1">
              <a:solidFill>
                <a:schemeClr val="dk1"/>
              </a:solidFill>
              <a:latin typeface="+mn-lt"/>
              <a:ea typeface="+mn-ea"/>
              <a:cs typeface="+mn-cs"/>
            </a:rPr>
            <a:t>Selection pman-p0-qN</a:t>
          </a:r>
          <a:r>
            <a:rPr lang="de-CH" sz="1000" i="1" baseline="0">
              <a:solidFill>
                <a:schemeClr val="dk1"/>
              </a:solidFill>
              <a:latin typeface="+mn-lt"/>
              <a:ea typeface="+mn-ea"/>
              <a:cs typeface="+mn-cs"/>
            </a:rPr>
            <a:t> </a:t>
          </a:r>
          <a:r>
            <a:rPr lang="de-CH" sz="1000" i="0">
              <a:solidFill>
                <a:schemeClr val="dk1"/>
              </a:solidFill>
              <a:latin typeface="+mn-lt"/>
              <a:ea typeface="+mn-ea"/>
              <a:cs typeface="+mn-cs"/>
            </a:rPr>
            <a:t>and </a:t>
          </a:r>
          <a:r>
            <a:rPr lang="de-CH" sz="1000" i="1">
              <a:solidFill>
                <a:schemeClr val="dk1"/>
              </a:solidFill>
              <a:latin typeface="+mn-lt"/>
              <a:ea typeface="+mn-ea"/>
              <a:cs typeface="+mn-cs"/>
            </a:rPr>
            <a:t>Selection pman-P0-Q</a:t>
          </a:r>
          <a:r>
            <a:rPr lang="de-CH" sz="1000" i="0">
              <a:solidFill>
                <a:schemeClr val="dk1"/>
              </a:solidFill>
              <a:latin typeface="+mn-lt"/>
              <a:ea typeface="+mn-ea"/>
              <a:cs typeface="+mn-cs"/>
            </a:rPr>
            <a:t>.</a:t>
          </a:r>
          <a:br>
            <a:rPr lang="de-CH" sz="1000" i="0">
              <a:solidFill>
                <a:schemeClr val="dk1"/>
              </a:solidFill>
              <a:latin typeface="+mn-lt"/>
              <a:ea typeface="+mn-ea"/>
              <a:cs typeface="+mn-cs"/>
            </a:rPr>
          </a:br>
          <a:r>
            <a:rPr lang="de-CH" sz="1000" i="0">
              <a:solidFill>
                <a:schemeClr val="dk1"/>
              </a:solidFill>
              <a:latin typeface="+mn-lt"/>
              <a:ea typeface="+mn-ea"/>
              <a:cs typeface="+mn-cs"/>
            </a:rPr>
            <a:t>• 	You can download and edit the files.</a:t>
          </a:r>
          <a:br>
            <a:rPr lang="de-CH" sz="1000" i="0">
              <a:solidFill>
                <a:schemeClr val="dk1"/>
              </a:solidFill>
              <a:latin typeface="+mn-lt"/>
              <a:ea typeface="+mn-ea"/>
              <a:cs typeface="+mn-cs"/>
            </a:rPr>
          </a:br>
          <a:r>
            <a:rPr lang="de-CH" sz="1000" i="0">
              <a:solidFill>
                <a:schemeClr val="dk1"/>
              </a:solidFill>
              <a:latin typeface="+mn-lt"/>
              <a:ea typeface="+mn-ea"/>
              <a:cs typeface="+mn-cs"/>
            </a:rPr>
            <a:t>• 	</a:t>
          </a:r>
          <a:r>
            <a:rPr lang="de-CH" sz="1000" b="1" i="0">
              <a:solidFill>
                <a:schemeClr val="dk1"/>
              </a:solidFill>
              <a:latin typeface="+mn-lt"/>
              <a:ea typeface="+mn-ea"/>
              <a:cs typeface="+mn-cs"/>
            </a:rPr>
            <a:t>For each application, the files should be re-downloaded from the Intranet</a:t>
          </a:r>
          <a:r>
            <a:rPr lang="de-CH" sz="1000" b="1" i="0" baseline="0">
              <a:solidFill>
                <a:schemeClr val="dk1"/>
              </a:solidFill>
              <a:latin typeface="+mn-lt"/>
              <a:ea typeface="+mn-ea"/>
              <a:cs typeface="+mn-cs"/>
            </a:rPr>
            <a:t> to make sure that they are </a:t>
          </a:r>
          <a:r>
            <a:rPr lang="de-CH" sz="1000" b="1" i="0">
              <a:solidFill>
                <a:schemeClr val="dk1"/>
              </a:solidFill>
              <a:latin typeface="+mn-lt"/>
              <a:ea typeface="+mn-ea"/>
              <a:cs typeface="+mn-cs"/>
            </a:rPr>
            <a:t>always up to date! Do not use stored files again!</a:t>
          </a:r>
          <a:br>
            <a:rPr lang="de-CH" sz="1000" b="1" i="0">
              <a:solidFill>
                <a:schemeClr val="dk1"/>
              </a:solidFill>
              <a:latin typeface="+mn-lt"/>
              <a:ea typeface="+mn-ea"/>
              <a:cs typeface="+mn-cs"/>
            </a:rPr>
          </a:br>
          <a:r>
            <a:rPr lang="de-CH" sz="1000" b="0" i="0">
              <a:solidFill>
                <a:schemeClr val="dk1"/>
              </a:solidFill>
              <a:latin typeface="+mn-lt"/>
              <a:ea typeface="+mn-ea"/>
              <a:cs typeface="+mn-cs"/>
            </a:rPr>
            <a:t>•</a:t>
          </a:r>
          <a:r>
            <a:rPr lang="de-CH" sz="1000" b="1" i="0">
              <a:solidFill>
                <a:schemeClr val="dk1"/>
              </a:solidFill>
              <a:latin typeface="+mn-lt"/>
              <a:ea typeface="+mn-ea"/>
              <a:cs typeface="+mn-cs"/>
            </a:rPr>
            <a:t> 	Change only  the values ​​marked in blue in accordance with the system data!</a:t>
          </a:r>
          <a:br>
            <a:rPr lang="de-CH" sz="1000" b="1" i="0">
              <a:solidFill>
                <a:schemeClr val="dk1"/>
              </a:solidFill>
              <a:latin typeface="+mn-lt"/>
              <a:ea typeface="+mn-ea"/>
              <a:cs typeface="+mn-cs"/>
            </a:rPr>
          </a:br>
          <a:r>
            <a:rPr lang="de-CH" sz="1000" b="0" i="0">
              <a:solidFill>
                <a:schemeClr val="dk1"/>
              </a:solidFill>
              <a:latin typeface="+mn-lt"/>
              <a:ea typeface="+mn-ea"/>
              <a:cs typeface="+mn-cs"/>
            </a:rPr>
            <a:t>•</a:t>
          </a:r>
          <a:r>
            <a:rPr lang="de-CH" sz="1000" b="1" i="0">
              <a:solidFill>
                <a:schemeClr val="dk1"/>
              </a:solidFill>
              <a:latin typeface="+mn-lt"/>
              <a:ea typeface="+mn-ea"/>
              <a:cs typeface="+mn-cs"/>
            </a:rPr>
            <a:t> 	Do not modify the table values ​​especially in </a:t>
          </a:r>
          <a:r>
            <a:rPr lang="de-CH" sz="1000" b="1" i="1">
              <a:solidFill>
                <a:schemeClr val="dk1"/>
              </a:solidFill>
              <a:latin typeface="+mn-lt"/>
              <a:ea typeface="+mn-ea"/>
              <a:cs typeface="+mn-cs"/>
            </a:rPr>
            <a:t>Data</a:t>
          </a:r>
          <a:r>
            <a:rPr lang="de-CH" sz="1000" b="1" i="0">
              <a:solidFill>
                <a:schemeClr val="dk1"/>
              </a:solidFill>
              <a:latin typeface="+mn-lt"/>
              <a:ea typeface="+mn-ea"/>
              <a:cs typeface="+mn-cs"/>
            </a:rPr>
            <a:t>! This leads to incorrect </a:t>
          </a:r>
          <a:r>
            <a:rPr lang="de-CH" sz="1000" b="1">
              <a:solidFill>
                <a:schemeClr val="dk1"/>
              </a:solidFill>
              <a:latin typeface="+mn-lt"/>
              <a:ea typeface="+mn-ea"/>
              <a:cs typeface="+mn-cs"/>
            </a:rPr>
            <a:t>results.</a:t>
          </a:r>
          <a:br>
            <a:rPr lang="de-CH" sz="1000" b="1">
              <a:solidFill>
                <a:schemeClr val="dk1"/>
              </a:solidFill>
              <a:latin typeface="+mn-lt"/>
              <a:ea typeface="+mn-ea"/>
              <a:cs typeface="+mn-cs"/>
            </a:rPr>
          </a:br>
          <a:r>
            <a:rPr lang="de-CH" sz="1000" b="0">
              <a:solidFill>
                <a:schemeClr val="dk1"/>
              </a:solidFill>
              <a:latin typeface="+mn-lt"/>
              <a:ea typeface="+mn-ea"/>
              <a:cs typeface="+mn-cs"/>
            </a:rPr>
            <a:t>•</a:t>
          </a:r>
          <a:r>
            <a:rPr lang="de-CH" sz="1000" b="1">
              <a:solidFill>
                <a:schemeClr val="dk1"/>
              </a:solidFill>
              <a:latin typeface="+mn-lt"/>
              <a:ea typeface="+mn-ea"/>
              <a:cs typeface="+mn-cs"/>
            </a:rPr>
            <a:t> 	Don't  deliver the Table </a:t>
          </a:r>
          <a:r>
            <a:rPr lang="de-CH" sz="1000" b="1" i="1">
              <a:solidFill>
                <a:schemeClr val="dk1"/>
              </a:solidFill>
              <a:latin typeface="+mn-lt"/>
              <a:ea typeface="+mn-ea"/>
              <a:cs typeface="+mn-cs"/>
            </a:rPr>
            <a:t>Data</a:t>
          </a:r>
          <a:r>
            <a:rPr lang="de-CH" sz="1000" b="1">
              <a:solidFill>
                <a:schemeClr val="dk1"/>
              </a:solidFill>
              <a:latin typeface="+mn-lt"/>
              <a:ea typeface="+mn-ea"/>
              <a:cs typeface="+mn-cs"/>
            </a:rPr>
            <a:t> to customers!</a:t>
          </a:r>
          <a:r>
            <a:rPr lang="de-CH" sz="1000">
              <a:solidFill>
                <a:schemeClr val="dk1"/>
              </a:solidFill>
              <a:latin typeface="+mn-lt"/>
              <a:ea typeface="+mn-ea"/>
              <a:cs typeface="+mn-cs"/>
            </a:rPr>
            <a:t> It contains the calculation formulas for balancing flow qN, the digitized characteristics p0 = f (qN) and relations for the vapor pressure as a function of safety temperature limiter TAZ and the antifreeze ratio Z. </a:t>
          </a:r>
        </a:p>
        <a:p>
          <a:r>
            <a:rPr lang="de-CH" sz="1000">
              <a:solidFill>
                <a:schemeClr val="dk1"/>
              </a:solidFill>
              <a:latin typeface="+mn-lt"/>
              <a:ea typeface="+mn-ea"/>
              <a:cs typeface="+mn-cs"/>
            </a:rPr>
            <a:t>	Although these data are not top secret, they should not unnecessarily fall into the hands of the competition.</a:t>
          </a:r>
          <a:br>
            <a:rPr lang="de-CH" sz="1000">
              <a:solidFill>
                <a:schemeClr val="dk1"/>
              </a:solidFill>
              <a:latin typeface="+mn-lt"/>
              <a:ea typeface="+mn-ea"/>
              <a:cs typeface="+mn-cs"/>
            </a:rPr>
          </a:br>
          <a:r>
            <a:rPr lang="de-CH" sz="1000" b="0">
              <a:solidFill>
                <a:schemeClr val="dk1"/>
              </a:solidFill>
              <a:latin typeface="+mn-lt"/>
              <a:ea typeface="+mn-ea"/>
              <a:cs typeface="+mn-cs"/>
            </a:rPr>
            <a:t>•</a:t>
          </a:r>
          <a:r>
            <a:rPr lang="de-CH" sz="1000">
              <a:solidFill>
                <a:schemeClr val="dk1"/>
              </a:solidFill>
              <a:latin typeface="+mn-lt"/>
              <a:ea typeface="+mn-ea"/>
              <a:cs typeface="+mn-cs"/>
            </a:rPr>
            <a:t> 	</a:t>
          </a:r>
          <a:r>
            <a:rPr lang="de-CH" sz="1000" b="1">
              <a:solidFill>
                <a:schemeClr val="dk1"/>
              </a:solidFill>
              <a:latin typeface="+mn-lt"/>
              <a:ea typeface="+mn-ea"/>
              <a:cs typeface="+mn-cs"/>
            </a:rPr>
            <a:t>Share</a:t>
          </a:r>
          <a:r>
            <a:rPr lang="de-CH" sz="1000" b="1" baseline="0">
              <a:solidFill>
                <a:schemeClr val="dk1"/>
              </a:solidFill>
              <a:latin typeface="+mn-lt"/>
              <a:ea typeface="+mn-ea"/>
              <a:cs typeface="+mn-cs"/>
            </a:rPr>
            <a:t> t</a:t>
          </a:r>
          <a:r>
            <a:rPr lang="de-CH" sz="1000" b="1">
              <a:solidFill>
                <a:schemeClr val="dk1"/>
              </a:solidFill>
              <a:latin typeface="+mn-lt"/>
              <a:ea typeface="+mn-ea"/>
              <a:cs typeface="+mn-cs"/>
            </a:rPr>
            <a:t>he table </a:t>
          </a:r>
          <a:r>
            <a:rPr lang="de-CH" sz="1000" b="1" i="1">
              <a:solidFill>
                <a:schemeClr val="dk1"/>
              </a:solidFill>
              <a:latin typeface="+mn-lt"/>
              <a:ea typeface="+mn-ea"/>
              <a:cs typeface="+mn-cs"/>
            </a:rPr>
            <a:t>Selection</a:t>
          </a:r>
          <a:r>
            <a:rPr lang="de-CH" sz="1000" b="1">
              <a:solidFill>
                <a:schemeClr val="dk1"/>
              </a:solidFill>
              <a:latin typeface="+mn-lt"/>
              <a:ea typeface="+mn-ea"/>
              <a:cs typeface="+mn-cs"/>
            </a:rPr>
            <a:t> pman-P0-qN only in exceptional cases with customers. Don't share is as Excel table but only as PDF!</a:t>
          </a:r>
          <a:br>
            <a:rPr lang="de-CH" sz="1000" b="1">
              <a:solidFill>
                <a:schemeClr val="dk1"/>
              </a:solidFill>
              <a:latin typeface="+mn-lt"/>
              <a:ea typeface="+mn-ea"/>
              <a:cs typeface="+mn-cs"/>
            </a:rPr>
          </a:br>
          <a:r>
            <a:rPr lang="de-CH" sz="1000" b="0">
              <a:solidFill>
                <a:schemeClr val="dk1"/>
              </a:solidFill>
              <a:latin typeface="+mn-lt"/>
              <a:ea typeface="+mn-ea"/>
              <a:cs typeface="+mn-cs"/>
            </a:rPr>
            <a:t>•</a:t>
          </a:r>
          <a:r>
            <a:rPr lang="de-CH" sz="1000" b="1">
              <a:solidFill>
                <a:schemeClr val="dk1"/>
              </a:solidFill>
              <a:latin typeface="+mn-lt"/>
              <a:ea typeface="+mn-ea"/>
              <a:cs typeface="+mn-cs"/>
            </a:rPr>
            <a:t> 	</a:t>
          </a:r>
          <a:r>
            <a:rPr lang="de-CH" sz="1000" b="1" i="0">
              <a:solidFill>
                <a:schemeClr val="dk1"/>
              </a:solidFill>
              <a:latin typeface="+mn-lt"/>
              <a:ea typeface="+mn-ea"/>
              <a:cs typeface="+mn-cs"/>
            </a:rPr>
            <a:t>The table </a:t>
          </a:r>
          <a:r>
            <a:rPr lang="de-CH" sz="1000" b="1" i="1">
              <a:solidFill>
                <a:schemeClr val="dk1"/>
              </a:solidFill>
              <a:latin typeface="+mn-lt"/>
              <a:ea typeface="+mn-ea"/>
              <a:cs typeface="+mn-cs"/>
            </a:rPr>
            <a:t>Selection pman-P0-</a:t>
          </a:r>
          <a:r>
            <a:rPr lang="de-CH" sz="1000" b="1" i="0">
              <a:solidFill>
                <a:schemeClr val="dk1"/>
              </a:solidFill>
              <a:latin typeface="+mn-lt"/>
              <a:ea typeface="+mn-ea"/>
              <a:cs typeface="+mn-cs"/>
            </a:rPr>
            <a:t>Q can be shared with customers.</a:t>
          </a:r>
          <a:r>
            <a:rPr lang="de-CH" sz="1000" b="1" i="0" baseline="0">
              <a:solidFill>
                <a:schemeClr val="dk1"/>
              </a:solidFill>
              <a:latin typeface="+mn-lt"/>
              <a:ea typeface="+mn-ea"/>
              <a:cs typeface="+mn-cs"/>
            </a:rPr>
            <a:t> </a:t>
          </a:r>
          <a:r>
            <a:rPr lang="de-CH" sz="1000" b="1" i="0">
              <a:solidFill>
                <a:schemeClr val="dk1"/>
              </a:solidFill>
              <a:latin typeface="+mn-lt"/>
              <a:ea typeface="+mn-ea"/>
              <a:cs typeface="+mn-cs"/>
            </a:rPr>
            <a:t>Don't share is as Excel table but only as PDF!</a:t>
          </a:r>
          <a:endParaRPr lang="de-CH" sz="1000" b="1" i="0"/>
        </a:p>
      </xdr:txBody>
    </xdr:sp>
    <xdr:clientData/>
  </xdr:twoCellAnchor>
  <xdr:twoCellAnchor>
    <xdr:from>
      <xdr:col>0</xdr:col>
      <xdr:colOff>367391</xdr:colOff>
      <xdr:row>47</xdr:row>
      <xdr:rowOff>121107</xdr:rowOff>
    </xdr:from>
    <xdr:to>
      <xdr:col>17</xdr:col>
      <xdr:colOff>1535206</xdr:colOff>
      <xdr:row>63</xdr:row>
      <xdr:rowOff>57151</xdr:rowOff>
    </xdr:to>
    <xdr:sp macro="" textlink="">
      <xdr:nvSpPr>
        <xdr:cNvPr id="12" name="Textfeld 12">
          <a:extLst>
            <a:ext uri="{FF2B5EF4-FFF2-40B4-BE49-F238E27FC236}">
              <a16:creationId xmlns:a16="http://schemas.microsoft.com/office/drawing/2014/main" id="{00000000-0008-0000-1A00-00000C000000}"/>
            </a:ext>
          </a:extLst>
        </xdr:cNvPr>
        <xdr:cNvSpPr txBox="1"/>
      </xdr:nvSpPr>
      <xdr:spPr>
        <a:xfrm>
          <a:off x="367391" y="8198307"/>
          <a:ext cx="15731540" cy="2526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000">
              <a:solidFill>
                <a:schemeClr val="dk1"/>
              </a:solidFill>
              <a:latin typeface="+mn-lt"/>
              <a:ea typeface="+mn-ea"/>
              <a:cs typeface="+mn-cs"/>
            </a:rPr>
            <a:t>Certain membre du personnel de IMI Hydronic Engineering souhaite chaque fois la publication des courbes de performances des Compresso et Transfero. Elles sont parfois demandées par le client comme preuve. Dans les brochures et les documents de planification ces courbes sont données sous forme de tableau avec HST = f (Q), dans Hyselect comme caractéristiques p0 = f (QN).</a:t>
          </a:r>
          <a:endParaRPr lang="de-CH" sz="1000">
            <a:solidFill>
              <a:schemeClr val="dk1"/>
            </a:solidFill>
            <a:latin typeface="+mn-lt"/>
            <a:ea typeface="+mn-ea"/>
            <a:cs typeface="+mn-cs"/>
          </a:endParaRPr>
        </a:p>
        <a:p>
          <a:r>
            <a:rPr lang="fr-FR" sz="1000">
              <a:solidFill>
                <a:schemeClr val="dk1"/>
              </a:solidFill>
              <a:latin typeface="+mn-lt"/>
              <a:ea typeface="+mn-ea"/>
              <a:cs typeface="+mn-cs"/>
            </a:rPr>
            <a:t>Les courbes ont étés calculées sur base des types de pompes ou compresseurs utilisés et en tenant compte des limites de puissance des conduites de décharge. Les pertes de charge hydrauliques dans la TecBox (vannes, orifices, conduites …) sont prisent en charge.</a:t>
          </a:r>
          <a:br>
            <a:rPr lang="fr-FR" sz="1000">
              <a:solidFill>
                <a:schemeClr val="dk1"/>
              </a:solidFill>
              <a:latin typeface="+mn-lt"/>
              <a:ea typeface="+mn-ea"/>
              <a:cs typeface="+mn-cs"/>
            </a:rPr>
          </a:br>
          <a:r>
            <a:rPr lang="fr-FR" sz="1000">
              <a:solidFill>
                <a:schemeClr val="dk1"/>
              </a:solidFill>
              <a:latin typeface="+mn-lt"/>
              <a:ea typeface="+mn-ea"/>
              <a:cs typeface="+mn-cs"/>
            </a:rPr>
            <a:t>Sur Intranet vous trouverez maintenant les courbes pour toutes les TecBoxes actuelles de Compresso et Transfero. Veuillez prêter attention aux indications suivantes:</a:t>
          </a:r>
          <a:r>
            <a:rPr lang="de-CH" sz="1000">
              <a:solidFill>
                <a:schemeClr val="dk1"/>
              </a:solidFill>
              <a:latin typeface="+mn-lt"/>
              <a:ea typeface="+mn-ea"/>
              <a:cs typeface="+mn-cs"/>
            </a:rPr>
            <a:t> </a:t>
          </a:r>
        </a:p>
        <a:p>
          <a:pPr lvl="0"/>
          <a:r>
            <a:rPr lang="fr-FR" sz="1100" b="1" u="sng">
              <a:solidFill>
                <a:schemeClr val="dk1"/>
              </a:solidFill>
              <a:latin typeface="+mn-lt"/>
              <a:ea typeface="+mn-ea"/>
              <a:cs typeface="+mn-cs"/>
            </a:rPr>
            <a:t>Utilisation général</a:t>
          </a:r>
        </a:p>
        <a:p>
          <a:pPr lvl="0"/>
          <a:r>
            <a:rPr lang="de-CH" sz="1100" b="0">
              <a:solidFill>
                <a:schemeClr val="dk1"/>
              </a:solidFill>
              <a:latin typeface="+mn-lt"/>
              <a:ea typeface="+mn-ea"/>
              <a:cs typeface="+mn-cs"/>
            </a:rPr>
            <a:t>• </a:t>
          </a:r>
          <a:r>
            <a:rPr lang="de-CH" sz="1100">
              <a:solidFill>
                <a:schemeClr val="dk1"/>
              </a:solidFill>
              <a:latin typeface="+mn-lt"/>
              <a:ea typeface="+mn-ea"/>
              <a:cs typeface="+mn-cs"/>
            </a:rPr>
            <a:t>	</a:t>
          </a:r>
          <a:r>
            <a:rPr lang="fr-FR" sz="1000">
              <a:solidFill>
                <a:schemeClr val="dk1"/>
              </a:solidFill>
              <a:latin typeface="+mn-lt"/>
              <a:ea typeface="+mn-ea"/>
              <a:cs typeface="+mn-cs"/>
            </a:rPr>
            <a:t>Les courbes sont prises dans les tableaux Excel et représentées dans Sélection pman-p0-Q.</a:t>
          </a:r>
          <a:endParaRPr lang="de-CH" sz="1000">
            <a:solidFill>
              <a:schemeClr val="dk1"/>
            </a:solidFill>
            <a:latin typeface="+mn-lt"/>
            <a:ea typeface="+mn-ea"/>
            <a:cs typeface="+mn-cs"/>
          </a:endParaRPr>
        </a:p>
        <a:p>
          <a:pPr lvl="0"/>
          <a:r>
            <a:rPr lang="de-CH" sz="1100" b="0">
              <a:solidFill>
                <a:schemeClr val="dk1"/>
              </a:solidFill>
              <a:latin typeface="+mn-lt"/>
              <a:ea typeface="+mn-ea"/>
              <a:cs typeface="+mn-cs"/>
            </a:rPr>
            <a:t>• </a:t>
          </a:r>
          <a:r>
            <a:rPr lang="de-CH" sz="1100">
              <a:solidFill>
                <a:schemeClr val="dk1"/>
              </a:solidFill>
              <a:latin typeface="+mn-lt"/>
              <a:ea typeface="+mn-ea"/>
              <a:cs typeface="+mn-cs"/>
            </a:rPr>
            <a:t>	</a:t>
          </a:r>
          <a:r>
            <a:rPr lang="fr-FR" sz="1000">
              <a:solidFill>
                <a:schemeClr val="dk1"/>
              </a:solidFill>
              <a:latin typeface="+mn-lt"/>
              <a:ea typeface="+mn-ea"/>
              <a:cs typeface="+mn-cs"/>
            </a:rPr>
            <a:t>Vous pouvez télécharger les fichiers et les modifier.</a:t>
          </a:r>
          <a:endParaRPr lang="de-CH" sz="1000">
            <a:solidFill>
              <a:schemeClr val="dk1"/>
            </a:solidFill>
            <a:latin typeface="+mn-lt"/>
            <a:ea typeface="+mn-ea"/>
            <a:cs typeface="+mn-cs"/>
          </a:endParaRPr>
        </a:p>
        <a:p>
          <a:pPr lvl="0"/>
          <a:r>
            <a:rPr lang="de-CH" sz="1100" b="0">
              <a:solidFill>
                <a:schemeClr val="dk1"/>
              </a:solidFill>
              <a:latin typeface="+mn-lt"/>
              <a:ea typeface="+mn-ea"/>
              <a:cs typeface="+mn-cs"/>
            </a:rPr>
            <a:t>• </a:t>
          </a:r>
          <a:r>
            <a:rPr lang="de-CH" sz="1100">
              <a:solidFill>
                <a:schemeClr val="dk1"/>
              </a:solidFill>
              <a:latin typeface="+mn-lt"/>
              <a:ea typeface="+mn-ea"/>
              <a:cs typeface="+mn-cs"/>
            </a:rPr>
            <a:t>	</a:t>
          </a:r>
          <a:r>
            <a:rPr lang="fr-FR" sz="1000" b="1">
              <a:solidFill>
                <a:schemeClr val="dk1"/>
              </a:solidFill>
              <a:latin typeface="+mn-lt"/>
              <a:ea typeface="+mn-ea"/>
              <a:cs typeface="+mn-cs"/>
            </a:rPr>
            <a:t>Pour chaque application téléchargez à nouveau les fichiers sur Intranet, ils sont ainsi toujours à jour. Ne pas utiliser des fichiers saufgardés.</a:t>
          </a:r>
          <a:endParaRPr lang="de-CH" sz="1000" b="1">
            <a:solidFill>
              <a:schemeClr val="dk1"/>
            </a:solidFill>
            <a:latin typeface="+mn-lt"/>
            <a:ea typeface="+mn-ea"/>
            <a:cs typeface="+mn-cs"/>
          </a:endParaRPr>
        </a:p>
        <a:p>
          <a:pPr lvl="0"/>
          <a:r>
            <a:rPr lang="de-CH" sz="1100" b="0">
              <a:solidFill>
                <a:schemeClr val="dk1"/>
              </a:solidFill>
              <a:latin typeface="+mn-lt"/>
              <a:ea typeface="+mn-ea"/>
              <a:cs typeface="+mn-cs"/>
            </a:rPr>
            <a:t>• </a:t>
          </a:r>
          <a:r>
            <a:rPr lang="de-CH" sz="1100">
              <a:solidFill>
                <a:schemeClr val="dk1"/>
              </a:solidFill>
              <a:latin typeface="+mn-lt"/>
              <a:ea typeface="+mn-ea"/>
              <a:cs typeface="+mn-cs"/>
            </a:rPr>
            <a:t>	</a:t>
          </a:r>
          <a:r>
            <a:rPr lang="fr-FR" sz="1000" b="1">
              <a:solidFill>
                <a:schemeClr val="dk1"/>
              </a:solidFill>
              <a:latin typeface="+mn-lt"/>
              <a:ea typeface="+mn-ea"/>
              <a:cs typeface="+mn-cs"/>
            </a:rPr>
            <a:t>Changez uniquement les valeurs marquées en bleu dans le cadre entrées suivant les données de l’installation.</a:t>
          </a:r>
          <a:endParaRPr lang="de-CH" sz="1000" b="1">
            <a:solidFill>
              <a:schemeClr val="dk1"/>
            </a:solidFill>
            <a:latin typeface="+mn-lt"/>
            <a:ea typeface="+mn-ea"/>
            <a:cs typeface="+mn-cs"/>
          </a:endParaRPr>
        </a:p>
        <a:p>
          <a:pPr lvl="0"/>
          <a:r>
            <a:rPr lang="de-CH" sz="1100" b="0">
              <a:solidFill>
                <a:schemeClr val="dk1"/>
              </a:solidFill>
              <a:latin typeface="+mn-lt"/>
              <a:ea typeface="+mn-ea"/>
              <a:cs typeface="+mn-cs"/>
            </a:rPr>
            <a:t>• </a:t>
          </a:r>
          <a:r>
            <a:rPr lang="de-CH" sz="1100">
              <a:solidFill>
                <a:schemeClr val="dk1"/>
              </a:solidFill>
              <a:latin typeface="+mn-lt"/>
              <a:ea typeface="+mn-ea"/>
              <a:cs typeface="+mn-cs"/>
            </a:rPr>
            <a:t>	</a:t>
          </a:r>
          <a:r>
            <a:rPr lang="fr-FR" sz="1000" b="1">
              <a:solidFill>
                <a:schemeClr val="dk1"/>
              </a:solidFill>
              <a:latin typeface="+mn-lt"/>
              <a:ea typeface="+mn-ea"/>
              <a:cs typeface="+mn-cs"/>
            </a:rPr>
            <a:t>Ne pas changez les valeurs des tableaux et en particulier dans „Données“. Ceci amènera à de faux résultats.</a:t>
          </a:r>
          <a:endParaRPr lang="de-CH" sz="1000" b="1">
            <a:solidFill>
              <a:schemeClr val="dk1"/>
            </a:solidFill>
            <a:latin typeface="+mn-lt"/>
            <a:ea typeface="+mn-ea"/>
            <a:cs typeface="+mn-cs"/>
          </a:endParaRPr>
        </a:p>
        <a:p>
          <a:pPr lvl="0"/>
          <a:r>
            <a:rPr lang="de-CH" sz="1100" b="0">
              <a:solidFill>
                <a:schemeClr val="dk1"/>
              </a:solidFill>
              <a:latin typeface="+mn-lt"/>
              <a:ea typeface="+mn-ea"/>
              <a:cs typeface="+mn-cs"/>
            </a:rPr>
            <a:t>• </a:t>
          </a:r>
          <a:r>
            <a:rPr lang="de-CH" sz="1100">
              <a:solidFill>
                <a:schemeClr val="dk1"/>
              </a:solidFill>
              <a:latin typeface="+mn-lt"/>
              <a:ea typeface="+mn-ea"/>
              <a:cs typeface="+mn-cs"/>
            </a:rPr>
            <a:t>	</a:t>
          </a:r>
          <a:r>
            <a:rPr lang="fr-FR" sz="1000" b="1">
              <a:solidFill>
                <a:schemeClr val="dk1"/>
              </a:solidFill>
              <a:latin typeface="+mn-lt"/>
              <a:ea typeface="+mn-ea"/>
              <a:cs typeface="+mn-cs"/>
            </a:rPr>
            <a:t>Ne pas transmettre le tableau „Données“ à des clients</a:t>
          </a:r>
          <a:r>
            <a:rPr lang="fr-FR" sz="1000">
              <a:solidFill>
                <a:schemeClr val="dk1"/>
              </a:solidFill>
              <a:latin typeface="+mn-lt"/>
              <a:ea typeface="+mn-ea"/>
              <a:cs typeface="+mn-cs"/>
            </a:rPr>
            <a:t>. Elle contient la formule pour le débit d’égalisation qN, la courbe digitalisée p0 = f(qN) ainsi que les relations entre la pression de vapeur en fonction de la température du contrôleur de sécurité TAZ et des additifs antigel Z.</a:t>
          </a:r>
          <a:br>
            <a:rPr lang="fr-FR" sz="1000">
              <a:solidFill>
                <a:schemeClr val="dk1"/>
              </a:solidFill>
              <a:latin typeface="+mn-lt"/>
              <a:ea typeface="+mn-ea"/>
              <a:cs typeface="+mn-cs"/>
            </a:rPr>
          </a:br>
          <a:r>
            <a:rPr lang="fr-FR" sz="1000">
              <a:solidFill>
                <a:schemeClr val="dk1"/>
              </a:solidFill>
              <a:latin typeface="+mn-lt"/>
              <a:ea typeface="+mn-ea"/>
              <a:cs typeface="+mn-cs"/>
            </a:rPr>
            <a:t>	Ces données ne sont certes pas tenues secrètes, mais ne doivent pas arriver dans les mains des concurrents.</a:t>
          </a:r>
          <a:endParaRPr lang="de-CH" sz="1000">
            <a:solidFill>
              <a:schemeClr val="dk1"/>
            </a:solidFill>
            <a:latin typeface="+mn-lt"/>
            <a:ea typeface="+mn-ea"/>
            <a:cs typeface="+mn-cs"/>
          </a:endParaRPr>
        </a:p>
        <a:p>
          <a:pPr lvl="0"/>
          <a:r>
            <a:rPr lang="de-CH" sz="1100" b="0">
              <a:solidFill>
                <a:schemeClr val="dk1"/>
              </a:solidFill>
              <a:latin typeface="+mn-lt"/>
              <a:ea typeface="+mn-ea"/>
              <a:cs typeface="+mn-cs"/>
            </a:rPr>
            <a:t>• </a:t>
          </a:r>
          <a:r>
            <a:rPr lang="de-CH" sz="1100">
              <a:solidFill>
                <a:schemeClr val="dk1"/>
              </a:solidFill>
              <a:latin typeface="+mn-lt"/>
              <a:ea typeface="+mn-ea"/>
              <a:cs typeface="+mn-cs"/>
            </a:rPr>
            <a:t>	</a:t>
          </a:r>
          <a:r>
            <a:rPr lang="fr-FR" sz="1000" b="1">
              <a:solidFill>
                <a:schemeClr val="dk1"/>
              </a:solidFill>
              <a:latin typeface="+mn-lt"/>
              <a:ea typeface="+mn-ea"/>
              <a:cs typeface="+mn-cs"/>
            </a:rPr>
            <a:t>Exceptionnellement remettre au client le tableau </a:t>
          </a:r>
          <a:r>
            <a:rPr lang="de-CH" sz="1000" b="1">
              <a:solidFill>
                <a:schemeClr val="dk1"/>
              </a:solidFill>
              <a:latin typeface="+mn-lt"/>
              <a:ea typeface="+mn-ea"/>
              <a:cs typeface="+mn-cs"/>
            </a:rPr>
            <a:t>pman-p0-qN sous forme PDF, pas sous forme Excel.</a:t>
          </a:r>
        </a:p>
        <a:p>
          <a:pPr lvl="0"/>
          <a:r>
            <a:rPr lang="de-CH" sz="1100" b="0">
              <a:solidFill>
                <a:schemeClr val="dk1"/>
              </a:solidFill>
              <a:latin typeface="+mn-lt"/>
              <a:ea typeface="+mn-ea"/>
              <a:cs typeface="+mn-cs"/>
            </a:rPr>
            <a:t>• </a:t>
          </a:r>
          <a:r>
            <a:rPr lang="de-CH" sz="1100">
              <a:solidFill>
                <a:schemeClr val="dk1"/>
              </a:solidFill>
              <a:latin typeface="+mn-lt"/>
              <a:ea typeface="+mn-ea"/>
              <a:cs typeface="+mn-cs"/>
            </a:rPr>
            <a:t>	</a:t>
          </a:r>
          <a:r>
            <a:rPr lang="fr-FR" sz="1000" b="1">
              <a:solidFill>
                <a:schemeClr val="dk1"/>
              </a:solidFill>
              <a:latin typeface="+mn-lt"/>
              <a:ea typeface="+mn-ea"/>
              <a:cs typeface="+mn-cs"/>
            </a:rPr>
            <a:t>Le tableau pman-p0-Q peut être remit au client sous forme PDF, mais pas sous forme Excel. </a:t>
          </a:r>
          <a:endParaRPr lang="de-CH" sz="1000" b="1">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47626</xdr:colOff>
      <xdr:row>241</xdr:row>
      <xdr:rowOff>66675</xdr:rowOff>
    </xdr:from>
    <xdr:to>
      <xdr:col>10</xdr:col>
      <xdr:colOff>695325</xdr:colOff>
      <xdr:row>252</xdr:row>
      <xdr:rowOff>205001</xdr:rowOff>
    </xdr:to>
    <xdr:pic>
      <xdr:nvPicPr>
        <xdr:cNvPr id="6191" name="Picture 47">
          <a:extLst>
            <a:ext uri="{FF2B5EF4-FFF2-40B4-BE49-F238E27FC236}">
              <a16:creationId xmlns:a16="http://schemas.microsoft.com/office/drawing/2014/main" id="{00000000-0008-0000-0200-00002F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0226" y="48796575"/>
          <a:ext cx="3933824" cy="2548151"/>
        </a:xfrm>
        <a:prstGeom prst="rect">
          <a:avLst/>
        </a:prstGeom>
        <a:noFill/>
      </xdr:spPr>
    </xdr:pic>
    <xdr:clientData/>
  </xdr:twoCellAnchor>
  <xdr:twoCellAnchor>
    <xdr:from>
      <xdr:col>3</xdr:col>
      <xdr:colOff>295276</xdr:colOff>
      <xdr:row>242</xdr:row>
      <xdr:rowOff>142876</xdr:rowOff>
    </xdr:from>
    <xdr:to>
      <xdr:col>5</xdr:col>
      <xdr:colOff>28575</xdr:colOff>
      <xdr:row>242</xdr:row>
      <xdr:rowOff>200025</xdr:rowOff>
    </xdr:to>
    <xdr:cxnSp macro="">
      <xdr:nvCxnSpPr>
        <xdr:cNvPr id="7" name="Łącznik prosty ze strzałką 6">
          <a:extLst>
            <a:ext uri="{FF2B5EF4-FFF2-40B4-BE49-F238E27FC236}">
              <a16:creationId xmlns:a16="http://schemas.microsoft.com/office/drawing/2014/main" id="{00000000-0008-0000-0200-000007000000}"/>
            </a:ext>
          </a:extLst>
        </xdr:cNvPr>
        <xdr:cNvCxnSpPr/>
      </xdr:nvCxnSpPr>
      <xdr:spPr>
        <a:xfrm flipH="1" flipV="1">
          <a:off x="1533526" y="49091851"/>
          <a:ext cx="819149" cy="5714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256190</xdr:colOff>
      <xdr:row>248</xdr:row>
      <xdr:rowOff>111673</xdr:rowOff>
    </xdr:from>
    <xdr:to>
      <xdr:col>4</xdr:col>
      <xdr:colOff>57150</xdr:colOff>
      <xdr:row>248</xdr:row>
      <xdr:rowOff>142875</xdr:rowOff>
    </xdr:to>
    <xdr:cxnSp macro="">
      <xdr:nvCxnSpPr>
        <xdr:cNvPr id="8" name="Łącznik prosty ze strzałką 7">
          <a:extLst>
            <a:ext uri="{FF2B5EF4-FFF2-40B4-BE49-F238E27FC236}">
              <a16:creationId xmlns:a16="http://schemas.microsoft.com/office/drawing/2014/main" id="{00000000-0008-0000-0200-000008000000}"/>
            </a:ext>
          </a:extLst>
        </xdr:cNvPr>
        <xdr:cNvCxnSpPr/>
      </xdr:nvCxnSpPr>
      <xdr:spPr>
        <a:xfrm flipH="1" flipV="1">
          <a:off x="1494440" y="50375098"/>
          <a:ext cx="315310" cy="3120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152400</xdr:colOff>
      <xdr:row>242</xdr:row>
      <xdr:rowOff>105105</xdr:rowOff>
    </xdr:from>
    <xdr:to>
      <xdr:col>11</xdr:col>
      <xdr:colOff>420414</xdr:colOff>
      <xdr:row>242</xdr:row>
      <xdr:rowOff>190500</xdr:rowOff>
    </xdr:to>
    <xdr:cxnSp macro="">
      <xdr:nvCxnSpPr>
        <xdr:cNvPr id="9" name="Łącznik prosty ze strzałką 8">
          <a:extLst>
            <a:ext uri="{FF2B5EF4-FFF2-40B4-BE49-F238E27FC236}">
              <a16:creationId xmlns:a16="http://schemas.microsoft.com/office/drawing/2014/main" id="{00000000-0008-0000-0200-000009000000}"/>
            </a:ext>
          </a:extLst>
        </xdr:cNvPr>
        <xdr:cNvCxnSpPr/>
      </xdr:nvCxnSpPr>
      <xdr:spPr>
        <a:xfrm flipV="1">
          <a:off x="5191125" y="49054080"/>
          <a:ext cx="982389" cy="8539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40728</xdr:colOff>
      <xdr:row>248</xdr:row>
      <xdr:rowOff>111673</xdr:rowOff>
    </xdr:from>
    <xdr:to>
      <xdr:col>11</xdr:col>
      <xdr:colOff>413845</xdr:colOff>
      <xdr:row>248</xdr:row>
      <xdr:rowOff>126125</xdr:rowOff>
    </xdr:to>
    <xdr:cxnSp macro="">
      <xdr:nvCxnSpPr>
        <xdr:cNvPr id="10" name="Łącznik prosty ze strzałką 9">
          <a:extLst>
            <a:ext uri="{FF2B5EF4-FFF2-40B4-BE49-F238E27FC236}">
              <a16:creationId xmlns:a16="http://schemas.microsoft.com/office/drawing/2014/main" id="{00000000-0008-0000-0200-00000A000000}"/>
            </a:ext>
          </a:extLst>
        </xdr:cNvPr>
        <xdr:cNvCxnSpPr/>
      </xdr:nvCxnSpPr>
      <xdr:spPr>
        <a:xfrm flipV="1">
          <a:off x="5793828" y="48841573"/>
          <a:ext cx="373117" cy="1445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428625</xdr:colOff>
      <xdr:row>245</xdr:row>
      <xdr:rowOff>104775</xdr:rowOff>
    </xdr:from>
    <xdr:to>
      <xdr:col>4</xdr:col>
      <xdr:colOff>326713</xdr:colOff>
      <xdr:row>247</xdr:row>
      <xdr:rowOff>206291</xdr:rowOff>
    </xdr:to>
    <xdr:pic>
      <xdr:nvPicPr>
        <xdr:cNvPr id="11" name="Picture 5">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66875" y="50587275"/>
          <a:ext cx="412438" cy="539666"/>
        </a:xfrm>
        <a:prstGeom prst="rect">
          <a:avLst/>
        </a:prstGeom>
        <a:noFill/>
        <a:ln w="12700" algn="ctr">
          <a:noFill/>
          <a:miter lim="800000"/>
          <a:headEnd/>
          <a:tailEnd/>
        </a:ln>
      </xdr:spPr>
    </xdr:pic>
    <xdr:clientData/>
  </xdr:twoCellAnchor>
  <xdr:twoCellAnchor editAs="oneCell">
    <xdr:from>
      <xdr:col>5</xdr:col>
      <xdr:colOff>28575</xdr:colOff>
      <xdr:row>240</xdr:row>
      <xdr:rowOff>19050</xdr:rowOff>
    </xdr:from>
    <xdr:to>
      <xdr:col>5</xdr:col>
      <xdr:colOff>409574</xdr:colOff>
      <xdr:row>242</xdr:row>
      <xdr:rowOff>113286</xdr:rowOff>
    </xdr:to>
    <xdr:pic>
      <xdr:nvPicPr>
        <xdr:cNvPr id="12" name="Picture 4">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352675" y="49406175"/>
          <a:ext cx="380999" cy="532386"/>
        </a:xfrm>
        <a:prstGeom prst="rect">
          <a:avLst/>
        </a:prstGeom>
        <a:noFill/>
        <a:ln w="12700" algn="ctr">
          <a:noFill/>
          <a:miter lim="800000"/>
          <a:headEnd/>
          <a:tailEnd/>
        </a:ln>
      </xdr:spPr>
    </xdr:pic>
    <xdr:clientData/>
  </xdr:twoCellAnchor>
  <xdr:twoCellAnchor editAs="oneCell">
    <xdr:from>
      <xdr:col>9</xdr:col>
      <xdr:colOff>314325</xdr:colOff>
      <xdr:row>240</xdr:row>
      <xdr:rowOff>28575</xdr:rowOff>
    </xdr:from>
    <xdr:to>
      <xdr:col>10</xdr:col>
      <xdr:colOff>111582</xdr:colOff>
      <xdr:row>242</xdr:row>
      <xdr:rowOff>123825</xdr:rowOff>
    </xdr:to>
    <xdr:pic>
      <xdr:nvPicPr>
        <xdr:cNvPr id="13" name="Picture 3">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772025" y="49415700"/>
          <a:ext cx="378282" cy="533400"/>
        </a:xfrm>
        <a:prstGeom prst="rect">
          <a:avLst/>
        </a:prstGeom>
        <a:noFill/>
        <a:ln w="12700" algn="ctr">
          <a:noFill/>
          <a:miter lim="800000"/>
          <a:headEnd/>
          <a:tailEnd/>
        </a:ln>
      </xdr:spPr>
    </xdr:pic>
    <xdr:clientData/>
  </xdr:twoCellAnchor>
  <xdr:twoCellAnchor>
    <xdr:from>
      <xdr:col>1</xdr:col>
      <xdr:colOff>123825</xdr:colOff>
      <xdr:row>254</xdr:row>
      <xdr:rowOff>95250</xdr:rowOff>
    </xdr:from>
    <xdr:to>
      <xdr:col>11</xdr:col>
      <xdr:colOff>200025</xdr:colOff>
      <xdr:row>259</xdr:row>
      <xdr:rowOff>142875</xdr:rowOff>
    </xdr:to>
    <xdr:sp macro="" textlink="">
      <xdr:nvSpPr>
        <xdr:cNvPr id="14" name="Prostokąt 13">
          <a:extLst>
            <a:ext uri="{FF2B5EF4-FFF2-40B4-BE49-F238E27FC236}">
              <a16:creationId xmlns:a16="http://schemas.microsoft.com/office/drawing/2014/main" id="{00000000-0008-0000-0200-00000E000000}"/>
            </a:ext>
          </a:extLst>
        </xdr:cNvPr>
        <xdr:cNvSpPr/>
      </xdr:nvSpPr>
      <xdr:spPr>
        <a:xfrm>
          <a:off x="781050" y="56273700"/>
          <a:ext cx="5381625" cy="1143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l-PL" sz="1100"/>
        </a:p>
      </xdr:txBody>
    </xdr:sp>
    <xdr:clientData/>
  </xdr:twoCellAnchor>
  <xdr:twoCellAnchor editAs="oneCell">
    <xdr:from>
      <xdr:col>0</xdr:col>
      <xdr:colOff>0</xdr:colOff>
      <xdr:row>0</xdr:row>
      <xdr:rowOff>0</xdr:rowOff>
    </xdr:from>
    <xdr:to>
      <xdr:col>1</xdr:col>
      <xdr:colOff>19050</xdr:colOff>
      <xdr:row>1</xdr:row>
      <xdr:rowOff>575</xdr:rowOff>
    </xdr:to>
    <xdr:pic>
      <xdr:nvPicPr>
        <xdr:cNvPr id="15" name="Obraz 14" descr="Powrót.png">
          <a:hlinkClick xmlns:r="http://schemas.openxmlformats.org/officeDocument/2006/relationships" r:id="rId5"/>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6" cstate="print"/>
        <a:stretch>
          <a:fillRect/>
        </a:stretch>
      </xdr:blipFill>
      <xdr:spPr>
        <a:xfrm>
          <a:off x="0" y="0"/>
          <a:ext cx="676275" cy="663515"/>
        </a:xfrm>
        <a:prstGeom prst="rect">
          <a:avLst/>
        </a:prstGeom>
      </xdr:spPr>
    </xdr:pic>
    <xdr:clientData/>
  </xdr:twoCellAnchor>
  <xdr:twoCellAnchor editAs="oneCell">
    <xdr:from>
      <xdr:col>14</xdr:col>
      <xdr:colOff>676275</xdr:colOff>
      <xdr:row>166</xdr:row>
      <xdr:rowOff>19050</xdr:rowOff>
    </xdr:from>
    <xdr:to>
      <xdr:col>19</xdr:col>
      <xdr:colOff>447674</xdr:colOff>
      <xdr:row>174</xdr:row>
      <xdr:rowOff>211967</xdr:rowOff>
    </xdr:to>
    <xdr:pic>
      <xdr:nvPicPr>
        <xdr:cNvPr id="16" name="Picture 61">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8486775" y="35080575"/>
          <a:ext cx="3200399" cy="1945517"/>
        </a:xfrm>
        <a:prstGeom prst="rect">
          <a:avLst/>
        </a:prstGeom>
        <a:noFill/>
        <a:ln w="1">
          <a:noFill/>
          <a:miter lim="800000"/>
          <a:headEnd/>
          <a:tailEnd type="none" w="med" len="med"/>
        </a:ln>
        <a:effectLst/>
      </xdr:spPr>
    </xdr:pic>
    <xdr:clientData/>
  </xdr:twoCellAnchor>
  <xdr:twoCellAnchor editAs="oneCell">
    <xdr:from>
      <xdr:col>14</xdr:col>
      <xdr:colOff>666750</xdr:colOff>
      <xdr:row>176</xdr:row>
      <xdr:rowOff>9525</xdr:rowOff>
    </xdr:from>
    <xdr:to>
      <xdr:col>19</xdr:col>
      <xdr:colOff>432529</xdr:colOff>
      <xdr:row>183</xdr:row>
      <xdr:rowOff>186773</xdr:rowOff>
    </xdr:to>
    <xdr:pic>
      <xdr:nvPicPr>
        <xdr:cNvPr id="17" name="Picture 6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477250" y="37261800"/>
          <a:ext cx="3194779" cy="1710773"/>
        </a:xfrm>
        <a:prstGeom prst="rect">
          <a:avLst/>
        </a:prstGeom>
        <a:noFill/>
      </xdr:spPr>
    </xdr:pic>
    <xdr:clientData/>
  </xdr:twoCellAnchor>
  <xdr:twoCellAnchor editAs="oneCell">
    <xdr:from>
      <xdr:col>13</xdr:col>
      <xdr:colOff>0</xdr:colOff>
      <xdr:row>1</xdr:row>
      <xdr:rowOff>0</xdr:rowOff>
    </xdr:from>
    <xdr:to>
      <xdr:col>21</xdr:col>
      <xdr:colOff>247650</xdr:colOff>
      <xdr:row>13</xdr:row>
      <xdr:rowOff>47625</xdr:rowOff>
    </xdr:to>
    <xdr:pic>
      <xdr:nvPicPr>
        <xdr:cNvPr id="6200" name="Picture 56">
          <a:extLst>
            <a:ext uri="{FF2B5EF4-FFF2-40B4-BE49-F238E27FC236}">
              <a16:creationId xmlns:a16="http://schemas.microsoft.com/office/drawing/2014/main" id="{00000000-0008-0000-0200-00003818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7372350" y="666750"/>
          <a:ext cx="5486400" cy="2676525"/>
        </a:xfrm>
        <a:prstGeom prst="rect">
          <a:avLst/>
        </a:prstGeom>
        <a:noFill/>
      </xdr:spPr>
    </xdr:pic>
    <xdr:clientData/>
  </xdr:twoCellAnchor>
  <xdr:twoCellAnchor>
    <xdr:from>
      <xdr:col>1</xdr:col>
      <xdr:colOff>0</xdr:colOff>
      <xdr:row>0</xdr:row>
      <xdr:rowOff>14021</xdr:rowOff>
    </xdr:from>
    <xdr:to>
      <xdr:col>13</xdr:col>
      <xdr:colOff>9525</xdr:colOff>
      <xdr:row>1</xdr:row>
      <xdr:rowOff>0</xdr:rowOff>
    </xdr:to>
    <xdr:sp macro="" textlink="">
      <xdr:nvSpPr>
        <xdr:cNvPr id="18" name="Rectangle 1">
          <a:extLst>
            <a:ext uri="{FF2B5EF4-FFF2-40B4-BE49-F238E27FC236}">
              <a16:creationId xmlns:a16="http://schemas.microsoft.com/office/drawing/2014/main" id="{00000000-0008-0000-0200-000012000000}"/>
            </a:ext>
          </a:extLst>
        </xdr:cNvPr>
        <xdr:cNvSpPr/>
      </xdr:nvSpPr>
      <xdr:spPr>
        <a:xfrm>
          <a:off x="657225" y="14021"/>
          <a:ext cx="6629400" cy="652729"/>
        </a:xfrm>
        <a:prstGeom prst="rect">
          <a:avLst/>
        </a:prstGeom>
        <a:gradFill flip="none" rotWithShape="1">
          <a:gsLst>
            <a:gs pos="0">
              <a:srgbClr val="EF7D00"/>
            </a:gs>
            <a:gs pos="100000">
              <a:srgbClr val="C74F07"/>
            </a:gs>
          </a:gsLst>
          <a:lin ang="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wrap="square" lIns="360000" tIns="360000" rIns="91417" bIns="108000" rtlCol="0" anchor="ctr"/>
        <a:lstStyle>
          <a:defPPr>
            <a:defRPr lang="en-US"/>
          </a:defPPr>
          <a:lvl1pPr marL="0" algn="l" defTabSz="510683" rtl="0" eaLnBrk="1" latinLnBrk="0" hangingPunct="1">
            <a:defRPr sz="2000" kern="1200">
              <a:solidFill>
                <a:schemeClr val="lt1"/>
              </a:solidFill>
              <a:latin typeface="+mn-lt"/>
              <a:ea typeface="+mn-ea"/>
              <a:cs typeface="+mn-cs"/>
            </a:defRPr>
          </a:lvl1pPr>
          <a:lvl2pPr marL="510683" algn="l" defTabSz="510683" rtl="0" eaLnBrk="1" latinLnBrk="0" hangingPunct="1">
            <a:defRPr sz="2000" kern="1200">
              <a:solidFill>
                <a:schemeClr val="lt1"/>
              </a:solidFill>
              <a:latin typeface="+mn-lt"/>
              <a:ea typeface="+mn-ea"/>
              <a:cs typeface="+mn-cs"/>
            </a:defRPr>
          </a:lvl2pPr>
          <a:lvl3pPr marL="1021367" algn="l" defTabSz="510683" rtl="0" eaLnBrk="1" latinLnBrk="0" hangingPunct="1">
            <a:defRPr sz="2000" kern="1200">
              <a:solidFill>
                <a:schemeClr val="lt1"/>
              </a:solidFill>
              <a:latin typeface="+mn-lt"/>
              <a:ea typeface="+mn-ea"/>
              <a:cs typeface="+mn-cs"/>
            </a:defRPr>
          </a:lvl3pPr>
          <a:lvl4pPr marL="1532050" algn="l" defTabSz="510683" rtl="0" eaLnBrk="1" latinLnBrk="0" hangingPunct="1">
            <a:defRPr sz="2000" kern="1200">
              <a:solidFill>
                <a:schemeClr val="lt1"/>
              </a:solidFill>
              <a:latin typeface="+mn-lt"/>
              <a:ea typeface="+mn-ea"/>
              <a:cs typeface="+mn-cs"/>
            </a:defRPr>
          </a:lvl4pPr>
          <a:lvl5pPr marL="2042734" algn="l" defTabSz="510683" rtl="0" eaLnBrk="1" latinLnBrk="0" hangingPunct="1">
            <a:defRPr sz="2000" kern="1200">
              <a:solidFill>
                <a:schemeClr val="lt1"/>
              </a:solidFill>
              <a:latin typeface="+mn-lt"/>
              <a:ea typeface="+mn-ea"/>
              <a:cs typeface="+mn-cs"/>
            </a:defRPr>
          </a:lvl5pPr>
          <a:lvl6pPr marL="2553418" algn="l" defTabSz="510683" rtl="0" eaLnBrk="1" latinLnBrk="0" hangingPunct="1">
            <a:defRPr sz="2000" kern="1200">
              <a:solidFill>
                <a:schemeClr val="lt1"/>
              </a:solidFill>
              <a:latin typeface="+mn-lt"/>
              <a:ea typeface="+mn-ea"/>
              <a:cs typeface="+mn-cs"/>
            </a:defRPr>
          </a:lvl6pPr>
          <a:lvl7pPr marL="3064102" algn="l" defTabSz="510683" rtl="0" eaLnBrk="1" latinLnBrk="0" hangingPunct="1">
            <a:defRPr sz="2000" kern="1200">
              <a:solidFill>
                <a:schemeClr val="lt1"/>
              </a:solidFill>
              <a:latin typeface="+mn-lt"/>
              <a:ea typeface="+mn-ea"/>
              <a:cs typeface="+mn-cs"/>
            </a:defRPr>
          </a:lvl7pPr>
          <a:lvl8pPr marL="3574785" algn="l" defTabSz="510683" rtl="0" eaLnBrk="1" latinLnBrk="0" hangingPunct="1">
            <a:defRPr sz="2000" kern="1200">
              <a:solidFill>
                <a:schemeClr val="lt1"/>
              </a:solidFill>
              <a:latin typeface="+mn-lt"/>
              <a:ea typeface="+mn-ea"/>
              <a:cs typeface="+mn-cs"/>
            </a:defRPr>
          </a:lvl8pPr>
          <a:lvl9pPr marL="4085470" algn="l" defTabSz="510683" rtl="0" eaLnBrk="1" latinLnBrk="0" hangingPunct="1">
            <a:defRPr sz="2000" kern="1200">
              <a:solidFill>
                <a:schemeClr val="lt1"/>
              </a:solidFill>
              <a:latin typeface="+mn-lt"/>
              <a:ea typeface="+mn-ea"/>
              <a:cs typeface="+mn-cs"/>
            </a:defRPr>
          </a:lvl9pPr>
        </a:lstStyle>
        <a:p>
          <a:pPr marL="0" algn="l"/>
          <a:r>
            <a:rPr lang="pl-PL" sz="1800" baseline="0">
              <a:latin typeface="+mn-lt"/>
            </a:rPr>
            <a:t>Arkusz doboru </a:t>
          </a:r>
          <a:r>
            <a:rPr lang="pl-PL" sz="1800" b="1" baseline="0">
              <a:latin typeface="+mn-lt"/>
            </a:rPr>
            <a:t>naczynia wzbiorczego </a:t>
          </a:r>
          <a:r>
            <a:rPr lang="pl-PL" sz="1800" b="0" baseline="0">
              <a:latin typeface="+mn-lt"/>
            </a:rPr>
            <a:t>:</a:t>
          </a:r>
          <a:r>
            <a:rPr lang="pl-PL" sz="1800" baseline="0">
              <a:latin typeface="+mn-lt"/>
            </a:rPr>
            <a:t> PN-B-02414</a:t>
          </a:r>
          <a:endParaRPr lang="en-US" sz="1800" baseline="0">
            <a:latin typeface="+mn-lt"/>
          </a:endParaRPr>
        </a:p>
      </xdr:txBody>
    </xdr:sp>
    <xdr:clientData/>
  </xdr:twoCellAnchor>
  <xdr:twoCellAnchor editAs="oneCell">
    <xdr:from>
      <xdr:col>11</xdr:col>
      <xdr:colOff>206740</xdr:colOff>
      <xdr:row>0</xdr:row>
      <xdr:rowOff>0</xdr:rowOff>
    </xdr:from>
    <xdr:to>
      <xdr:col>13</xdr:col>
      <xdr:colOff>28575</xdr:colOff>
      <xdr:row>1</xdr:row>
      <xdr:rowOff>89799</xdr:rowOff>
    </xdr:to>
    <xdr:pic>
      <xdr:nvPicPr>
        <xdr:cNvPr id="19" name="Picture 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cstate="print"/>
        <a:stretch>
          <a:fillRect/>
        </a:stretch>
      </xdr:blipFill>
      <xdr:spPr>
        <a:xfrm>
          <a:off x="6169390" y="0"/>
          <a:ext cx="1136285" cy="756549"/>
        </a:xfrm>
        <a:prstGeom prst="rect">
          <a:avLst/>
        </a:prstGeom>
      </xdr:spPr>
    </xdr:pic>
    <xdr:clientData/>
  </xdr:twoCellAnchor>
  <xdr:twoCellAnchor editAs="oneCell">
    <xdr:from>
      <xdr:col>1</xdr:col>
      <xdr:colOff>9525</xdr:colOff>
      <xdr:row>268</xdr:row>
      <xdr:rowOff>219074</xdr:rowOff>
    </xdr:from>
    <xdr:to>
      <xdr:col>13</xdr:col>
      <xdr:colOff>0</xdr:colOff>
      <xdr:row>271</xdr:row>
      <xdr:rowOff>115697</xdr:rowOff>
    </xdr:to>
    <xdr:pic>
      <xdr:nvPicPr>
        <xdr:cNvPr id="21" name="Picture 6">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0" y="59464574"/>
          <a:ext cx="6610350" cy="553848"/>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11</xdr:col>
          <xdr:colOff>335280</xdr:colOff>
          <xdr:row>7</xdr:row>
          <xdr:rowOff>83820</xdr:rowOff>
        </xdr:from>
        <xdr:to>
          <xdr:col>12</xdr:col>
          <xdr:colOff>0</xdr:colOff>
          <xdr:row>9</xdr:row>
          <xdr:rowOff>38100</xdr:rowOff>
        </xdr:to>
        <xdr:sp macro="" textlink="">
          <xdr:nvSpPr>
            <xdr:cNvPr id="6147" name="Spinner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9</xdr:row>
          <xdr:rowOff>83820</xdr:rowOff>
        </xdr:from>
        <xdr:to>
          <xdr:col>12</xdr:col>
          <xdr:colOff>0</xdr:colOff>
          <xdr:row>11</xdr:row>
          <xdr:rowOff>38100</xdr:rowOff>
        </xdr:to>
        <xdr:sp macro="" textlink="">
          <xdr:nvSpPr>
            <xdr:cNvPr id="6148" name="Spinner 4" hidden="1">
              <a:extLst>
                <a:ext uri="{63B3BB69-23CF-44E3-9099-C40C66FF867C}">
                  <a14:compatExt spid="_x0000_s6148"/>
                </a:ext>
                <a:ext uri="{FF2B5EF4-FFF2-40B4-BE49-F238E27FC236}">
                  <a16:creationId xmlns:a16="http://schemas.microsoft.com/office/drawing/2014/main" id="{00000000-0008-0000-0200-00000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17</xdr:row>
          <xdr:rowOff>99060</xdr:rowOff>
        </xdr:from>
        <xdr:to>
          <xdr:col>12</xdr:col>
          <xdr:colOff>0</xdr:colOff>
          <xdr:row>19</xdr:row>
          <xdr:rowOff>45720</xdr:rowOff>
        </xdr:to>
        <xdr:sp macro="" textlink="">
          <xdr:nvSpPr>
            <xdr:cNvPr id="6149" name="Spinner 5"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19</xdr:row>
          <xdr:rowOff>99060</xdr:rowOff>
        </xdr:from>
        <xdr:to>
          <xdr:col>12</xdr:col>
          <xdr:colOff>0</xdr:colOff>
          <xdr:row>21</xdr:row>
          <xdr:rowOff>45720</xdr:rowOff>
        </xdr:to>
        <xdr:sp macro="" textlink="">
          <xdr:nvSpPr>
            <xdr:cNvPr id="6150" name="Spinner 6" hidden="1">
              <a:extLst>
                <a:ext uri="{63B3BB69-23CF-44E3-9099-C40C66FF867C}">
                  <a14:compatExt spid="_x0000_s6150"/>
                </a:ext>
                <a:ext uri="{FF2B5EF4-FFF2-40B4-BE49-F238E27FC236}">
                  <a16:creationId xmlns:a16="http://schemas.microsoft.com/office/drawing/2014/main" id="{00000000-0008-0000-0200-00000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22</xdr:row>
          <xdr:rowOff>160020</xdr:rowOff>
        </xdr:from>
        <xdr:to>
          <xdr:col>12</xdr:col>
          <xdr:colOff>30480</xdr:colOff>
          <xdr:row>23</xdr:row>
          <xdr:rowOff>160020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45</xdr:row>
          <xdr:rowOff>83820</xdr:rowOff>
        </xdr:from>
        <xdr:to>
          <xdr:col>8</xdr:col>
          <xdr:colOff>114300</xdr:colOff>
          <xdr:row>48</xdr:row>
          <xdr:rowOff>7620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200-000008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99</xdr:row>
          <xdr:rowOff>99060</xdr:rowOff>
        </xdr:from>
        <xdr:to>
          <xdr:col>6</xdr:col>
          <xdr:colOff>182880</xdr:colOff>
          <xdr:row>102</xdr:row>
          <xdr:rowOff>22860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178</xdr:row>
          <xdr:rowOff>175260</xdr:rowOff>
        </xdr:from>
        <xdr:to>
          <xdr:col>4</xdr:col>
          <xdr:colOff>342900</xdr:colOff>
          <xdr:row>179</xdr:row>
          <xdr:rowOff>175260</xdr:rowOff>
        </xdr:to>
        <xdr:sp macro="" textlink="">
          <xdr:nvSpPr>
            <xdr:cNvPr id="6158" name="Drop Down 14" hidden="1">
              <a:extLst>
                <a:ext uri="{63B3BB69-23CF-44E3-9099-C40C66FF867C}">
                  <a14:compatExt spid="_x0000_s6158"/>
                </a:ext>
                <a:ext uri="{FF2B5EF4-FFF2-40B4-BE49-F238E27FC236}">
                  <a16:creationId xmlns:a16="http://schemas.microsoft.com/office/drawing/2014/main" id="{00000000-0008-0000-0200-00000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289560</xdr:colOff>
          <xdr:row>178</xdr:row>
          <xdr:rowOff>45720</xdr:rowOff>
        </xdr:from>
        <xdr:to>
          <xdr:col>8</xdr:col>
          <xdr:colOff>137160</xdr:colOff>
          <xdr:row>180</xdr:row>
          <xdr:rowOff>0</xdr:rowOff>
        </xdr:to>
        <xdr:sp macro="" textlink="">
          <xdr:nvSpPr>
            <xdr:cNvPr id="6159" name="Spinner 15" hidden="1">
              <a:extLst>
                <a:ext uri="{63B3BB69-23CF-44E3-9099-C40C66FF867C}">
                  <a14:compatExt spid="_x0000_s6159"/>
                </a:ext>
                <a:ext uri="{FF2B5EF4-FFF2-40B4-BE49-F238E27FC236}">
                  <a16:creationId xmlns:a16="http://schemas.microsoft.com/office/drawing/2014/main" id="{00000000-0008-0000-0200-00000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230</xdr:row>
          <xdr:rowOff>83820</xdr:rowOff>
        </xdr:from>
        <xdr:to>
          <xdr:col>6</xdr:col>
          <xdr:colOff>403860</xdr:colOff>
          <xdr:row>232</xdr:row>
          <xdr:rowOff>121920</xdr:rowOff>
        </xdr:to>
        <xdr:sp macro="" textlink="">
          <xdr:nvSpPr>
            <xdr:cNvPr id="6163" name="Object 19" hidden="1">
              <a:extLst>
                <a:ext uri="{63B3BB69-23CF-44E3-9099-C40C66FF867C}">
                  <a14:compatExt spid="_x0000_s6163"/>
                </a:ext>
                <a:ext uri="{FF2B5EF4-FFF2-40B4-BE49-F238E27FC236}">
                  <a16:creationId xmlns:a16="http://schemas.microsoft.com/office/drawing/2014/main" id="{00000000-0008-0000-0200-000013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213360</xdr:colOff>
          <xdr:row>57</xdr:row>
          <xdr:rowOff>0</xdr:rowOff>
        </xdr:from>
        <xdr:to>
          <xdr:col>5</xdr:col>
          <xdr:colOff>312420</xdr:colOff>
          <xdr:row>58</xdr:row>
          <xdr:rowOff>45720</xdr:rowOff>
        </xdr:to>
        <xdr:sp macro="" textlink="">
          <xdr:nvSpPr>
            <xdr:cNvPr id="6172" name="Object 28" hidden="1">
              <a:extLst>
                <a:ext uri="{63B3BB69-23CF-44E3-9099-C40C66FF867C}">
                  <a14:compatExt spid="_x0000_s6172"/>
                </a:ext>
                <a:ext uri="{FF2B5EF4-FFF2-40B4-BE49-F238E27FC236}">
                  <a16:creationId xmlns:a16="http://schemas.microsoft.com/office/drawing/2014/main" id="{00000000-0008-0000-0200-00001C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73</xdr:row>
          <xdr:rowOff>121920</xdr:rowOff>
        </xdr:from>
        <xdr:to>
          <xdr:col>5</xdr:col>
          <xdr:colOff>114300</xdr:colOff>
          <xdr:row>75</xdr:row>
          <xdr:rowOff>106680</xdr:rowOff>
        </xdr:to>
        <xdr:sp macro="" textlink="">
          <xdr:nvSpPr>
            <xdr:cNvPr id="6177" name="Object 33" hidden="1">
              <a:extLst>
                <a:ext uri="{63B3BB69-23CF-44E3-9099-C40C66FF867C}">
                  <a14:compatExt spid="_x0000_s6177"/>
                </a:ext>
                <a:ext uri="{FF2B5EF4-FFF2-40B4-BE49-F238E27FC236}">
                  <a16:creationId xmlns:a16="http://schemas.microsoft.com/office/drawing/2014/main" id="{00000000-0008-0000-0200-00002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86</xdr:row>
          <xdr:rowOff>22860</xdr:rowOff>
        </xdr:from>
        <xdr:to>
          <xdr:col>5</xdr:col>
          <xdr:colOff>312420</xdr:colOff>
          <xdr:row>87</xdr:row>
          <xdr:rowOff>30480</xdr:rowOff>
        </xdr:to>
        <xdr:sp macro="" textlink="">
          <xdr:nvSpPr>
            <xdr:cNvPr id="6178" name="Object 34" hidden="1">
              <a:extLst>
                <a:ext uri="{63B3BB69-23CF-44E3-9099-C40C66FF867C}">
                  <a14:compatExt spid="_x0000_s6178"/>
                </a:ext>
                <a:ext uri="{FF2B5EF4-FFF2-40B4-BE49-F238E27FC236}">
                  <a16:creationId xmlns:a16="http://schemas.microsoft.com/office/drawing/2014/main" id="{00000000-0008-0000-0200-000022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118</xdr:row>
          <xdr:rowOff>7620</xdr:rowOff>
        </xdr:from>
        <xdr:to>
          <xdr:col>6</xdr:col>
          <xdr:colOff>60960</xdr:colOff>
          <xdr:row>119</xdr:row>
          <xdr:rowOff>60960</xdr:rowOff>
        </xdr:to>
        <xdr:sp macro="" textlink="">
          <xdr:nvSpPr>
            <xdr:cNvPr id="6181" name="Object 37" hidden="1">
              <a:extLst>
                <a:ext uri="{63B3BB69-23CF-44E3-9099-C40C66FF867C}">
                  <a14:compatExt spid="_x0000_s6181"/>
                </a:ext>
                <a:ext uri="{FF2B5EF4-FFF2-40B4-BE49-F238E27FC236}">
                  <a16:creationId xmlns:a16="http://schemas.microsoft.com/office/drawing/2014/main" id="{00000000-0008-0000-0200-000025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135</xdr:row>
          <xdr:rowOff>160020</xdr:rowOff>
        </xdr:from>
        <xdr:to>
          <xdr:col>7</xdr:col>
          <xdr:colOff>350520</xdr:colOff>
          <xdr:row>141</xdr:row>
          <xdr:rowOff>99060</xdr:rowOff>
        </xdr:to>
        <xdr:sp macro="" textlink="">
          <xdr:nvSpPr>
            <xdr:cNvPr id="6184" name="Object 40" hidden="1">
              <a:extLst>
                <a:ext uri="{63B3BB69-23CF-44E3-9099-C40C66FF867C}">
                  <a14:compatExt spid="_x0000_s6184"/>
                </a:ext>
                <a:ext uri="{FF2B5EF4-FFF2-40B4-BE49-F238E27FC236}">
                  <a16:creationId xmlns:a16="http://schemas.microsoft.com/office/drawing/2014/main" id="{00000000-0008-0000-0200-000028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182880</xdr:colOff>
          <xdr:row>158</xdr:row>
          <xdr:rowOff>137160</xdr:rowOff>
        </xdr:from>
        <xdr:to>
          <xdr:col>7</xdr:col>
          <xdr:colOff>228600</xdr:colOff>
          <xdr:row>161</xdr:row>
          <xdr:rowOff>0</xdr:rowOff>
        </xdr:to>
        <xdr:sp macro="" textlink="">
          <xdr:nvSpPr>
            <xdr:cNvPr id="6187" name="Object 43" hidden="1">
              <a:extLst>
                <a:ext uri="{63B3BB69-23CF-44E3-9099-C40C66FF867C}">
                  <a14:compatExt spid="_x0000_s6187"/>
                </a:ext>
                <a:ext uri="{FF2B5EF4-FFF2-40B4-BE49-F238E27FC236}">
                  <a16:creationId xmlns:a16="http://schemas.microsoft.com/office/drawing/2014/main" id="{00000000-0008-0000-0200-00002B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188</xdr:row>
          <xdr:rowOff>99060</xdr:rowOff>
        </xdr:from>
        <xdr:to>
          <xdr:col>5</xdr:col>
          <xdr:colOff>76200</xdr:colOff>
          <xdr:row>189</xdr:row>
          <xdr:rowOff>152400</xdr:rowOff>
        </xdr:to>
        <xdr:sp macro="" textlink="">
          <xdr:nvSpPr>
            <xdr:cNvPr id="6188" name="Object 44" hidden="1">
              <a:extLst>
                <a:ext uri="{63B3BB69-23CF-44E3-9099-C40C66FF867C}">
                  <a14:compatExt spid="_x0000_s6188"/>
                </a:ext>
                <a:ext uri="{FF2B5EF4-FFF2-40B4-BE49-F238E27FC236}">
                  <a16:creationId xmlns:a16="http://schemas.microsoft.com/office/drawing/2014/main" id="{00000000-0008-0000-0200-00002C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403860</xdr:colOff>
          <xdr:row>203</xdr:row>
          <xdr:rowOff>160020</xdr:rowOff>
        </xdr:from>
        <xdr:to>
          <xdr:col>5</xdr:col>
          <xdr:colOff>266700</xdr:colOff>
          <xdr:row>205</xdr:row>
          <xdr:rowOff>30480</xdr:rowOff>
        </xdr:to>
        <xdr:sp macro="" textlink="">
          <xdr:nvSpPr>
            <xdr:cNvPr id="6189" name="Object 45" hidden="1">
              <a:extLst>
                <a:ext uri="{63B3BB69-23CF-44E3-9099-C40C66FF867C}">
                  <a14:compatExt spid="_x0000_s6189"/>
                </a:ext>
                <a:ext uri="{FF2B5EF4-FFF2-40B4-BE49-F238E27FC236}">
                  <a16:creationId xmlns:a16="http://schemas.microsoft.com/office/drawing/2014/main" id="{00000000-0008-0000-0200-00002D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24</xdr:row>
          <xdr:rowOff>106680</xdr:rowOff>
        </xdr:from>
        <xdr:to>
          <xdr:col>12</xdr:col>
          <xdr:colOff>0</xdr:colOff>
          <xdr:row>26</xdr:row>
          <xdr:rowOff>60960</xdr:rowOff>
        </xdr:to>
        <xdr:sp macro="" textlink="">
          <xdr:nvSpPr>
            <xdr:cNvPr id="6192" name="Spinner 48" hidden="1">
              <a:extLst>
                <a:ext uri="{63B3BB69-23CF-44E3-9099-C40C66FF867C}">
                  <a14:compatExt spid="_x0000_s6192"/>
                </a:ext>
                <a:ext uri="{FF2B5EF4-FFF2-40B4-BE49-F238E27FC236}">
                  <a16:creationId xmlns:a16="http://schemas.microsoft.com/office/drawing/2014/main" id="{00000000-0008-0000-0200-00003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11</xdr:row>
          <xdr:rowOff>83820</xdr:rowOff>
        </xdr:from>
        <xdr:to>
          <xdr:col>12</xdr:col>
          <xdr:colOff>0</xdr:colOff>
          <xdr:row>13</xdr:row>
          <xdr:rowOff>38100</xdr:rowOff>
        </xdr:to>
        <xdr:sp macro="" textlink="">
          <xdr:nvSpPr>
            <xdr:cNvPr id="6197" name="Spinner 53" hidden="1">
              <a:extLst>
                <a:ext uri="{63B3BB69-23CF-44E3-9099-C40C66FF867C}">
                  <a14:compatExt spid="_x0000_s6197"/>
                </a:ext>
                <a:ext uri="{FF2B5EF4-FFF2-40B4-BE49-F238E27FC236}">
                  <a16:creationId xmlns:a16="http://schemas.microsoft.com/office/drawing/2014/main" id="{00000000-0008-0000-0200-00003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14</xdr:row>
          <xdr:rowOff>7620</xdr:rowOff>
        </xdr:from>
        <xdr:to>
          <xdr:col>11</xdr:col>
          <xdr:colOff>556260</xdr:colOff>
          <xdr:row>15</xdr:row>
          <xdr:rowOff>22860</xdr:rowOff>
        </xdr:to>
        <xdr:sp macro="" textlink="">
          <xdr:nvSpPr>
            <xdr:cNvPr id="6198" name="Drop Down 54" hidden="1">
              <a:extLst>
                <a:ext uri="{63B3BB69-23CF-44E3-9099-C40C66FF867C}">
                  <a14:compatExt spid="_x0000_s6198"/>
                </a:ext>
                <a:ext uri="{FF2B5EF4-FFF2-40B4-BE49-F238E27FC236}">
                  <a16:creationId xmlns:a16="http://schemas.microsoft.com/office/drawing/2014/main" id="{00000000-0008-0000-0200-00003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476251</xdr:colOff>
      <xdr:row>199</xdr:row>
      <xdr:rowOff>190501</xdr:rowOff>
    </xdr:from>
    <xdr:to>
      <xdr:col>11</xdr:col>
      <xdr:colOff>38100</xdr:colOff>
      <xdr:row>211</xdr:row>
      <xdr:rowOff>178555</xdr:rowOff>
    </xdr:to>
    <xdr:pic>
      <xdr:nvPicPr>
        <xdr:cNvPr id="6" name="Picture 38">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1" y="47167801"/>
          <a:ext cx="4076699" cy="2616954"/>
        </a:xfrm>
        <a:prstGeom prst="rect">
          <a:avLst/>
        </a:prstGeom>
        <a:noFill/>
      </xdr:spPr>
    </xdr:pic>
    <xdr:clientData/>
  </xdr:twoCellAnchor>
  <xdr:twoCellAnchor>
    <xdr:from>
      <xdr:col>3</xdr:col>
      <xdr:colOff>295275</xdr:colOff>
      <xdr:row>201</xdr:row>
      <xdr:rowOff>142875</xdr:rowOff>
    </xdr:from>
    <xdr:to>
      <xdr:col>5</xdr:col>
      <xdr:colOff>38100</xdr:colOff>
      <xdr:row>201</xdr:row>
      <xdr:rowOff>152400</xdr:rowOff>
    </xdr:to>
    <xdr:cxnSp macro="">
      <xdr:nvCxnSpPr>
        <xdr:cNvPr id="7" name="Łącznik prosty ze strzałką 6">
          <a:extLst>
            <a:ext uri="{FF2B5EF4-FFF2-40B4-BE49-F238E27FC236}">
              <a16:creationId xmlns:a16="http://schemas.microsoft.com/office/drawing/2014/main" id="{00000000-0008-0000-0300-000007000000}"/>
            </a:ext>
          </a:extLst>
        </xdr:cNvPr>
        <xdr:cNvCxnSpPr/>
      </xdr:nvCxnSpPr>
      <xdr:spPr>
        <a:xfrm flipH="1" flipV="1">
          <a:off x="1533525" y="47558325"/>
          <a:ext cx="828675" cy="95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256189</xdr:colOff>
      <xdr:row>207</xdr:row>
      <xdr:rowOff>111673</xdr:rowOff>
    </xdr:from>
    <xdr:to>
      <xdr:col>4</xdr:col>
      <xdr:colOff>26276</xdr:colOff>
      <xdr:row>207</xdr:row>
      <xdr:rowOff>111673</xdr:rowOff>
    </xdr:to>
    <xdr:cxnSp macro="">
      <xdr:nvCxnSpPr>
        <xdr:cNvPr id="8" name="Łącznik prosty ze strzałką 7">
          <a:extLst>
            <a:ext uri="{FF2B5EF4-FFF2-40B4-BE49-F238E27FC236}">
              <a16:creationId xmlns:a16="http://schemas.microsoft.com/office/drawing/2014/main" id="{00000000-0008-0000-0300-000008000000}"/>
            </a:ext>
          </a:extLst>
        </xdr:cNvPr>
        <xdr:cNvCxnSpPr/>
      </xdr:nvCxnSpPr>
      <xdr:spPr>
        <a:xfrm flipH="1">
          <a:off x="1494439" y="48841573"/>
          <a:ext cx="284437"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118240</xdr:colOff>
      <xdr:row>201</xdr:row>
      <xdr:rowOff>105104</xdr:rowOff>
    </xdr:from>
    <xdr:to>
      <xdr:col>11</xdr:col>
      <xdr:colOff>420414</xdr:colOff>
      <xdr:row>201</xdr:row>
      <xdr:rowOff>170793</xdr:rowOff>
    </xdr:to>
    <xdr:cxnSp macro="">
      <xdr:nvCxnSpPr>
        <xdr:cNvPr id="9" name="Łącznik prosty ze strzałką 8">
          <a:extLst>
            <a:ext uri="{FF2B5EF4-FFF2-40B4-BE49-F238E27FC236}">
              <a16:creationId xmlns:a16="http://schemas.microsoft.com/office/drawing/2014/main" id="{00000000-0008-0000-0300-000009000000}"/>
            </a:ext>
          </a:extLst>
        </xdr:cNvPr>
        <xdr:cNvCxnSpPr/>
      </xdr:nvCxnSpPr>
      <xdr:spPr>
        <a:xfrm flipV="1">
          <a:off x="5156965" y="47520554"/>
          <a:ext cx="1016549" cy="6568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40728</xdr:colOff>
      <xdr:row>207</xdr:row>
      <xdr:rowOff>111673</xdr:rowOff>
    </xdr:from>
    <xdr:to>
      <xdr:col>11</xdr:col>
      <xdr:colOff>413845</xdr:colOff>
      <xdr:row>207</xdr:row>
      <xdr:rowOff>126125</xdr:rowOff>
    </xdr:to>
    <xdr:cxnSp macro="">
      <xdr:nvCxnSpPr>
        <xdr:cNvPr id="10" name="Łącznik prosty ze strzałką 9">
          <a:extLst>
            <a:ext uri="{FF2B5EF4-FFF2-40B4-BE49-F238E27FC236}">
              <a16:creationId xmlns:a16="http://schemas.microsoft.com/office/drawing/2014/main" id="{00000000-0008-0000-0300-00000A000000}"/>
            </a:ext>
          </a:extLst>
        </xdr:cNvPr>
        <xdr:cNvCxnSpPr/>
      </xdr:nvCxnSpPr>
      <xdr:spPr>
        <a:xfrm flipV="1">
          <a:off x="5793828" y="48841573"/>
          <a:ext cx="373117" cy="1445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381000</xdr:colOff>
      <xdr:row>204</xdr:row>
      <xdr:rowOff>104775</xdr:rowOff>
    </xdr:from>
    <xdr:to>
      <xdr:col>4</xdr:col>
      <xdr:colOff>279088</xdr:colOff>
      <xdr:row>206</xdr:row>
      <xdr:rowOff>206291</xdr:rowOff>
    </xdr:to>
    <xdr:pic>
      <xdr:nvPicPr>
        <xdr:cNvPr id="13" name="Picture 5">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19250" y="41738550"/>
          <a:ext cx="412438" cy="539666"/>
        </a:xfrm>
        <a:prstGeom prst="rect">
          <a:avLst/>
        </a:prstGeom>
        <a:noFill/>
        <a:ln w="12700" algn="ctr">
          <a:noFill/>
          <a:miter lim="800000"/>
          <a:headEnd/>
          <a:tailEnd/>
        </a:ln>
      </xdr:spPr>
    </xdr:pic>
    <xdr:clientData/>
  </xdr:twoCellAnchor>
  <xdr:twoCellAnchor editAs="oneCell">
    <xdr:from>
      <xdr:col>4</xdr:col>
      <xdr:colOff>504825</xdr:colOff>
      <xdr:row>198</xdr:row>
      <xdr:rowOff>209550</xdr:rowOff>
    </xdr:from>
    <xdr:to>
      <xdr:col>5</xdr:col>
      <xdr:colOff>314324</xdr:colOff>
      <xdr:row>201</xdr:row>
      <xdr:rowOff>84711</xdr:rowOff>
    </xdr:to>
    <xdr:pic>
      <xdr:nvPicPr>
        <xdr:cNvPr id="14" name="Picture 4">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257425" y="40528875"/>
          <a:ext cx="380999" cy="532386"/>
        </a:xfrm>
        <a:prstGeom prst="rect">
          <a:avLst/>
        </a:prstGeom>
        <a:noFill/>
        <a:ln w="12700" algn="ctr">
          <a:noFill/>
          <a:miter lim="800000"/>
          <a:headEnd/>
          <a:tailEnd/>
        </a:ln>
      </xdr:spPr>
    </xdr:pic>
    <xdr:clientData/>
  </xdr:twoCellAnchor>
  <xdr:twoCellAnchor editAs="oneCell">
    <xdr:from>
      <xdr:col>9</xdr:col>
      <xdr:colOff>457200</xdr:colOff>
      <xdr:row>198</xdr:row>
      <xdr:rowOff>190500</xdr:rowOff>
    </xdr:from>
    <xdr:to>
      <xdr:col>10</xdr:col>
      <xdr:colOff>254457</xdr:colOff>
      <xdr:row>201</xdr:row>
      <xdr:rowOff>66675</xdr:rowOff>
    </xdr:to>
    <xdr:pic>
      <xdr:nvPicPr>
        <xdr:cNvPr id="15" name="Picture 3">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914900" y="40509825"/>
          <a:ext cx="378282" cy="533400"/>
        </a:xfrm>
        <a:prstGeom prst="rect">
          <a:avLst/>
        </a:prstGeom>
        <a:noFill/>
        <a:ln w="12700" algn="ctr">
          <a:noFill/>
          <a:miter lim="800000"/>
          <a:headEnd/>
          <a:tailEnd/>
        </a:ln>
      </xdr:spPr>
    </xdr:pic>
    <xdr:clientData/>
  </xdr:twoCellAnchor>
  <xdr:twoCellAnchor>
    <xdr:from>
      <xdr:col>1</xdr:col>
      <xdr:colOff>152401</xdr:colOff>
      <xdr:row>213</xdr:row>
      <xdr:rowOff>133349</xdr:rowOff>
    </xdr:from>
    <xdr:to>
      <xdr:col>10</xdr:col>
      <xdr:colOff>476251</xdr:colOff>
      <xdr:row>216</xdr:row>
      <xdr:rowOff>104774</xdr:rowOff>
    </xdr:to>
    <xdr:sp macro="" textlink="">
      <xdr:nvSpPr>
        <xdr:cNvPr id="16" name="Prostokąt 15">
          <a:extLst>
            <a:ext uri="{FF2B5EF4-FFF2-40B4-BE49-F238E27FC236}">
              <a16:creationId xmlns:a16="http://schemas.microsoft.com/office/drawing/2014/main" id="{00000000-0008-0000-0300-000010000000}"/>
            </a:ext>
          </a:extLst>
        </xdr:cNvPr>
        <xdr:cNvSpPr/>
      </xdr:nvSpPr>
      <xdr:spPr>
        <a:xfrm>
          <a:off x="819151" y="47243999"/>
          <a:ext cx="4914900" cy="6286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l-PL" sz="1100"/>
        </a:p>
      </xdr:txBody>
    </xdr:sp>
    <xdr:clientData/>
  </xdr:twoCellAnchor>
  <xdr:twoCellAnchor editAs="oneCell">
    <xdr:from>
      <xdr:col>1</xdr:col>
      <xdr:colOff>66675</xdr:colOff>
      <xdr:row>169</xdr:row>
      <xdr:rowOff>95251</xdr:rowOff>
    </xdr:from>
    <xdr:to>
      <xdr:col>12</xdr:col>
      <xdr:colOff>429724</xdr:colOff>
      <xdr:row>172</xdr:row>
      <xdr:rowOff>82798</xdr:rowOff>
    </xdr:to>
    <xdr:pic>
      <xdr:nvPicPr>
        <xdr:cNvPr id="9253" name="Picture 37">
          <a:extLst>
            <a:ext uri="{FF2B5EF4-FFF2-40B4-BE49-F238E27FC236}">
              <a16:creationId xmlns:a16="http://schemas.microsoft.com/office/drawing/2014/main" id="{00000000-0008-0000-0300-0000252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33425" y="37566601"/>
          <a:ext cx="6373324" cy="644772"/>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xdr:col>
      <xdr:colOff>9525</xdr:colOff>
      <xdr:row>1</xdr:row>
      <xdr:rowOff>575</xdr:rowOff>
    </xdr:to>
    <xdr:pic>
      <xdr:nvPicPr>
        <xdr:cNvPr id="17" name="Obraz 16" descr="Powrót.png">
          <a:hlinkClick xmlns:r="http://schemas.openxmlformats.org/officeDocument/2006/relationships" r:id="rId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cstate="print"/>
        <a:stretch>
          <a:fillRect/>
        </a:stretch>
      </xdr:blipFill>
      <xdr:spPr>
        <a:xfrm>
          <a:off x="0" y="0"/>
          <a:ext cx="676275" cy="663515"/>
        </a:xfrm>
        <a:prstGeom prst="rect">
          <a:avLst/>
        </a:prstGeom>
      </xdr:spPr>
    </xdr:pic>
    <xdr:clientData/>
  </xdr:twoCellAnchor>
  <xdr:twoCellAnchor editAs="oneCell">
    <xdr:from>
      <xdr:col>13</xdr:col>
      <xdr:colOff>0</xdr:colOff>
      <xdr:row>1</xdr:row>
      <xdr:rowOff>0</xdr:rowOff>
    </xdr:from>
    <xdr:to>
      <xdr:col>21</xdr:col>
      <xdr:colOff>238125</xdr:colOff>
      <xdr:row>13</xdr:row>
      <xdr:rowOff>38100</xdr:rowOff>
    </xdr:to>
    <xdr:pic>
      <xdr:nvPicPr>
        <xdr:cNvPr id="9256" name="Picture 40">
          <a:extLst>
            <a:ext uri="{FF2B5EF4-FFF2-40B4-BE49-F238E27FC236}">
              <a16:creationId xmlns:a16="http://schemas.microsoft.com/office/drawing/2014/main" id="{00000000-0008-0000-0300-0000282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381875" y="666750"/>
          <a:ext cx="5476875" cy="2667000"/>
        </a:xfrm>
        <a:prstGeom prst="rect">
          <a:avLst/>
        </a:prstGeom>
        <a:noFill/>
      </xdr:spPr>
    </xdr:pic>
    <xdr:clientData/>
  </xdr:twoCellAnchor>
  <xdr:twoCellAnchor editAs="oneCell">
    <xdr:from>
      <xdr:col>15</xdr:col>
      <xdr:colOff>0</xdr:colOff>
      <xdr:row>127</xdr:row>
      <xdr:rowOff>28575</xdr:rowOff>
    </xdr:from>
    <xdr:to>
      <xdr:col>18</xdr:col>
      <xdr:colOff>104775</xdr:colOff>
      <xdr:row>136</xdr:row>
      <xdr:rowOff>0</xdr:rowOff>
    </xdr:to>
    <xdr:pic>
      <xdr:nvPicPr>
        <xdr:cNvPr id="9258" name="Picture 42">
          <a:extLst>
            <a:ext uri="{FF2B5EF4-FFF2-40B4-BE49-F238E27FC236}">
              <a16:creationId xmlns:a16="http://schemas.microsoft.com/office/drawing/2014/main" id="{00000000-0008-0000-0300-00002A24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8505825" y="26546175"/>
          <a:ext cx="2162175" cy="1943100"/>
        </a:xfrm>
        <a:prstGeom prst="rect">
          <a:avLst/>
        </a:prstGeom>
        <a:noFill/>
      </xdr:spPr>
    </xdr:pic>
    <xdr:clientData/>
  </xdr:twoCellAnchor>
  <xdr:twoCellAnchor editAs="oneCell">
    <xdr:from>
      <xdr:col>15</xdr:col>
      <xdr:colOff>0</xdr:colOff>
      <xdr:row>137</xdr:row>
      <xdr:rowOff>38100</xdr:rowOff>
    </xdr:from>
    <xdr:to>
      <xdr:col>19</xdr:col>
      <xdr:colOff>457200</xdr:colOff>
      <xdr:row>144</xdr:row>
      <xdr:rowOff>200025</xdr:rowOff>
    </xdr:to>
    <xdr:pic>
      <xdr:nvPicPr>
        <xdr:cNvPr id="9260" name="Picture 44">
          <a:extLst>
            <a:ext uri="{FF2B5EF4-FFF2-40B4-BE49-F238E27FC236}">
              <a16:creationId xmlns:a16="http://schemas.microsoft.com/office/drawing/2014/main" id="{00000000-0008-0000-0300-00002C24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8505825" y="28746450"/>
          <a:ext cx="3200400" cy="1695450"/>
        </a:xfrm>
        <a:prstGeom prst="rect">
          <a:avLst/>
        </a:prstGeom>
        <a:noFill/>
      </xdr:spPr>
    </xdr:pic>
    <xdr:clientData/>
  </xdr:twoCellAnchor>
  <xdr:twoCellAnchor>
    <xdr:from>
      <xdr:col>1</xdr:col>
      <xdr:colOff>0</xdr:colOff>
      <xdr:row>0</xdr:row>
      <xdr:rowOff>14021</xdr:rowOff>
    </xdr:from>
    <xdr:to>
      <xdr:col>13</xdr:col>
      <xdr:colOff>0</xdr:colOff>
      <xdr:row>1</xdr:row>
      <xdr:rowOff>19050</xdr:rowOff>
    </xdr:to>
    <xdr:sp macro="" textlink="">
      <xdr:nvSpPr>
        <xdr:cNvPr id="19" name="Rectangle 1">
          <a:extLst>
            <a:ext uri="{FF2B5EF4-FFF2-40B4-BE49-F238E27FC236}">
              <a16:creationId xmlns:a16="http://schemas.microsoft.com/office/drawing/2014/main" id="{00000000-0008-0000-0300-000013000000}"/>
            </a:ext>
          </a:extLst>
        </xdr:cNvPr>
        <xdr:cNvSpPr/>
      </xdr:nvSpPr>
      <xdr:spPr>
        <a:xfrm>
          <a:off x="666750" y="14021"/>
          <a:ext cx="6477000" cy="671779"/>
        </a:xfrm>
        <a:prstGeom prst="rect">
          <a:avLst/>
        </a:prstGeom>
        <a:gradFill flip="none" rotWithShape="1">
          <a:gsLst>
            <a:gs pos="0">
              <a:srgbClr val="EF7D00"/>
            </a:gs>
            <a:gs pos="100000">
              <a:srgbClr val="C74F07"/>
            </a:gs>
          </a:gsLst>
          <a:lin ang="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wrap="square" lIns="360000" tIns="360000" rIns="91417" bIns="108000" rtlCol="0" anchor="ctr"/>
        <a:lstStyle>
          <a:defPPr>
            <a:defRPr lang="en-US"/>
          </a:defPPr>
          <a:lvl1pPr marL="0" algn="l" defTabSz="510683" rtl="0" eaLnBrk="1" latinLnBrk="0" hangingPunct="1">
            <a:defRPr sz="2000" kern="1200">
              <a:solidFill>
                <a:schemeClr val="lt1"/>
              </a:solidFill>
              <a:latin typeface="+mn-lt"/>
              <a:ea typeface="+mn-ea"/>
              <a:cs typeface="+mn-cs"/>
            </a:defRPr>
          </a:lvl1pPr>
          <a:lvl2pPr marL="510683" algn="l" defTabSz="510683" rtl="0" eaLnBrk="1" latinLnBrk="0" hangingPunct="1">
            <a:defRPr sz="2000" kern="1200">
              <a:solidFill>
                <a:schemeClr val="lt1"/>
              </a:solidFill>
              <a:latin typeface="+mn-lt"/>
              <a:ea typeface="+mn-ea"/>
              <a:cs typeface="+mn-cs"/>
            </a:defRPr>
          </a:lvl2pPr>
          <a:lvl3pPr marL="1021367" algn="l" defTabSz="510683" rtl="0" eaLnBrk="1" latinLnBrk="0" hangingPunct="1">
            <a:defRPr sz="2000" kern="1200">
              <a:solidFill>
                <a:schemeClr val="lt1"/>
              </a:solidFill>
              <a:latin typeface="+mn-lt"/>
              <a:ea typeface="+mn-ea"/>
              <a:cs typeface="+mn-cs"/>
            </a:defRPr>
          </a:lvl3pPr>
          <a:lvl4pPr marL="1532050" algn="l" defTabSz="510683" rtl="0" eaLnBrk="1" latinLnBrk="0" hangingPunct="1">
            <a:defRPr sz="2000" kern="1200">
              <a:solidFill>
                <a:schemeClr val="lt1"/>
              </a:solidFill>
              <a:latin typeface="+mn-lt"/>
              <a:ea typeface="+mn-ea"/>
              <a:cs typeface="+mn-cs"/>
            </a:defRPr>
          </a:lvl4pPr>
          <a:lvl5pPr marL="2042734" algn="l" defTabSz="510683" rtl="0" eaLnBrk="1" latinLnBrk="0" hangingPunct="1">
            <a:defRPr sz="2000" kern="1200">
              <a:solidFill>
                <a:schemeClr val="lt1"/>
              </a:solidFill>
              <a:latin typeface="+mn-lt"/>
              <a:ea typeface="+mn-ea"/>
              <a:cs typeface="+mn-cs"/>
            </a:defRPr>
          </a:lvl5pPr>
          <a:lvl6pPr marL="2553418" algn="l" defTabSz="510683" rtl="0" eaLnBrk="1" latinLnBrk="0" hangingPunct="1">
            <a:defRPr sz="2000" kern="1200">
              <a:solidFill>
                <a:schemeClr val="lt1"/>
              </a:solidFill>
              <a:latin typeface="+mn-lt"/>
              <a:ea typeface="+mn-ea"/>
              <a:cs typeface="+mn-cs"/>
            </a:defRPr>
          </a:lvl6pPr>
          <a:lvl7pPr marL="3064102" algn="l" defTabSz="510683" rtl="0" eaLnBrk="1" latinLnBrk="0" hangingPunct="1">
            <a:defRPr sz="2000" kern="1200">
              <a:solidFill>
                <a:schemeClr val="lt1"/>
              </a:solidFill>
              <a:latin typeface="+mn-lt"/>
              <a:ea typeface="+mn-ea"/>
              <a:cs typeface="+mn-cs"/>
            </a:defRPr>
          </a:lvl7pPr>
          <a:lvl8pPr marL="3574785" algn="l" defTabSz="510683" rtl="0" eaLnBrk="1" latinLnBrk="0" hangingPunct="1">
            <a:defRPr sz="2000" kern="1200">
              <a:solidFill>
                <a:schemeClr val="lt1"/>
              </a:solidFill>
              <a:latin typeface="+mn-lt"/>
              <a:ea typeface="+mn-ea"/>
              <a:cs typeface="+mn-cs"/>
            </a:defRPr>
          </a:lvl8pPr>
          <a:lvl9pPr marL="4085470" algn="l" defTabSz="510683" rtl="0" eaLnBrk="1" latinLnBrk="0" hangingPunct="1">
            <a:defRPr sz="2000" kern="1200">
              <a:solidFill>
                <a:schemeClr val="lt1"/>
              </a:solidFill>
              <a:latin typeface="+mn-lt"/>
              <a:ea typeface="+mn-ea"/>
              <a:cs typeface="+mn-cs"/>
            </a:defRPr>
          </a:lvl9pPr>
        </a:lstStyle>
        <a:p>
          <a:pPr marL="0" algn="l"/>
          <a:r>
            <a:rPr lang="pl-PL" sz="1800" baseline="0">
              <a:latin typeface="+mn-lt"/>
            </a:rPr>
            <a:t>Arkusz doboru </a:t>
          </a:r>
          <a:r>
            <a:rPr lang="pl-PL" sz="1800" b="1" baseline="0">
              <a:latin typeface="+mn-lt"/>
            </a:rPr>
            <a:t>Compresso</a:t>
          </a:r>
          <a:r>
            <a:rPr lang="pl-PL" sz="1800" b="0" baseline="0">
              <a:latin typeface="+mn-lt"/>
            </a:rPr>
            <a:t>:</a:t>
          </a:r>
          <a:r>
            <a:rPr lang="pl-PL" sz="1800" baseline="0">
              <a:latin typeface="+mn-lt"/>
            </a:rPr>
            <a:t> PN-EN 12828</a:t>
          </a:r>
          <a:endParaRPr lang="en-US" sz="1800" baseline="0">
            <a:latin typeface="+mn-lt"/>
          </a:endParaRPr>
        </a:p>
      </xdr:txBody>
    </xdr:sp>
    <xdr:clientData/>
  </xdr:twoCellAnchor>
  <xdr:twoCellAnchor editAs="oneCell">
    <xdr:from>
      <xdr:col>11</xdr:col>
      <xdr:colOff>44815</xdr:colOff>
      <xdr:row>0</xdr:row>
      <xdr:rowOff>28575</xdr:rowOff>
    </xdr:from>
    <xdr:to>
      <xdr:col>13</xdr:col>
      <xdr:colOff>9525</xdr:colOff>
      <xdr:row>1</xdr:row>
      <xdr:rowOff>118374</xdr:rowOff>
    </xdr:to>
    <xdr:pic>
      <xdr:nvPicPr>
        <xdr:cNvPr id="20" name="Picture 10">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1" cstate="print"/>
        <a:stretch>
          <a:fillRect/>
        </a:stretch>
      </xdr:blipFill>
      <xdr:spPr>
        <a:xfrm>
          <a:off x="6016990" y="28575"/>
          <a:ext cx="1136285" cy="756549"/>
        </a:xfrm>
        <a:prstGeom prst="rect">
          <a:avLst/>
        </a:prstGeom>
      </xdr:spPr>
    </xdr:pic>
    <xdr:clientData/>
  </xdr:twoCellAnchor>
  <xdr:twoCellAnchor editAs="oneCell">
    <xdr:from>
      <xdr:col>1</xdr:col>
      <xdr:colOff>9525</xdr:colOff>
      <xdr:row>259</xdr:row>
      <xdr:rowOff>0</xdr:rowOff>
    </xdr:from>
    <xdr:to>
      <xdr:col>13</xdr:col>
      <xdr:colOff>0</xdr:colOff>
      <xdr:row>261</xdr:row>
      <xdr:rowOff>103727</xdr:rowOff>
    </xdr:to>
    <xdr:pic>
      <xdr:nvPicPr>
        <xdr:cNvPr id="21" name="Picture 6">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76275" y="56749950"/>
          <a:ext cx="6467475" cy="541877"/>
        </a:xfrm>
        <a:prstGeom prst="rect">
          <a:avLst/>
        </a:prstGeom>
        <a:noFill/>
      </xdr:spPr>
    </xdr:pic>
    <xdr:clientData/>
  </xdr:twoCellAnchor>
  <xdr:twoCellAnchor>
    <xdr:from>
      <xdr:col>1</xdr:col>
      <xdr:colOff>180976</xdr:colOff>
      <xdr:row>221</xdr:row>
      <xdr:rowOff>209551</xdr:rowOff>
    </xdr:from>
    <xdr:to>
      <xdr:col>12</xdr:col>
      <xdr:colOff>361950</xdr:colOff>
      <xdr:row>236</xdr:row>
      <xdr:rowOff>161925</xdr:rowOff>
    </xdr:to>
    <xdr:graphicFrame macro="">
      <xdr:nvGraphicFramePr>
        <xdr:cNvPr id="38" name="Chart 1">
          <a:extLst>
            <a:ext uri="{FF2B5EF4-FFF2-40B4-BE49-F238E27FC236}">
              <a16:creationId xmlns:a16="http://schemas.microsoft.com/office/drawing/2014/main" id="{00000000-0008-0000-0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95250</xdr:colOff>
      <xdr:row>232</xdr:row>
      <xdr:rowOff>76200</xdr:rowOff>
    </xdr:from>
    <xdr:to>
      <xdr:col>12</xdr:col>
      <xdr:colOff>342900</xdr:colOff>
      <xdr:row>234</xdr:row>
      <xdr:rowOff>57150</xdr:rowOff>
    </xdr:to>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6067425" y="51349275"/>
          <a:ext cx="952500"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a:t>punkt pracy</a:t>
          </a:r>
        </a:p>
      </xdr:txBody>
    </xdr:sp>
    <xdr:clientData/>
  </xdr:twoCellAnchor>
  <mc:AlternateContent xmlns:mc="http://schemas.openxmlformats.org/markup-compatibility/2006">
    <mc:Choice xmlns:a14="http://schemas.microsoft.com/office/drawing/2010/main" Requires="a14">
      <xdr:twoCellAnchor editAs="oneCell">
        <xdr:from>
          <xdr:col>8</xdr:col>
          <xdr:colOff>342900</xdr:colOff>
          <xdr:row>12</xdr:row>
          <xdr:rowOff>22860</xdr:rowOff>
        </xdr:from>
        <xdr:to>
          <xdr:col>12</xdr:col>
          <xdr:colOff>0</xdr:colOff>
          <xdr:row>13</xdr:row>
          <xdr:rowOff>30480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7</xdr:row>
          <xdr:rowOff>83820</xdr:rowOff>
        </xdr:from>
        <xdr:to>
          <xdr:col>12</xdr:col>
          <xdr:colOff>0</xdr:colOff>
          <xdr:row>9</xdr:row>
          <xdr:rowOff>38100</xdr:rowOff>
        </xdr:to>
        <xdr:sp macro="" textlink="">
          <xdr:nvSpPr>
            <xdr:cNvPr id="9219" name="Spinner 3"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9</xdr:row>
          <xdr:rowOff>83820</xdr:rowOff>
        </xdr:from>
        <xdr:to>
          <xdr:col>12</xdr:col>
          <xdr:colOff>0</xdr:colOff>
          <xdr:row>11</xdr:row>
          <xdr:rowOff>38100</xdr:rowOff>
        </xdr:to>
        <xdr:sp macro="" textlink="">
          <xdr:nvSpPr>
            <xdr:cNvPr id="9220" name="Spinner 4" hidden="1">
              <a:extLst>
                <a:ext uri="{63B3BB69-23CF-44E3-9099-C40C66FF867C}">
                  <a14:compatExt spid="_x0000_s9220"/>
                </a:ext>
                <a:ext uri="{FF2B5EF4-FFF2-40B4-BE49-F238E27FC236}">
                  <a16:creationId xmlns:a16="http://schemas.microsoft.com/office/drawing/2014/main" id="{00000000-0008-0000-0300-000004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15</xdr:row>
          <xdr:rowOff>99060</xdr:rowOff>
        </xdr:from>
        <xdr:to>
          <xdr:col>12</xdr:col>
          <xdr:colOff>0</xdr:colOff>
          <xdr:row>17</xdr:row>
          <xdr:rowOff>45720</xdr:rowOff>
        </xdr:to>
        <xdr:sp macro="" textlink="">
          <xdr:nvSpPr>
            <xdr:cNvPr id="9221" name="Spinner 5" hidden="1">
              <a:extLst>
                <a:ext uri="{63B3BB69-23CF-44E3-9099-C40C66FF867C}">
                  <a14:compatExt spid="_x0000_s9221"/>
                </a:ext>
                <a:ext uri="{FF2B5EF4-FFF2-40B4-BE49-F238E27FC236}">
                  <a16:creationId xmlns:a16="http://schemas.microsoft.com/office/drawing/2014/main" id="{00000000-0008-0000-0300-000005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17</xdr:row>
          <xdr:rowOff>99060</xdr:rowOff>
        </xdr:from>
        <xdr:to>
          <xdr:col>12</xdr:col>
          <xdr:colOff>0</xdr:colOff>
          <xdr:row>19</xdr:row>
          <xdr:rowOff>45720</xdr:rowOff>
        </xdr:to>
        <xdr:sp macro="" textlink="">
          <xdr:nvSpPr>
            <xdr:cNvPr id="9222" name="Spinner 6" hidden="1">
              <a:extLst>
                <a:ext uri="{63B3BB69-23CF-44E3-9099-C40C66FF867C}">
                  <a14:compatExt spid="_x0000_s9222"/>
                </a:ext>
                <a:ext uri="{FF2B5EF4-FFF2-40B4-BE49-F238E27FC236}">
                  <a16:creationId xmlns:a16="http://schemas.microsoft.com/office/drawing/2014/main" id="{00000000-0008-0000-0300-000006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20</xdr:row>
          <xdr:rowOff>160020</xdr:rowOff>
        </xdr:from>
        <xdr:to>
          <xdr:col>12</xdr:col>
          <xdr:colOff>30480</xdr:colOff>
          <xdr:row>21</xdr:row>
          <xdr:rowOff>160020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300-00000724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45</xdr:row>
          <xdr:rowOff>83820</xdr:rowOff>
        </xdr:from>
        <xdr:to>
          <xdr:col>9</xdr:col>
          <xdr:colOff>45720</xdr:colOff>
          <xdr:row>48</xdr:row>
          <xdr:rowOff>22860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3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57</xdr:row>
          <xdr:rowOff>137160</xdr:rowOff>
        </xdr:from>
        <xdr:to>
          <xdr:col>5</xdr:col>
          <xdr:colOff>38100</xdr:colOff>
          <xdr:row>59</xdr:row>
          <xdr:rowOff>60960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3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87</xdr:row>
          <xdr:rowOff>114300</xdr:rowOff>
        </xdr:from>
        <xdr:to>
          <xdr:col>5</xdr:col>
          <xdr:colOff>365760</xdr:colOff>
          <xdr:row>89</xdr:row>
          <xdr:rowOff>114300</xdr:rowOff>
        </xdr:to>
        <xdr:sp macro="" textlink="">
          <xdr:nvSpPr>
            <xdr:cNvPr id="9227" name="Object 11" hidden="1">
              <a:extLst>
                <a:ext uri="{63B3BB69-23CF-44E3-9099-C40C66FF867C}">
                  <a14:compatExt spid="_x0000_s9227"/>
                </a:ext>
                <a:ext uri="{FF2B5EF4-FFF2-40B4-BE49-F238E27FC236}">
                  <a16:creationId xmlns:a16="http://schemas.microsoft.com/office/drawing/2014/main" id="{00000000-0008-0000-0300-00000B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101</xdr:row>
          <xdr:rowOff>160020</xdr:rowOff>
        </xdr:from>
        <xdr:to>
          <xdr:col>5</xdr:col>
          <xdr:colOff>365760</xdr:colOff>
          <xdr:row>103</xdr:row>
          <xdr:rowOff>38100</xdr:rowOff>
        </xdr:to>
        <xdr:sp macro="" textlink="">
          <xdr:nvSpPr>
            <xdr:cNvPr id="9228" name="Object 12" hidden="1">
              <a:extLst>
                <a:ext uri="{63B3BB69-23CF-44E3-9099-C40C66FF867C}">
                  <a14:compatExt spid="_x0000_s9228"/>
                </a:ext>
                <a:ext uri="{FF2B5EF4-FFF2-40B4-BE49-F238E27FC236}">
                  <a16:creationId xmlns:a16="http://schemas.microsoft.com/office/drawing/2014/main" id="{00000000-0008-0000-0300-00000C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132</xdr:row>
          <xdr:rowOff>152400</xdr:rowOff>
        </xdr:from>
        <xdr:to>
          <xdr:col>5</xdr:col>
          <xdr:colOff>441960</xdr:colOff>
          <xdr:row>133</xdr:row>
          <xdr:rowOff>175260</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300-00000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151</xdr:row>
          <xdr:rowOff>137160</xdr:rowOff>
        </xdr:from>
        <xdr:to>
          <xdr:col>6</xdr:col>
          <xdr:colOff>7620</xdr:colOff>
          <xdr:row>153</xdr:row>
          <xdr:rowOff>60960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0300-000010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22</xdr:row>
          <xdr:rowOff>83820</xdr:rowOff>
        </xdr:from>
        <xdr:to>
          <xdr:col>12</xdr:col>
          <xdr:colOff>0</xdr:colOff>
          <xdr:row>24</xdr:row>
          <xdr:rowOff>38100</xdr:rowOff>
        </xdr:to>
        <xdr:sp macro="" textlink="">
          <xdr:nvSpPr>
            <xdr:cNvPr id="9241" name="Spinner 25" hidden="1">
              <a:extLst>
                <a:ext uri="{63B3BB69-23CF-44E3-9099-C40C66FF867C}">
                  <a14:compatExt spid="_x0000_s9241"/>
                </a:ext>
                <a:ext uri="{FF2B5EF4-FFF2-40B4-BE49-F238E27FC236}">
                  <a16:creationId xmlns:a16="http://schemas.microsoft.com/office/drawing/2014/main" id="{00000000-0008-0000-0300-000019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139</xdr:row>
          <xdr:rowOff>152400</xdr:rowOff>
        </xdr:from>
        <xdr:to>
          <xdr:col>5</xdr:col>
          <xdr:colOff>426720</xdr:colOff>
          <xdr:row>140</xdr:row>
          <xdr:rowOff>175260</xdr:rowOff>
        </xdr:to>
        <xdr:sp macro="" textlink="">
          <xdr:nvSpPr>
            <xdr:cNvPr id="9242" name="Drop Down 26" hidden="1">
              <a:extLst>
                <a:ext uri="{63B3BB69-23CF-44E3-9099-C40C66FF867C}">
                  <a14:compatExt spid="_x0000_s9242"/>
                </a:ext>
                <a:ext uri="{FF2B5EF4-FFF2-40B4-BE49-F238E27FC236}">
                  <a16:creationId xmlns:a16="http://schemas.microsoft.com/office/drawing/2014/main" id="{00000000-0008-0000-0300-00001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139</xdr:row>
          <xdr:rowOff>30480</xdr:rowOff>
        </xdr:from>
        <xdr:to>
          <xdr:col>9</xdr:col>
          <xdr:colOff>228600</xdr:colOff>
          <xdr:row>141</xdr:row>
          <xdr:rowOff>0</xdr:rowOff>
        </xdr:to>
        <xdr:sp macro="" textlink="">
          <xdr:nvSpPr>
            <xdr:cNvPr id="9243" name="Spinner 27" hidden="1">
              <a:extLst>
                <a:ext uri="{63B3BB69-23CF-44E3-9099-C40C66FF867C}">
                  <a14:compatExt spid="_x0000_s9243"/>
                </a:ext>
                <a:ext uri="{FF2B5EF4-FFF2-40B4-BE49-F238E27FC236}">
                  <a16:creationId xmlns:a16="http://schemas.microsoft.com/office/drawing/2014/main" id="{00000000-0008-0000-0300-00001B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243</xdr:row>
          <xdr:rowOff>22860</xdr:rowOff>
        </xdr:from>
        <xdr:to>
          <xdr:col>6</xdr:col>
          <xdr:colOff>449580</xdr:colOff>
          <xdr:row>244</xdr:row>
          <xdr:rowOff>45720</xdr:rowOff>
        </xdr:to>
        <xdr:sp macro="" textlink="">
          <xdr:nvSpPr>
            <xdr:cNvPr id="9244" name="Drop Down 28" hidden="1">
              <a:extLst>
                <a:ext uri="{63B3BB69-23CF-44E3-9099-C40C66FF867C}">
                  <a14:compatExt spid="_x0000_s9244"/>
                </a:ext>
                <a:ext uri="{FF2B5EF4-FFF2-40B4-BE49-F238E27FC236}">
                  <a16:creationId xmlns:a16="http://schemas.microsoft.com/office/drawing/2014/main" id="{00000000-0008-0000-0300-00001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24</xdr:row>
          <xdr:rowOff>106680</xdr:rowOff>
        </xdr:from>
        <xdr:to>
          <xdr:col>12</xdr:col>
          <xdr:colOff>0</xdr:colOff>
          <xdr:row>26</xdr:row>
          <xdr:rowOff>60960</xdr:rowOff>
        </xdr:to>
        <xdr:sp macro="" textlink="">
          <xdr:nvSpPr>
            <xdr:cNvPr id="9245" name="Spinner 29" hidden="1">
              <a:extLst>
                <a:ext uri="{63B3BB69-23CF-44E3-9099-C40C66FF867C}">
                  <a14:compatExt spid="_x0000_s9245"/>
                </a:ext>
                <a:ext uri="{FF2B5EF4-FFF2-40B4-BE49-F238E27FC236}">
                  <a16:creationId xmlns:a16="http://schemas.microsoft.com/office/drawing/2014/main" id="{00000000-0008-0000-0300-00001D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144780</xdr:rowOff>
        </xdr:from>
        <xdr:to>
          <xdr:col>5</xdr:col>
          <xdr:colOff>160020</xdr:colOff>
          <xdr:row>74</xdr:row>
          <xdr:rowOff>76200</xdr:rowOff>
        </xdr:to>
        <xdr:sp macro="" textlink="">
          <xdr:nvSpPr>
            <xdr:cNvPr id="9247" name="Object 31" hidden="1">
              <a:extLst>
                <a:ext uri="{63B3BB69-23CF-44E3-9099-C40C66FF867C}">
                  <a14:compatExt spid="_x0000_s9247"/>
                </a:ext>
                <a:ext uri="{FF2B5EF4-FFF2-40B4-BE49-F238E27FC236}">
                  <a16:creationId xmlns:a16="http://schemas.microsoft.com/office/drawing/2014/main" id="{00000000-0008-0000-0300-00001F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476251</xdr:colOff>
      <xdr:row>181</xdr:row>
      <xdr:rowOff>190501</xdr:rowOff>
    </xdr:from>
    <xdr:to>
      <xdr:col>11</xdr:col>
      <xdr:colOff>38100</xdr:colOff>
      <xdr:row>193</xdr:row>
      <xdr:rowOff>178555</xdr:rowOff>
    </xdr:to>
    <xdr:pic>
      <xdr:nvPicPr>
        <xdr:cNvPr id="6" name="Picture 38">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1" y="38976301"/>
          <a:ext cx="4076699" cy="2616954"/>
        </a:xfrm>
        <a:prstGeom prst="rect">
          <a:avLst/>
        </a:prstGeom>
        <a:noFill/>
      </xdr:spPr>
    </xdr:pic>
    <xdr:clientData/>
  </xdr:twoCellAnchor>
  <xdr:twoCellAnchor>
    <xdr:from>
      <xdr:col>3</xdr:col>
      <xdr:colOff>295275</xdr:colOff>
      <xdr:row>183</xdr:row>
      <xdr:rowOff>142875</xdr:rowOff>
    </xdr:from>
    <xdr:to>
      <xdr:col>5</xdr:col>
      <xdr:colOff>38100</xdr:colOff>
      <xdr:row>183</xdr:row>
      <xdr:rowOff>152400</xdr:rowOff>
    </xdr:to>
    <xdr:cxnSp macro="">
      <xdr:nvCxnSpPr>
        <xdr:cNvPr id="7" name="Łącznik prosty ze strzałką 6">
          <a:extLst>
            <a:ext uri="{FF2B5EF4-FFF2-40B4-BE49-F238E27FC236}">
              <a16:creationId xmlns:a16="http://schemas.microsoft.com/office/drawing/2014/main" id="{00000000-0008-0000-0400-000007000000}"/>
            </a:ext>
          </a:extLst>
        </xdr:cNvPr>
        <xdr:cNvCxnSpPr/>
      </xdr:nvCxnSpPr>
      <xdr:spPr>
        <a:xfrm flipH="1" flipV="1">
          <a:off x="1533525" y="39366825"/>
          <a:ext cx="828675" cy="95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256189</xdr:colOff>
      <xdr:row>189</xdr:row>
      <xdr:rowOff>111673</xdr:rowOff>
    </xdr:from>
    <xdr:to>
      <xdr:col>4</xdr:col>
      <xdr:colOff>26276</xdr:colOff>
      <xdr:row>189</xdr:row>
      <xdr:rowOff>111673</xdr:rowOff>
    </xdr:to>
    <xdr:cxnSp macro="">
      <xdr:nvCxnSpPr>
        <xdr:cNvPr id="8" name="Łącznik prosty ze strzałką 7">
          <a:extLst>
            <a:ext uri="{FF2B5EF4-FFF2-40B4-BE49-F238E27FC236}">
              <a16:creationId xmlns:a16="http://schemas.microsoft.com/office/drawing/2014/main" id="{00000000-0008-0000-0400-000008000000}"/>
            </a:ext>
          </a:extLst>
        </xdr:cNvPr>
        <xdr:cNvCxnSpPr/>
      </xdr:nvCxnSpPr>
      <xdr:spPr>
        <a:xfrm flipH="1">
          <a:off x="1494439" y="40650073"/>
          <a:ext cx="284437"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118240</xdr:colOff>
      <xdr:row>183</xdr:row>
      <xdr:rowOff>105104</xdr:rowOff>
    </xdr:from>
    <xdr:to>
      <xdr:col>11</xdr:col>
      <xdr:colOff>420414</xdr:colOff>
      <xdr:row>183</xdr:row>
      <xdr:rowOff>170793</xdr:rowOff>
    </xdr:to>
    <xdr:cxnSp macro="">
      <xdr:nvCxnSpPr>
        <xdr:cNvPr id="9" name="Łącznik prosty ze strzałką 8">
          <a:extLst>
            <a:ext uri="{FF2B5EF4-FFF2-40B4-BE49-F238E27FC236}">
              <a16:creationId xmlns:a16="http://schemas.microsoft.com/office/drawing/2014/main" id="{00000000-0008-0000-0400-000009000000}"/>
            </a:ext>
          </a:extLst>
        </xdr:cNvPr>
        <xdr:cNvCxnSpPr/>
      </xdr:nvCxnSpPr>
      <xdr:spPr>
        <a:xfrm flipV="1">
          <a:off x="5156965" y="39329054"/>
          <a:ext cx="1016549" cy="6568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40728</xdr:colOff>
      <xdr:row>189</xdr:row>
      <xdr:rowOff>111673</xdr:rowOff>
    </xdr:from>
    <xdr:to>
      <xdr:col>11</xdr:col>
      <xdr:colOff>413845</xdr:colOff>
      <xdr:row>189</xdr:row>
      <xdr:rowOff>126125</xdr:rowOff>
    </xdr:to>
    <xdr:cxnSp macro="">
      <xdr:nvCxnSpPr>
        <xdr:cNvPr id="10" name="Łącznik prosty ze strzałką 9">
          <a:extLst>
            <a:ext uri="{FF2B5EF4-FFF2-40B4-BE49-F238E27FC236}">
              <a16:creationId xmlns:a16="http://schemas.microsoft.com/office/drawing/2014/main" id="{00000000-0008-0000-0400-00000A000000}"/>
            </a:ext>
          </a:extLst>
        </xdr:cNvPr>
        <xdr:cNvCxnSpPr/>
      </xdr:nvCxnSpPr>
      <xdr:spPr>
        <a:xfrm flipV="1">
          <a:off x="5793828" y="40650073"/>
          <a:ext cx="373117" cy="1445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400050</xdr:colOff>
      <xdr:row>186</xdr:row>
      <xdr:rowOff>114300</xdr:rowOff>
    </xdr:from>
    <xdr:to>
      <xdr:col>4</xdr:col>
      <xdr:colOff>298138</xdr:colOff>
      <xdr:row>188</xdr:row>
      <xdr:rowOff>215816</xdr:rowOff>
    </xdr:to>
    <xdr:pic>
      <xdr:nvPicPr>
        <xdr:cNvPr id="15" name="Picture 5">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38300" y="41309925"/>
          <a:ext cx="412438" cy="539666"/>
        </a:xfrm>
        <a:prstGeom prst="rect">
          <a:avLst/>
        </a:prstGeom>
        <a:noFill/>
        <a:ln w="12700" algn="ctr">
          <a:noFill/>
          <a:miter lim="800000"/>
          <a:headEnd/>
          <a:tailEnd/>
        </a:ln>
      </xdr:spPr>
    </xdr:pic>
    <xdr:clientData/>
  </xdr:twoCellAnchor>
  <xdr:twoCellAnchor editAs="oneCell">
    <xdr:from>
      <xdr:col>4</xdr:col>
      <xdr:colOff>476250</xdr:colOff>
      <xdr:row>180</xdr:row>
      <xdr:rowOff>200025</xdr:rowOff>
    </xdr:from>
    <xdr:to>
      <xdr:col>5</xdr:col>
      <xdr:colOff>285749</xdr:colOff>
      <xdr:row>183</xdr:row>
      <xdr:rowOff>75186</xdr:rowOff>
    </xdr:to>
    <xdr:pic>
      <xdr:nvPicPr>
        <xdr:cNvPr id="16" name="Picture 4">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228850" y="40081200"/>
          <a:ext cx="380999" cy="532386"/>
        </a:xfrm>
        <a:prstGeom prst="rect">
          <a:avLst/>
        </a:prstGeom>
        <a:noFill/>
        <a:ln w="12700" algn="ctr">
          <a:noFill/>
          <a:miter lim="800000"/>
          <a:headEnd/>
          <a:tailEnd/>
        </a:ln>
      </xdr:spPr>
    </xdr:pic>
    <xdr:clientData/>
  </xdr:twoCellAnchor>
  <xdr:twoCellAnchor editAs="oneCell">
    <xdr:from>
      <xdr:col>9</xdr:col>
      <xdr:colOff>381000</xdr:colOff>
      <xdr:row>180</xdr:row>
      <xdr:rowOff>190500</xdr:rowOff>
    </xdr:from>
    <xdr:to>
      <xdr:col>10</xdr:col>
      <xdr:colOff>178257</xdr:colOff>
      <xdr:row>183</xdr:row>
      <xdr:rowOff>66675</xdr:rowOff>
    </xdr:to>
    <xdr:pic>
      <xdr:nvPicPr>
        <xdr:cNvPr id="17" name="Picture 3">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838700" y="40071675"/>
          <a:ext cx="378282" cy="533400"/>
        </a:xfrm>
        <a:prstGeom prst="rect">
          <a:avLst/>
        </a:prstGeom>
        <a:noFill/>
        <a:ln w="12700" algn="ctr">
          <a:noFill/>
          <a:miter lim="800000"/>
          <a:headEnd/>
          <a:tailEnd/>
        </a:ln>
      </xdr:spPr>
    </xdr:pic>
    <xdr:clientData/>
  </xdr:twoCellAnchor>
  <xdr:twoCellAnchor>
    <xdr:from>
      <xdr:col>1</xdr:col>
      <xdr:colOff>161925</xdr:colOff>
      <xdr:row>195</xdr:row>
      <xdr:rowOff>133350</xdr:rowOff>
    </xdr:from>
    <xdr:to>
      <xdr:col>10</xdr:col>
      <xdr:colOff>485775</xdr:colOff>
      <xdr:row>198</xdr:row>
      <xdr:rowOff>104775</xdr:rowOff>
    </xdr:to>
    <xdr:sp macro="" textlink="">
      <xdr:nvSpPr>
        <xdr:cNvPr id="18" name="Prostokąt 17">
          <a:extLst>
            <a:ext uri="{FF2B5EF4-FFF2-40B4-BE49-F238E27FC236}">
              <a16:creationId xmlns:a16="http://schemas.microsoft.com/office/drawing/2014/main" id="{00000000-0008-0000-0400-000012000000}"/>
            </a:ext>
          </a:extLst>
        </xdr:cNvPr>
        <xdr:cNvSpPr/>
      </xdr:nvSpPr>
      <xdr:spPr>
        <a:xfrm>
          <a:off x="609600" y="43300650"/>
          <a:ext cx="4914900" cy="8477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l-PL" sz="1100"/>
        </a:p>
      </xdr:txBody>
    </xdr:sp>
    <xdr:clientData/>
  </xdr:twoCellAnchor>
  <xdr:twoCellAnchor editAs="oneCell">
    <xdr:from>
      <xdr:col>0</xdr:col>
      <xdr:colOff>0</xdr:colOff>
      <xdr:row>0</xdr:row>
      <xdr:rowOff>0</xdr:rowOff>
    </xdr:from>
    <xdr:to>
      <xdr:col>1</xdr:col>
      <xdr:colOff>28575</xdr:colOff>
      <xdr:row>1</xdr:row>
      <xdr:rowOff>575</xdr:rowOff>
    </xdr:to>
    <xdr:pic>
      <xdr:nvPicPr>
        <xdr:cNvPr id="19" name="Obraz 18" descr="Powrót.png">
          <a:hlinkClick xmlns:r="http://schemas.openxmlformats.org/officeDocument/2006/relationships" r:id="rId5"/>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 cstate="print"/>
        <a:stretch>
          <a:fillRect/>
        </a:stretch>
      </xdr:blipFill>
      <xdr:spPr>
        <a:xfrm>
          <a:off x="0" y="0"/>
          <a:ext cx="676275" cy="663515"/>
        </a:xfrm>
        <a:prstGeom prst="rect">
          <a:avLst/>
        </a:prstGeom>
      </xdr:spPr>
    </xdr:pic>
    <xdr:clientData/>
  </xdr:twoCellAnchor>
  <xdr:twoCellAnchor editAs="oneCell">
    <xdr:from>
      <xdr:col>13</xdr:col>
      <xdr:colOff>0</xdr:colOff>
      <xdr:row>1</xdr:row>
      <xdr:rowOff>0</xdr:rowOff>
    </xdr:from>
    <xdr:to>
      <xdr:col>21</xdr:col>
      <xdr:colOff>238125</xdr:colOff>
      <xdr:row>13</xdr:row>
      <xdr:rowOff>38100</xdr:rowOff>
    </xdr:to>
    <xdr:pic>
      <xdr:nvPicPr>
        <xdr:cNvPr id="20" name="Picture 40">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362825" y="666750"/>
          <a:ext cx="5476875" cy="2667000"/>
        </a:xfrm>
        <a:prstGeom prst="rect">
          <a:avLst/>
        </a:prstGeom>
        <a:noFill/>
      </xdr:spPr>
    </xdr:pic>
    <xdr:clientData/>
  </xdr:twoCellAnchor>
  <xdr:twoCellAnchor editAs="oneCell">
    <xdr:from>
      <xdr:col>15</xdr:col>
      <xdr:colOff>9525</xdr:colOff>
      <xdr:row>118</xdr:row>
      <xdr:rowOff>133350</xdr:rowOff>
    </xdr:from>
    <xdr:to>
      <xdr:col>18</xdr:col>
      <xdr:colOff>304800</xdr:colOff>
      <xdr:row>127</xdr:row>
      <xdr:rowOff>104775</xdr:rowOff>
    </xdr:to>
    <xdr:pic>
      <xdr:nvPicPr>
        <xdr:cNvPr id="12322" name="Picture 34">
          <a:extLst>
            <a:ext uri="{FF2B5EF4-FFF2-40B4-BE49-F238E27FC236}">
              <a16:creationId xmlns:a16="http://schemas.microsoft.com/office/drawing/2014/main" id="{00000000-0008-0000-0400-0000223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496300" y="25555575"/>
          <a:ext cx="2352675" cy="1943100"/>
        </a:xfrm>
        <a:prstGeom prst="rect">
          <a:avLst/>
        </a:prstGeom>
        <a:noFill/>
      </xdr:spPr>
    </xdr:pic>
    <xdr:clientData/>
  </xdr:twoCellAnchor>
  <xdr:twoCellAnchor editAs="oneCell">
    <xdr:from>
      <xdr:col>15</xdr:col>
      <xdr:colOff>9525</xdr:colOff>
      <xdr:row>129</xdr:row>
      <xdr:rowOff>104775</xdr:rowOff>
    </xdr:from>
    <xdr:to>
      <xdr:col>19</xdr:col>
      <xdr:colOff>476250</xdr:colOff>
      <xdr:row>136</xdr:row>
      <xdr:rowOff>66675</xdr:rowOff>
    </xdr:to>
    <xdr:pic>
      <xdr:nvPicPr>
        <xdr:cNvPr id="12324" name="Picture 36">
          <a:extLst>
            <a:ext uri="{FF2B5EF4-FFF2-40B4-BE49-F238E27FC236}">
              <a16:creationId xmlns:a16="http://schemas.microsoft.com/office/drawing/2014/main" id="{00000000-0008-0000-0400-0000243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8496300" y="27936825"/>
          <a:ext cx="3209925" cy="1495425"/>
        </a:xfrm>
        <a:prstGeom prst="rect">
          <a:avLst/>
        </a:prstGeom>
        <a:noFill/>
      </xdr:spPr>
    </xdr:pic>
    <xdr:clientData/>
  </xdr:twoCellAnchor>
  <xdr:twoCellAnchor>
    <xdr:from>
      <xdr:col>0</xdr:col>
      <xdr:colOff>647699</xdr:colOff>
      <xdr:row>0</xdr:row>
      <xdr:rowOff>0</xdr:rowOff>
    </xdr:from>
    <xdr:to>
      <xdr:col>12</xdr:col>
      <xdr:colOff>704849</xdr:colOff>
      <xdr:row>1</xdr:row>
      <xdr:rowOff>9525</xdr:rowOff>
    </xdr:to>
    <xdr:sp macro="" textlink="">
      <xdr:nvSpPr>
        <xdr:cNvPr id="21" name="Rectangle 1">
          <a:extLst>
            <a:ext uri="{FF2B5EF4-FFF2-40B4-BE49-F238E27FC236}">
              <a16:creationId xmlns:a16="http://schemas.microsoft.com/office/drawing/2014/main" id="{00000000-0008-0000-0400-000015000000}"/>
            </a:ext>
          </a:extLst>
        </xdr:cNvPr>
        <xdr:cNvSpPr/>
      </xdr:nvSpPr>
      <xdr:spPr>
        <a:xfrm>
          <a:off x="647699" y="0"/>
          <a:ext cx="6715125" cy="676275"/>
        </a:xfrm>
        <a:prstGeom prst="rect">
          <a:avLst/>
        </a:prstGeom>
        <a:gradFill flip="none" rotWithShape="1">
          <a:gsLst>
            <a:gs pos="0">
              <a:srgbClr val="EF7D00"/>
            </a:gs>
            <a:gs pos="100000">
              <a:srgbClr val="C74F07"/>
            </a:gs>
          </a:gsLst>
          <a:lin ang="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wrap="square" lIns="360000" tIns="360000" rIns="91417" bIns="108000" rtlCol="0" anchor="ctr"/>
        <a:lstStyle>
          <a:defPPr>
            <a:defRPr lang="en-US"/>
          </a:defPPr>
          <a:lvl1pPr marL="0" algn="l" defTabSz="510683" rtl="0" eaLnBrk="1" latinLnBrk="0" hangingPunct="1">
            <a:defRPr sz="2000" kern="1200">
              <a:solidFill>
                <a:schemeClr val="lt1"/>
              </a:solidFill>
              <a:latin typeface="+mn-lt"/>
              <a:ea typeface="+mn-ea"/>
              <a:cs typeface="+mn-cs"/>
            </a:defRPr>
          </a:lvl1pPr>
          <a:lvl2pPr marL="510683" algn="l" defTabSz="510683" rtl="0" eaLnBrk="1" latinLnBrk="0" hangingPunct="1">
            <a:defRPr sz="2000" kern="1200">
              <a:solidFill>
                <a:schemeClr val="lt1"/>
              </a:solidFill>
              <a:latin typeface="+mn-lt"/>
              <a:ea typeface="+mn-ea"/>
              <a:cs typeface="+mn-cs"/>
            </a:defRPr>
          </a:lvl2pPr>
          <a:lvl3pPr marL="1021367" algn="l" defTabSz="510683" rtl="0" eaLnBrk="1" latinLnBrk="0" hangingPunct="1">
            <a:defRPr sz="2000" kern="1200">
              <a:solidFill>
                <a:schemeClr val="lt1"/>
              </a:solidFill>
              <a:latin typeface="+mn-lt"/>
              <a:ea typeface="+mn-ea"/>
              <a:cs typeface="+mn-cs"/>
            </a:defRPr>
          </a:lvl3pPr>
          <a:lvl4pPr marL="1532050" algn="l" defTabSz="510683" rtl="0" eaLnBrk="1" latinLnBrk="0" hangingPunct="1">
            <a:defRPr sz="2000" kern="1200">
              <a:solidFill>
                <a:schemeClr val="lt1"/>
              </a:solidFill>
              <a:latin typeface="+mn-lt"/>
              <a:ea typeface="+mn-ea"/>
              <a:cs typeface="+mn-cs"/>
            </a:defRPr>
          </a:lvl4pPr>
          <a:lvl5pPr marL="2042734" algn="l" defTabSz="510683" rtl="0" eaLnBrk="1" latinLnBrk="0" hangingPunct="1">
            <a:defRPr sz="2000" kern="1200">
              <a:solidFill>
                <a:schemeClr val="lt1"/>
              </a:solidFill>
              <a:latin typeface="+mn-lt"/>
              <a:ea typeface="+mn-ea"/>
              <a:cs typeface="+mn-cs"/>
            </a:defRPr>
          </a:lvl5pPr>
          <a:lvl6pPr marL="2553418" algn="l" defTabSz="510683" rtl="0" eaLnBrk="1" latinLnBrk="0" hangingPunct="1">
            <a:defRPr sz="2000" kern="1200">
              <a:solidFill>
                <a:schemeClr val="lt1"/>
              </a:solidFill>
              <a:latin typeface="+mn-lt"/>
              <a:ea typeface="+mn-ea"/>
              <a:cs typeface="+mn-cs"/>
            </a:defRPr>
          </a:lvl6pPr>
          <a:lvl7pPr marL="3064102" algn="l" defTabSz="510683" rtl="0" eaLnBrk="1" latinLnBrk="0" hangingPunct="1">
            <a:defRPr sz="2000" kern="1200">
              <a:solidFill>
                <a:schemeClr val="lt1"/>
              </a:solidFill>
              <a:latin typeface="+mn-lt"/>
              <a:ea typeface="+mn-ea"/>
              <a:cs typeface="+mn-cs"/>
            </a:defRPr>
          </a:lvl7pPr>
          <a:lvl8pPr marL="3574785" algn="l" defTabSz="510683" rtl="0" eaLnBrk="1" latinLnBrk="0" hangingPunct="1">
            <a:defRPr sz="2000" kern="1200">
              <a:solidFill>
                <a:schemeClr val="lt1"/>
              </a:solidFill>
              <a:latin typeface="+mn-lt"/>
              <a:ea typeface="+mn-ea"/>
              <a:cs typeface="+mn-cs"/>
            </a:defRPr>
          </a:lvl8pPr>
          <a:lvl9pPr marL="4085470" algn="l" defTabSz="510683" rtl="0" eaLnBrk="1" latinLnBrk="0" hangingPunct="1">
            <a:defRPr sz="2000" kern="1200">
              <a:solidFill>
                <a:schemeClr val="lt1"/>
              </a:solidFill>
              <a:latin typeface="+mn-lt"/>
              <a:ea typeface="+mn-ea"/>
              <a:cs typeface="+mn-cs"/>
            </a:defRPr>
          </a:lvl9pPr>
        </a:lstStyle>
        <a:p>
          <a:pPr marL="0" algn="l"/>
          <a:r>
            <a:rPr lang="pl-PL" sz="1800" baseline="0">
              <a:latin typeface="+mn-lt"/>
            </a:rPr>
            <a:t>Arkusz doboru </a:t>
          </a:r>
          <a:r>
            <a:rPr lang="pl-PL" sz="1800" b="1" baseline="0">
              <a:latin typeface="+mn-lt"/>
            </a:rPr>
            <a:t>Transfero</a:t>
          </a:r>
          <a:r>
            <a:rPr lang="pl-PL" sz="1800" b="0" baseline="0">
              <a:latin typeface="+mn-lt"/>
            </a:rPr>
            <a:t>:</a:t>
          </a:r>
          <a:r>
            <a:rPr lang="pl-PL" sz="1800" baseline="0">
              <a:latin typeface="+mn-lt"/>
            </a:rPr>
            <a:t> PN-EN 12828</a:t>
          </a:r>
          <a:endParaRPr lang="en-US" sz="1800" baseline="0">
            <a:latin typeface="+mn-lt"/>
          </a:endParaRPr>
        </a:p>
      </xdr:txBody>
    </xdr:sp>
    <xdr:clientData/>
  </xdr:twoCellAnchor>
  <xdr:twoCellAnchor editAs="oneCell">
    <xdr:from>
      <xdr:col>11</xdr:col>
      <xdr:colOff>330565</xdr:colOff>
      <xdr:row>0</xdr:row>
      <xdr:rowOff>0</xdr:rowOff>
    </xdr:from>
    <xdr:to>
      <xdr:col>13</xdr:col>
      <xdr:colOff>57150</xdr:colOff>
      <xdr:row>1</xdr:row>
      <xdr:rowOff>89799</xdr:rowOff>
    </xdr:to>
    <xdr:pic>
      <xdr:nvPicPr>
        <xdr:cNvPr id="22" name="Picture 10">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0" cstate="print"/>
        <a:stretch>
          <a:fillRect/>
        </a:stretch>
      </xdr:blipFill>
      <xdr:spPr>
        <a:xfrm>
          <a:off x="6283690" y="0"/>
          <a:ext cx="1136285" cy="756549"/>
        </a:xfrm>
        <a:prstGeom prst="rect">
          <a:avLst/>
        </a:prstGeom>
      </xdr:spPr>
    </xdr:pic>
    <xdr:clientData/>
  </xdr:twoCellAnchor>
  <xdr:twoCellAnchor editAs="oneCell">
    <xdr:from>
      <xdr:col>1</xdr:col>
      <xdr:colOff>9525</xdr:colOff>
      <xdr:row>266</xdr:row>
      <xdr:rowOff>0</xdr:rowOff>
    </xdr:from>
    <xdr:to>
      <xdr:col>13</xdr:col>
      <xdr:colOff>1751</xdr:colOff>
      <xdr:row>268</xdr:row>
      <xdr:rowOff>123825</xdr:rowOff>
    </xdr:to>
    <xdr:pic>
      <xdr:nvPicPr>
        <xdr:cNvPr id="23" name="Picture 6">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57225" y="60036075"/>
          <a:ext cx="6707351" cy="561975"/>
        </a:xfrm>
        <a:prstGeom prst="rect">
          <a:avLst/>
        </a:prstGeom>
        <a:noFill/>
      </xdr:spPr>
    </xdr:pic>
    <xdr:clientData/>
  </xdr:twoCellAnchor>
  <xdr:twoCellAnchor>
    <xdr:from>
      <xdr:col>1</xdr:col>
      <xdr:colOff>104777</xdr:colOff>
      <xdr:row>201</xdr:row>
      <xdr:rowOff>104776</xdr:rowOff>
    </xdr:from>
    <xdr:to>
      <xdr:col>12</xdr:col>
      <xdr:colOff>91440</xdr:colOff>
      <xdr:row>220</xdr:row>
      <xdr:rowOff>175260</xdr:rowOff>
    </xdr:to>
    <xdr:graphicFrame macro="">
      <xdr:nvGraphicFramePr>
        <xdr:cNvPr id="39" name="Chart 1">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110491</xdr:colOff>
      <xdr:row>221</xdr:row>
      <xdr:rowOff>15240</xdr:rowOff>
    </xdr:from>
    <xdr:to>
      <xdr:col>12</xdr:col>
      <xdr:colOff>60960</xdr:colOff>
      <xdr:row>243</xdr:row>
      <xdr:rowOff>102870</xdr:rowOff>
    </xdr:to>
    <xdr:graphicFrame macro="">
      <xdr:nvGraphicFramePr>
        <xdr:cNvPr id="40" name="Chart 1">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30480</xdr:colOff>
          <xdr:row>12</xdr:row>
          <xdr:rowOff>0</xdr:rowOff>
        </xdr:from>
        <xdr:to>
          <xdr:col>12</xdr:col>
          <xdr:colOff>0</xdr:colOff>
          <xdr:row>13</xdr:row>
          <xdr:rowOff>22860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365760</xdr:colOff>
          <xdr:row>7</xdr:row>
          <xdr:rowOff>137160</xdr:rowOff>
        </xdr:from>
        <xdr:to>
          <xdr:col>12</xdr:col>
          <xdr:colOff>7620</xdr:colOff>
          <xdr:row>9</xdr:row>
          <xdr:rowOff>68580</xdr:rowOff>
        </xdr:to>
        <xdr:sp macro="" textlink="">
          <xdr:nvSpPr>
            <xdr:cNvPr id="12291" name="Spinner 3" hidden="1">
              <a:extLst>
                <a:ext uri="{63B3BB69-23CF-44E3-9099-C40C66FF867C}">
                  <a14:compatExt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350520</xdr:colOff>
          <xdr:row>9</xdr:row>
          <xdr:rowOff>152400</xdr:rowOff>
        </xdr:from>
        <xdr:to>
          <xdr:col>12</xdr:col>
          <xdr:colOff>0</xdr:colOff>
          <xdr:row>11</xdr:row>
          <xdr:rowOff>83820</xdr:rowOff>
        </xdr:to>
        <xdr:sp macro="" textlink="">
          <xdr:nvSpPr>
            <xdr:cNvPr id="12292" name="Spinner 4" hidden="1">
              <a:extLst>
                <a:ext uri="{63B3BB69-23CF-44E3-9099-C40C66FF867C}">
                  <a14:compatExt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15</xdr:row>
          <xdr:rowOff>160020</xdr:rowOff>
        </xdr:from>
        <xdr:to>
          <xdr:col>11</xdr:col>
          <xdr:colOff>693420</xdr:colOff>
          <xdr:row>17</xdr:row>
          <xdr:rowOff>99060</xdr:rowOff>
        </xdr:to>
        <xdr:sp macro="" textlink="">
          <xdr:nvSpPr>
            <xdr:cNvPr id="12293" name="Spinner 5" hidden="1">
              <a:extLst>
                <a:ext uri="{63B3BB69-23CF-44E3-9099-C40C66FF867C}">
                  <a14:compatExt spid="_x0000_s12293"/>
                </a:ext>
                <a:ext uri="{FF2B5EF4-FFF2-40B4-BE49-F238E27FC236}">
                  <a16:creationId xmlns:a16="http://schemas.microsoft.com/office/drawing/2014/main" id="{00000000-0008-0000-0400-00000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17</xdr:row>
          <xdr:rowOff>175260</xdr:rowOff>
        </xdr:from>
        <xdr:to>
          <xdr:col>11</xdr:col>
          <xdr:colOff>693420</xdr:colOff>
          <xdr:row>19</xdr:row>
          <xdr:rowOff>106680</xdr:rowOff>
        </xdr:to>
        <xdr:sp macro="" textlink="">
          <xdr:nvSpPr>
            <xdr:cNvPr id="12294" name="Spinner 6" hidden="1">
              <a:extLst>
                <a:ext uri="{63B3BB69-23CF-44E3-9099-C40C66FF867C}">
                  <a14:compatExt spid="_x0000_s12294"/>
                </a:ext>
                <a:ext uri="{FF2B5EF4-FFF2-40B4-BE49-F238E27FC236}">
                  <a16:creationId xmlns:a16="http://schemas.microsoft.com/office/drawing/2014/main" id="{00000000-0008-0000-0400-000006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20</xdr:row>
          <xdr:rowOff>213360</xdr:rowOff>
        </xdr:from>
        <xdr:to>
          <xdr:col>12</xdr:col>
          <xdr:colOff>22860</xdr:colOff>
          <xdr:row>21</xdr:row>
          <xdr:rowOff>198120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400-0000073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44</xdr:row>
          <xdr:rowOff>76200</xdr:rowOff>
        </xdr:from>
        <xdr:to>
          <xdr:col>8</xdr:col>
          <xdr:colOff>327660</xdr:colOff>
          <xdr:row>46</xdr:row>
          <xdr:rowOff>190500</xdr:rowOff>
        </xdr:to>
        <xdr:sp macro="" textlink="">
          <xdr:nvSpPr>
            <xdr:cNvPr id="12296" name="Object 8" hidden="1">
              <a:extLst>
                <a:ext uri="{63B3BB69-23CF-44E3-9099-C40C66FF867C}">
                  <a14:compatExt spid="_x0000_s12296"/>
                </a:ext>
                <a:ext uri="{FF2B5EF4-FFF2-40B4-BE49-F238E27FC236}">
                  <a16:creationId xmlns:a16="http://schemas.microsoft.com/office/drawing/2014/main" id="{00000000-0008-0000-0400-000008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56</xdr:row>
          <xdr:rowOff>137160</xdr:rowOff>
        </xdr:from>
        <xdr:to>
          <xdr:col>4</xdr:col>
          <xdr:colOff>464820</xdr:colOff>
          <xdr:row>58</xdr:row>
          <xdr:rowOff>38100</xdr:rowOff>
        </xdr:to>
        <xdr:sp macro="" textlink="">
          <xdr:nvSpPr>
            <xdr:cNvPr id="12297" name="Object 9" hidden="1">
              <a:extLst>
                <a:ext uri="{63B3BB69-23CF-44E3-9099-C40C66FF867C}">
                  <a14:compatExt spid="_x0000_s12297"/>
                </a:ext>
                <a:ext uri="{FF2B5EF4-FFF2-40B4-BE49-F238E27FC236}">
                  <a16:creationId xmlns:a16="http://schemas.microsoft.com/office/drawing/2014/main" id="{00000000-0008-0000-0400-000009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85</xdr:row>
          <xdr:rowOff>106680</xdr:rowOff>
        </xdr:from>
        <xdr:to>
          <xdr:col>5</xdr:col>
          <xdr:colOff>220980</xdr:colOff>
          <xdr:row>87</xdr:row>
          <xdr:rowOff>76200</xdr:rowOff>
        </xdr:to>
        <xdr:sp macro="" textlink="">
          <xdr:nvSpPr>
            <xdr:cNvPr id="12299" name="Object 11" hidden="1">
              <a:extLst>
                <a:ext uri="{63B3BB69-23CF-44E3-9099-C40C66FF867C}">
                  <a14:compatExt spid="_x0000_s12299"/>
                </a:ext>
                <a:ext uri="{FF2B5EF4-FFF2-40B4-BE49-F238E27FC236}">
                  <a16:creationId xmlns:a16="http://schemas.microsoft.com/office/drawing/2014/main" id="{00000000-0008-0000-0400-00000B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99</xdr:row>
          <xdr:rowOff>190500</xdr:rowOff>
        </xdr:from>
        <xdr:to>
          <xdr:col>5</xdr:col>
          <xdr:colOff>182880</xdr:colOff>
          <xdr:row>101</xdr:row>
          <xdr:rowOff>45720</xdr:rowOff>
        </xdr:to>
        <xdr:sp macro="" textlink="">
          <xdr:nvSpPr>
            <xdr:cNvPr id="12300" name="Object 12" hidden="1">
              <a:extLst>
                <a:ext uri="{63B3BB69-23CF-44E3-9099-C40C66FF867C}">
                  <a14:compatExt spid="_x0000_s12300"/>
                </a:ext>
                <a:ext uri="{FF2B5EF4-FFF2-40B4-BE49-F238E27FC236}">
                  <a16:creationId xmlns:a16="http://schemas.microsoft.com/office/drawing/2014/main" id="{00000000-0008-0000-0400-00000C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128</xdr:row>
          <xdr:rowOff>182880</xdr:rowOff>
        </xdr:from>
        <xdr:to>
          <xdr:col>5</xdr:col>
          <xdr:colOff>220980</xdr:colOff>
          <xdr:row>129</xdr:row>
          <xdr:rowOff>175260</xdr:rowOff>
        </xdr:to>
        <xdr:sp macro="" textlink="">
          <xdr:nvSpPr>
            <xdr:cNvPr id="12301" name="Drop Down 13" hidden="1">
              <a:extLst>
                <a:ext uri="{63B3BB69-23CF-44E3-9099-C40C66FF867C}">
                  <a14:compatExt spid="_x0000_s12301"/>
                </a:ext>
                <a:ext uri="{FF2B5EF4-FFF2-40B4-BE49-F238E27FC236}">
                  <a16:creationId xmlns:a16="http://schemas.microsoft.com/office/drawing/2014/main" id="{00000000-0008-0000-04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143</xdr:row>
          <xdr:rowOff>99060</xdr:rowOff>
        </xdr:from>
        <xdr:to>
          <xdr:col>5</xdr:col>
          <xdr:colOff>426720</xdr:colOff>
          <xdr:row>145</xdr:row>
          <xdr:rowOff>0</xdr:rowOff>
        </xdr:to>
        <xdr:sp macro="" textlink="">
          <xdr:nvSpPr>
            <xdr:cNvPr id="12303" name="Object 15" hidden="1">
              <a:extLst>
                <a:ext uri="{63B3BB69-23CF-44E3-9099-C40C66FF867C}">
                  <a14:compatExt spid="_x0000_s12303"/>
                </a:ext>
                <a:ext uri="{FF2B5EF4-FFF2-40B4-BE49-F238E27FC236}">
                  <a16:creationId xmlns:a16="http://schemas.microsoft.com/office/drawing/2014/main" id="{00000000-0008-0000-0400-00000F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373380</xdr:colOff>
          <xdr:row>22</xdr:row>
          <xdr:rowOff>121920</xdr:rowOff>
        </xdr:from>
        <xdr:to>
          <xdr:col>12</xdr:col>
          <xdr:colOff>22860</xdr:colOff>
          <xdr:row>24</xdr:row>
          <xdr:rowOff>60960</xdr:rowOff>
        </xdr:to>
        <xdr:sp macro="" textlink="">
          <xdr:nvSpPr>
            <xdr:cNvPr id="12307" name="Spinner 19" hidden="1">
              <a:extLst>
                <a:ext uri="{63B3BB69-23CF-44E3-9099-C40C66FF867C}">
                  <a14:compatExt spid="_x0000_s12307"/>
                </a:ext>
                <a:ext uri="{FF2B5EF4-FFF2-40B4-BE49-F238E27FC236}">
                  <a16:creationId xmlns:a16="http://schemas.microsoft.com/office/drawing/2014/main" id="{00000000-0008-0000-0400-00001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133</xdr:row>
          <xdr:rowOff>152400</xdr:rowOff>
        </xdr:from>
        <xdr:to>
          <xdr:col>5</xdr:col>
          <xdr:colOff>220980</xdr:colOff>
          <xdr:row>134</xdr:row>
          <xdr:rowOff>152400</xdr:rowOff>
        </xdr:to>
        <xdr:sp macro="" textlink="">
          <xdr:nvSpPr>
            <xdr:cNvPr id="12308" name="Drop Down 20" hidden="1">
              <a:extLst>
                <a:ext uri="{63B3BB69-23CF-44E3-9099-C40C66FF867C}">
                  <a14:compatExt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480060</xdr:colOff>
          <xdr:row>133</xdr:row>
          <xdr:rowOff>114300</xdr:rowOff>
        </xdr:from>
        <xdr:to>
          <xdr:col>9</xdr:col>
          <xdr:colOff>175260</xdr:colOff>
          <xdr:row>135</xdr:row>
          <xdr:rowOff>45720</xdr:rowOff>
        </xdr:to>
        <xdr:sp macro="" textlink="">
          <xdr:nvSpPr>
            <xdr:cNvPr id="12309" name="Spinner 21" hidden="1">
              <a:extLst>
                <a:ext uri="{63B3BB69-23CF-44E3-9099-C40C66FF867C}">
                  <a14:compatExt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242</xdr:row>
          <xdr:rowOff>160020</xdr:rowOff>
        </xdr:from>
        <xdr:to>
          <xdr:col>6</xdr:col>
          <xdr:colOff>7620</xdr:colOff>
          <xdr:row>244</xdr:row>
          <xdr:rowOff>0</xdr:rowOff>
        </xdr:to>
        <xdr:sp macro="" textlink="">
          <xdr:nvSpPr>
            <xdr:cNvPr id="12310" name="Drop Down 22" hidden="1">
              <a:extLst>
                <a:ext uri="{63B3BB69-23CF-44E3-9099-C40C66FF867C}">
                  <a14:compatExt spid="_x0000_s12310"/>
                </a:ext>
                <a:ext uri="{FF2B5EF4-FFF2-40B4-BE49-F238E27FC236}">
                  <a16:creationId xmlns:a16="http://schemas.microsoft.com/office/drawing/2014/main" id="{00000000-0008-0000-04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373380</xdr:colOff>
          <xdr:row>24</xdr:row>
          <xdr:rowOff>160020</xdr:rowOff>
        </xdr:from>
        <xdr:to>
          <xdr:col>12</xdr:col>
          <xdr:colOff>22860</xdr:colOff>
          <xdr:row>26</xdr:row>
          <xdr:rowOff>99060</xdr:rowOff>
        </xdr:to>
        <xdr:sp macro="" textlink="">
          <xdr:nvSpPr>
            <xdr:cNvPr id="12311" name="Spinner 23"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71</xdr:row>
          <xdr:rowOff>121920</xdr:rowOff>
        </xdr:from>
        <xdr:to>
          <xdr:col>5</xdr:col>
          <xdr:colOff>137160</xdr:colOff>
          <xdr:row>73</xdr:row>
          <xdr:rowOff>30480</xdr:rowOff>
        </xdr:to>
        <xdr:sp macro="" textlink="">
          <xdr:nvSpPr>
            <xdr:cNvPr id="12313" name="Object 25" hidden="1">
              <a:extLst>
                <a:ext uri="{63B3BB69-23CF-44E3-9099-C40C66FF867C}">
                  <a14:compatExt spid="_x0000_s12313"/>
                </a:ext>
                <a:ext uri="{FF2B5EF4-FFF2-40B4-BE49-F238E27FC236}">
                  <a16:creationId xmlns:a16="http://schemas.microsoft.com/office/drawing/2014/main" id="{00000000-0008-0000-0400-000019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252</xdr:row>
          <xdr:rowOff>0</xdr:rowOff>
        </xdr:from>
        <xdr:to>
          <xdr:col>5</xdr:col>
          <xdr:colOff>365760</xdr:colOff>
          <xdr:row>253</xdr:row>
          <xdr:rowOff>22860</xdr:rowOff>
        </xdr:to>
        <xdr:sp macro="" textlink="">
          <xdr:nvSpPr>
            <xdr:cNvPr id="2" name="Drop Down 34" hidden="1">
              <a:extLst>
                <a:ext uri="{63B3BB69-23CF-44E3-9099-C40C66FF867C}">
                  <a14:compatExt spid="_x0000_s12322"/>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c:userShapes xmlns:c="http://schemas.openxmlformats.org/drawingml/2006/chart">
  <cdr:relSizeAnchor xmlns:cdr="http://schemas.openxmlformats.org/drawingml/2006/chartDrawing">
    <cdr:from>
      <cdr:x>0.84822</cdr:x>
      <cdr:y>0.28361</cdr:y>
    </cdr:from>
    <cdr:to>
      <cdr:x>0.99414</cdr:x>
      <cdr:y>0.32917</cdr:y>
    </cdr:to>
    <cdr:sp macro="" textlink="">
      <cdr:nvSpPr>
        <cdr:cNvPr id="2" name="pole tekstowe 1"/>
        <cdr:cNvSpPr txBox="1"/>
      </cdr:nvSpPr>
      <cdr:spPr>
        <a:xfrm xmlns:a="http://schemas.openxmlformats.org/drawingml/2006/main">
          <a:off x="5518158" y="1296665"/>
          <a:ext cx="949316" cy="2082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pl-PL" sz="1100"/>
            <a:t>punkt pracy</a:t>
          </a:r>
        </a:p>
      </cdr:txBody>
    </cdr:sp>
  </cdr:relSizeAnchor>
</c:userShapes>
</file>

<file path=xl/drawings/drawing7.xml><?xml version="1.0" encoding="utf-8"?>
<c:userShapes xmlns:c="http://schemas.openxmlformats.org/drawingml/2006/chart">
  <cdr:relSizeAnchor xmlns:cdr="http://schemas.openxmlformats.org/drawingml/2006/chartDrawing">
    <cdr:from>
      <cdr:x>0.84428</cdr:x>
      <cdr:y>0.34601</cdr:y>
    </cdr:from>
    <cdr:to>
      <cdr:x>0.99562</cdr:x>
      <cdr:y>0.39008</cdr:y>
    </cdr:to>
    <cdr:sp macro="" textlink="">
      <cdr:nvSpPr>
        <cdr:cNvPr id="2" name="pole tekstowe 1"/>
        <cdr:cNvSpPr txBox="1"/>
      </cdr:nvSpPr>
      <cdr:spPr>
        <a:xfrm xmlns:a="http://schemas.openxmlformats.org/drawingml/2006/main">
          <a:off x="5508625" y="1993900"/>
          <a:ext cx="987424" cy="254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pl-PL" sz="1100"/>
            <a:t>punkt pracy</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3</xdr:col>
      <xdr:colOff>476251</xdr:colOff>
      <xdr:row>222</xdr:row>
      <xdr:rowOff>190501</xdr:rowOff>
    </xdr:from>
    <xdr:to>
      <xdr:col>11</xdr:col>
      <xdr:colOff>38100</xdr:colOff>
      <xdr:row>234</xdr:row>
      <xdr:rowOff>178555</xdr:rowOff>
    </xdr:to>
    <xdr:pic>
      <xdr:nvPicPr>
        <xdr:cNvPr id="6" name="Picture 38">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1" y="47167801"/>
          <a:ext cx="4076699" cy="2616954"/>
        </a:xfrm>
        <a:prstGeom prst="rect">
          <a:avLst/>
        </a:prstGeom>
        <a:noFill/>
      </xdr:spPr>
    </xdr:pic>
    <xdr:clientData/>
  </xdr:twoCellAnchor>
  <xdr:twoCellAnchor>
    <xdr:from>
      <xdr:col>3</xdr:col>
      <xdr:colOff>295275</xdr:colOff>
      <xdr:row>224</xdr:row>
      <xdr:rowOff>142875</xdr:rowOff>
    </xdr:from>
    <xdr:to>
      <xdr:col>5</xdr:col>
      <xdr:colOff>38100</xdr:colOff>
      <xdr:row>224</xdr:row>
      <xdr:rowOff>152400</xdr:rowOff>
    </xdr:to>
    <xdr:cxnSp macro="">
      <xdr:nvCxnSpPr>
        <xdr:cNvPr id="7" name="Łącznik prosty ze strzałką 6">
          <a:extLst>
            <a:ext uri="{FF2B5EF4-FFF2-40B4-BE49-F238E27FC236}">
              <a16:creationId xmlns:a16="http://schemas.microsoft.com/office/drawing/2014/main" id="{00000000-0008-0000-0500-000007000000}"/>
            </a:ext>
          </a:extLst>
        </xdr:cNvPr>
        <xdr:cNvCxnSpPr/>
      </xdr:nvCxnSpPr>
      <xdr:spPr>
        <a:xfrm flipH="1" flipV="1">
          <a:off x="1533525" y="47558325"/>
          <a:ext cx="828675" cy="95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256189</xdr:colOff>
      <xdr:row>230</xdr:row>
      <xdr:rowOff>111673</xdr:rowOff>
    </xdr:from>
    <xdr:to>
      <xdr:col>4</xdr:col>
      <xdr:colOff>26276</xdr:colOff>
      <xdr:row>230</xdr:row>
      <xdr:rowOff>111673</xdr:rowOff>
    </xdr:to>
    <xdr:cxnSp macro="">
      <xdr:nvCxnSpPr>
        <xdr:cNvPr id="8" name="Łącznik prosty ze strzałką 7">
          <a:extLst>
            <a:ext uri="{FF2B5EF4-FFF2-40B4-BE49-F238E27FC236}">
              <a16:creationId xmlns:a16="http://schemas.microsoft.com/office/drawing/2014/main" id="{00000000-0008-0000-0500-000008000000}"/>
            </a:ext>
          </a:extLst>
        </xdr:cNvPr>
        <xdr:cNvCxnSpPr/>
      </xdr:nvCxnSpPr>
      <xdr:spPr>
        <a:xfrm flipH="1">
          <a:off x="1494439" y="48841573"/>
          <a:ext cx="284437"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118240</xdr:colOff>
      <xdr:row>224</xdr:row>
      <xdr:rowOff>105104</xdr:rowOff>
    </xdr:from>
    <xdr:to>
      <xdr:col>11</xdr:col>
      <xdr:colOff>420414</xdr:colOff>
      <xdr:row>224</xdr:row>
      <xdr:rowOff>170793</xdr:rowOff>
    </xdr:to>
    <xdr:cxnSp macro="">
      <xdr:nvCxnSpPr>
        <xdr:cNvPr id="9" name="Łącznik prosty ze strzałką 8">
          <a:extLst>
            <a:ext uri="{FF2B5EF4-FFF2-40B4-BE49-F238E27FC236}">
              <a16:creationId xmlns:a16="http://schemas.microsoft.com/office/drawing/2014/main" id="{00000000-0008-0000-0500-000009000000}"/>
            </a:ext>
          </a:extLst>
        </xdr:cNvPr>
        <xdr:cNvCxnSpPr/>
      </xdr:nvCxnSpPr>
      <xdr:spPr>
        <a:xfrm flipV="1">
          <a:off x="5156965" y="47520554"/>
          <a:ext cx="1016549" cy="6568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40728</xdr:colOff>
      <xdr:row>230</xdr:row>
      <xdr:rowOff>111673</xdr:rowOff>
    </xdr:from>
    <xdr:to>
      <xdr:col>11</xdr:col>
      <xdr:colOff>413845</xdr:colOff>
      <xdr:row>230</xdr:row>
      <xdr:rowOff>126125</xdr:rowOff>
    </xdr:to>
    <xdr:cxnSp macro="">
      <xdr:nvCxnSpPr>
        <xdr:cNvPr id="10" name="Łącznik prosty ze strzałką 9">
          <a:extLst>
            <a:ext uri="{FF2B5EF4-FFF2-40B4-BE49-F238E27FC236}">
              <a16:creationId xmlns:a16="http://schemas.microsoft.com/office/drawing/2014/main" id="{00000000-0008-0000-0500-00000A000000}"/>
            </a:ext>
          </a:extLst>
        </xdr:cNvPr>
        <xdr:cNvCxnSpPr/>
      </xdr:nvCxnSpPr>
      <xdr:spPr>
        <a:xfrm flipV="1">
          <a:off x="5793828" y="48841573"/>
          <a:ext cx="373117" cy="1445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342900</xdr:colOff>
      <xdr:row>227</xdr:row>
      <xdr:rowOff>95250</xdr:rowOff>
    </xdr:from>
    <xdr:to>
      <xdr:col>4</xdr:col>
      <xdr:colOff>240988</xdr:colOff>
      <xdr:row>229</xdr:row>
      <xdr:rowOff>196766</xdr:rowOff>
    </xdr:to>
    <xdr:pic>
      <xdr:nvPicPr>
        <xdr:cNvPr id="11" name="Picture 5">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81150" y="50358675"/>
          <a:ext cx="412438" cy="539666"/>
        </a:xfrm>
        <a:prstGeom prst="rect">
          <a:avLst/>
        </a:prstGeom>
        <a:noFill/>
        <a:ln w="12700" algn="ctr">
          <a:noFill/>
          <a:miter lim="800000"/>
          <a:headEnd/>
          <a:tailEnd/>
        </a:ln>
      </xdr:spPr>
    </xdr:pic>
    <xdr:clientData/>
  </xdr:twoCellAnchor>
  <xdr:twoCellAnchor editAs="oneCell">
    <xdr:from>
      <xdr:col>5</xdr:col>
      <xdr:colOff>0</xdr:colOff>
      <xdr:row>221</xdr:row>
      <xdr:rowOff>209550</xdr:rowOff>
    </xdr:from>
    <xdr:to>
      <xdr:col>5</xdr:col>
      <xdr:colOff>380999</xdr:colOff>
      <xdr:row>224</xdr:row>
      <xdr:rowOff>84711</xdr:rowOff>
    </xdr:to>
    <xdr:pic>
      <xdr:nvPicPr>
        <xdr:cNvPr id="12" name="Picture 4">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324100" y="49158525"/>
          <a:ext cx="380999" cy="532386"/>
        </a:xfrm>
        <a:prstGeom prst="rect">
          <a:avLst/>
        </a:prstGeom>
        <a:noFill/>
        <a:ln w="12700" algn="ctr">
          <a:noFill/>
          <a:miter lim="800000"/>
          <a:headEnd/>
          <a:tailEnd/>
        </a:ln>
      </xdr:spPr>
    </xdr:pic>
    <xdr:clientData/>
  </xdr:twoCellAnchor>
  <xdr:twoCellAnchor editAs="oneCell">
    <xdr:from>
      <xdr:col>9</xdr:col>
      <xdr:colOff>390525</xdr:colOff>
      <xdr:row>221</xdr:row>
      <xdr:rowOff>180975</xdr:rowOff>
    </xdr:from>
    <xdr:to>
      <xdr:col>10</xdr:col>
      <xdr:colOff>187782</xdr:colOff>
      <xdr:row>224</xdr:row>
      <xdr:rowOff>57150</xdr:rowOff>
    </xdr:to>
    <xdr:pic>
      <xdr:nvPicPr>
        <xdr:cNvPr id="13" name="Picture 3">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848225" y="49129950"/>
          <a:ext cx="378282" cy="533400"/>
        </a:xfrm>
        <a:prstGeom prst="rect">
          <a:avLst/>
        </a:prstGeom>
        <a:noFill/>
        <a:ln w="12700" algn="ctr">
          <a:noFill/>
          <a:miter lim="800000"/>
          <a:headEnd/>
          <a:tailEnd/>
        </a:ln>
      </xdr:spPr>
    </xdr:pic>
    <xdr:clientData/>
  </xdr:twoCellAnchor>
  <xdr:twoCellAnchor>
    <xdr:from>
      <xdr:col>1</xdr:col>
      <xdr:colOff>104775</xdr:colOff>
      <xdr:row>236</xdr:row>
      <xdr:rowOff>123825</xdr:rowOff>
    </xdr:from>
    <xdr:to>
      <xdr:col>11</xdr:col>
      <xdr:colOff>180975</xdr:colOff>
      <xdr:row>241</xdr:row>
      <xdr:rowOff>171450</xdr:rowOff>
    </xdr:to>
    <xdr:sp macro="" textlink="">
      <xdr:nvSpPr>
        <xdr:cNvPr id="14" name="Prostokąt 13">
          <a:extLst>
            <a:ext uri="{FF2B5EF4-FFF2-40B4-BE49-F238E27FC236}">
              <a16:creationId xmlns:a16="http://schemas.microsoft.com/office/drawing/2014/main" id="{00000000-0008-0000-0500-00000E000000}"/>
            </a:ext>
          </a:extLst>
        </xdr:cNvPr>
        <xdr:cNvSpPr/>
      </xdr:nvSpPr>
      <xdr:spPr>
        <a:xfrm>
          <a:off x="552450" y="52358925"/>
          <a:ext cx="5381625" cy="11430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l-PL" sz="1100"/>
        </a:p>
      </xdr:txBody>
    </xdr:sp>
    <xdr:clientData/>
  </xdr:twoCellAnchor>
  <xdr:twoCellAnchor editAs="oneCell">
    <xdr:from>
      <xdr:col>0</xdr:col>
      <xdr:colOff>0</xdr:colOff>
      <xdr:row>0</xdr:row>
      <xdr:rowOff>0</xdr:rowOff>
    </xdr:from>
    <xdr:to>
      <xdr:col>1</xdr:col>
      <xdr:colOff>19050</xdr:colOff>
      <xdr:row>0</xdr:row>
      <xdr:rowOff>663515</xdr:rowOff>
    </xdr:to>
    <xdr:pic>
      <xdr:nvPicPr>
        <xdr:cNvPr id="15" name="Obraz 14" descr="Powrót.png">
          <a:hlinkClick xmlns:r="http://schemas.openxmlformats.org/officeDocument/2006/relationships" r:id="rId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cstate="print"/>
        <a:stretch>
          <a:fillRect/>
        </a:stretch>
      </xdr:blipFill>
      <xdr:spPr>
        <a:xfrm>
          <a:off x="0" y="0"/>
          <a:ext cx="676275" cy="663515"/>
        </a:xfrm>
        <a:prstGeom prst="rect">
          <a:avLst/>
        </a:prstGeom>
      </xdr:spPr>
    </xdr:pic>
    <xdr:clientData/>
  </xdr:twoCellAnchor>
  <xdr:twoCellAnchor editAs="oneCell">
    <xdr:from>
      <xdr:col>14</xdr:col>
      <xdr:colOff>133350</xdr:colOff>
      <xdr:row>132</xdr:row>
      <xdr:rowOff>104775</xdr:rowOff>
    </xdr:from>
    <xdr:to>
      <xdr:col>18</xdr:col>
      <xdr:colOff>590549</xdr:colOff>
      <xdr:row>141</xdr:row>
      <xdr:rowOff>78617</xdr:rowOff>
    </xdr:to>
    <xdr:pic>
      <xdr:nvPicPr>
        <xdr:cNvPr id="17" name="Picture 6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43850" y="27279600"/>
          <a:ext cx="3200399" cy="1945517"/>
        </a:xfrm>
        <a:prstGeom prst="rect">
          <a:avLst/>
        </a:prstGeom>
        <a:noFill/>
        <a:ln w="1">
          <a:noFill/>
          <a:miter lim="800000"/>
          <a:headEnd/>
          <a:tailEnd type="none" w="med" len="med"/>
        </a:ln>
        <a:effectLst/>
      </xdr:spPr>
    </xdr:pic>
    <xdr:clientData/>
  </xdr:twoCellAnchor>
  <xdr:twoCellAnchor editAs="oneCell">
    <xdr:from>
      <xdr:col>14</xdr:col>
      <xdr:colOff>133350</xdr:colOff>
      <xdr:row>143</xdr:row>
      <xdr:rowOff>95250</xdr:rowOff>
    </xdr:from>
    <xdr:to>
      <xdr:col>18</xdr:col>
      <xdr:colOff>584929</xdr:colOff>
      <xdr:row>151</xdr:row>
      <xdr:rowOff>53423</xdr:rowOff>
    </xdr:to>
    <xdr:pic>
      <xdr:nvPicPr>
        <xdr:cNvPr id="18" name="Picture 63">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943850" y="29679900"/>
          <a:ext cx="3194779" cy="1710773"/>
        </a:xfrm>
        <a:prstGeom prst="rect">
          <a:avLst/>
        </a:prstGeom>
        <a:noFill/>
      </xdr:spPr>
    </xdr:pic>
    <xdr:clientData/>
  </xdr:twoCellAnchor>
  <xdr:twoCellAnchor editAs="oneCell">
    <xdr:from>
      <xdr:col>14</xdr:col>
      <xdr:colOff>133350</xdr:colOff>
      <xdr:row>251</xdr:row>
      <xdr:rowOff>19051</xdr:rowOff>
    </xdr:from>
    <xdr:to>
      <xdr:col>18</xdr:col>
      <xdr:colOff>381925</xdr:colOff>
      <xdr:row>259</xdr:row>
      <xdr:rowOff>95251</xdr:rowOff>
    </xdr:to>
    <xdr:pic>
      <xdr:nvPicPr>
        <xdr:cNvPr id="15399" name="Picture 39">
          <a:extLst>
            <a:ext uri="{FF2B5EF4-FFF2-40B4-BE49-F238E27FC236}">
              <a16:creationId xmlns:a16="http://schemas.microsoft.com/office/drawing/2014/main" id="{00000000-0008-0000-0500-0000273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7943850" y="53787676"/>
          <a:ext cx="2991775" cy="1828800"/>
        </a:xfrm>
        <a:prstGeom prst="rect">
          <a:avLst/>
        </a:prstGeom>
        <a:noFill/>
      </xdr:spPr>
    </xdr:pic>
    <xdr:clientData/>
  </xdr:twoCellAnchor>
  <xdr:twoCellAnchor editAs="oneCell">
    <xdr:from>
      <xdr:col>14</xdr:col>
      <xdr:colOff>114300</xdr:colOff>
      <xdr:row>260</xdr:row>
      <xdr:rowOff>171450</xdr:rowOff>
    </xdr:from>
    <xdr:to>
      <xdr:col>18</xdr:col>
      <xdr:colOff>371475</xdr:colOff>
      <xdr:row>267</xdr:row>
      <xdr:rowOff>123825</xdr:rowOff>
    </xdr:to>
    <xdr:pic>
      <xdr:nvPicPr>
        <xdr:cNvPr id="15401" name="Picture 41">
          <a:extLst>
            <a:ext uri="{FF2B5EF4-FFF2-40B4-BE49-F238E27FC236}">
              <a16:creationId xmlns:a16="http://schemas.microsoft.com/office/drawing/2014/main" id="{00000000-0008-0000-0500-0000293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7924800" y="55911750"/>
          <a:ext cx="3000375" cy="1552575"/>
        </a:xfrm>
        <a:prstGeom prst="rect">
          <a:avLst/>
        </a:prstGeom>
        <a:noFill/>
      </xdr:spPr>
    </xdr:pic>
    <xdr:clientData/>
  </xdr:twoCellAnchor>
  <xdr:twoCellAnchor>
    <xdr:from>
      <xdr:col>1</xdr:col>
      <xdr:colOff>0</xdr:colOff>
      <xdr:row>0</xdr:row>
      <xdr:rowOff>14021</xdr:rowOff>
    </xdr:from>
    <xdr:to>
      <xdr:col>13</xdr:col>
      <xdr:colOff>0</xdr:colOff>
      <xdr:row>1</xdr:row>
      <xdr:rowOff>0</xdr:rowOff>
    </xdr:to>
    <xdr:sp macro="" textlink="">
      <xdr:nvSpPr>
        <xdr:cNvPr id="19" name="Rectangle 1">
          <a:extLst>
            <a:ext uri="{FF2B5EF4-FFF2-40B4-BE49-F238E27FC236}">
              <a16:creationId xmlns:a16="http://schemas.microsoft.com/office/drawing/2014/main" id="{00000000-0008-0000-0500-000013000000}"/>
            </a:ext>
          </a:extLst>
        </xdr:cNvPr>
        <xdr:cNvSpPr/>
      </xdr:nvSpPr>
      <xdr:spPr>
        <a:xfrm>
          <a:off x="657225" y="14021"/>
          <a:ext cx="6715125" cy="652729"/>
        </a:xfrm>
        <a:prstGeom prst="rect">
          <a:avLst/>
        </a:prstGeom>
        <a:gradFill flip="none" rotWithShape="1">
          <a:gsLst>
            <a:gs pos="0">
              <a:srgbClr val="EF7D00"/>
            </a:gs>
            <a:gs pos="100000">
              <a:srgbClr val="C74F07"/>
            </a:gs>
          </a:gsLst>
          <a:lin ang="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wrap="square" lIns="360000" tIns="360000" rIns="91417" bIns="108000" rtlCol="0" anchor="ctr"/>
        <a:lstStyle>
          <a:defPPr>
            <a:defRPr lang="en-US"/>
          </a:defPPr>
          <a:lvl1pPr marL="0" algn="l" defTabSz="510683" rtl="0" eaLnBrk="1" latinLnBrk="0" hangingPunct="1">
            <a:defRPr sz="2000" kern="1200">
              <a:solidFill>
                <a:schemeClr val="lt1"/>
              </a:solidFill>
              <a:latin typeface="+mn-lt"/>
              <a:ea typeface="+mn-ea"/>
              <a:cs typeface="+mn-cs"/>
            </a:defRPr>
          </a:lvl1pPr>
          <a:lvl2pPr marL="510683" algn="l" defTabSz="510683" rtl="0" eaLnBrk="1" latinLnBrk="0" hangingPunct="1">
            <a:defRPr sz="2000" kern="1200">
              <a:solidFill>
                <a:schemeClr val="lt1"/>
              </a:solidFill>
              <a:latin typeface="+mn-lt"/>
              <a:ea typeface="+mn-ea"/>
              <a:cs typeface="+mn-cs"/>
            </a:defRPr>
          </a:lvl2pPr>
          <a:lvl3pPr marL="1021367" algn="l" defTabSz="510683" rtl="0" eaLnBrk="1" latinLnBrk="0" hangingPunct="1">
            <a:defRPr sz="2000" kern="1200">
              <a:solidFill>
                <a:schemeClr val="lt1"/>
              </a:solidFill>
              <a:latin typeface="+mn-lt"/>
              <a:ea typeface="+mn-ea"/>
              <a:cs typeface="+mn-cs"/>
            </a:defRPr>
          </a:lvl3pPr>
          <a:lvl4pPr marL="1532050" algn="l" defTabSz="510683" rtl="0" eaLnBrk="1" latinLnBrk="0" hangingPunct="1">
            <a:defRPr sz="2000" kern="1200">
              <a:solidFill>
                <a:schemeClr val="lt1"/>
              </a:solidFill>
              <a:latin typeface="+mn-lt"/>
              <a:ea typeface="+mn-ea"/>
              <a:cs typeface="+mn-cs"/>
            </a:defRPr>
          </a:lvl4pPr>
          <a:lvl5pPr marL="2042734" algn="l" defTabSz="510683" rtl="0" eaLnBrk="1" latinLnBrk="0" hangingPunct="1">
            <a:defRPr sz="2000" kern="1200">
              <a:solidFill>
                <a:schemeClr val="lt1"/>
              </a:solidFill>
              <a:latin typeface="+mn-lt"/>
              <a:ea typeface="+mn-ea"/>
              <a:cs typeface="+mn-cs"/>
            </a:defRPr>
          </a:lvl5pPr>
          <a:lvl6pPr marL="2553418" algn="l" defTabSz="510683" rtl="0" eaLnBrk="1" latinLnBrk="0" hangingPunct="1">
            <a:defRPr sz="2000" kern="1200">
              <a:solidFill>
                <a:schemeClr val="lt1"/>
              </a:solidFill>
              <a:latin typeface="+mn-lt"/>
              <a:ea typeface="+mn-ea"/>
              <a:cs typeface="+mn-cs"/>
            </a:defRPr>
          </a:lvl6pPr>
          <a:lvl7pPr marL="3064102" algn="l" defTabSz="510683" rtl="0" eaLnBrk="1" latinLnBrk="0" hangingPunct="1">
            <a:defRPr sz="2000" kern="1200">
              <a:solidFill>
                <a:schemeClr val="lt1"/>
              </a:solidFill>
              <a:latin typeface="+mn-lt"/>
              <a:ea typeface="+mn-ea"/>
              <a:cs typeface="+mn-cs"/>
            </a:defRPr>
          </a:lvl7pPr>
          <a:lvl8pPr marL="3574785" algn="l" defTabSz="510683" rtl="0" eaLnBrk="1" latinLnBrk="0" hangingPunct="1">
            <a:defRPr sz="2000" kern="1200">
              <a:solidFill>
                <a:schemeClr val="lt1"/>
              </a:solidFill>
              <a:latin typeface="+mn-lt"/>
              <a:ea typeface="+mn-ea"/>
              <a:cs typeface="+mn-cs"/>
            </a:defRPr>
          </a:lvl8pPr>
          <a:lvl9pPr marL="4085470" algn="l" defTabSz="510683" rtl="0" eaLnBrk="1" latinLnBrk="0" hangingPunct="1">
            <a:defRPr sz="2000" kern="1200">
              <a:solidFill>
                <a:schemeClr val="lt1"/>
              </a:solidFill>
              <a:latin typeface="+mn-lt"/>
              <a:ea typeface="+mn-ea"/>
              <a:cs typeface="+mn-cs"/>
            </a:defRPr>
          </a:lvl9pPr>
        </a:lstStyle>
        <a:p>
          <a:pPr marL="0" algn="l"/>
          <a:r>
            <a:rPr lang="pl-PL" sz="1800" baseline="0">
              <a:latin typeface="+mn-lt"/>
            </a:rPr>
            <a:t>Arkusz doboru </a:t>
          </a:r>
          <a:r>
            <a:rPr lang="pl-PL" sz="1800" b="1" baseline="0">
              <a:latin typeface="+mn-lt"/>
            </a:rPr>
            <a:t>naczynia wzbiorczego do instalacji</a:t>
          </a:r>
        </a:p>
        <a:p>
          <a:pPr marL="0" algn="l"/>
          <a:r>
            <a:rPr lang="pl-PL" sz="1800" b="1" baseline="0">
              <a:latin typeface="+mn-lt"/>
            </a:rPr>
            <a:t>solarnej </a:t>
          </a:r>
          <a:r>
            <a:rPr lang="pl-PL" sz="1800" b="0" baseline="0">
              <a:latin typeface="+mn-lt"/>
            </a:rPr>
            <a:t>wg</a:t>
          </a:r>
          <a:r>
            <a:rPr lang="pl-PL" sz="1800" b="1" baseline="0">
              <a:latin typeface="+mn-lt"/>
            </a:rPr>
            <a:t> </a:t>
          </a:r>
          <a:r>
            <a:rPr lang="pl-PL" sz="1800" b="0" baseline="0">
              <a:latin typeface="+mn-lt"/>
            </a:rPr>
            <a:t>:</a:t>
          </a:r>
          <a:r>
            <a:rPr lang="pl-PL" sz="1800" baseline="0">
              <a:latin typeface="+mn-lt"/>
            </a:rPr>
            <a:t> PN-EN 12828</a:t>
          </a:r>
          <a:endParaRPr lang="en-US" sz="1800" baseline="0">
            <a:latin typeface="+mn-lt"/>
          </a:endParaRPr>
        </a:p>
      </xdr:txBody>
    </xdr:sp>
    <xdr:clientData/>
  </xdr:twoCellAnchor>
  <xdr:twoCellAnchor editAs="oneCell">
    <xdr:from>
      <xdr:col>11</xdr:col>
      <xdr:colOff>197031</xdr:colOff>
      <xdr:row>0</xdr:row>
      <xdr:rowOff>0</xdr:rowOff>
    </xdr:from>
    <xdr:to>
      <xdr:col>13</xdr:col>
      <xdr:colOff>17638</xdr:colOff>
      <xdr:row>1</xdr:row>
      <xdr:rowOff>0</xdr:rowOff>
    </xdr:to>
    <xdr:pic>
      <xdr:nvPicPr>
        <xdr:cNvPr id="20" name="Picture 10">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1" cstate="print"/>
        <a:stretch>
          <a:fillRect/>
        </a:stretch>
      </xdr:blipFill>
      <xdr:spPr>
        <a:xfrm>
          <a:off x="6159681" y="0"/>
          <a:ext cx="1230307" cy="819150"/>
        </a:xfrm>
        <a:prstGeom prst="rect">
          <a:avLst/>
        </a:prstGeom>
      </xdr:spPr>
    </xdr:pic>
    <xdr:clientData/>
  </xdr:twoCellAnchor>
  <xdr:twoCellAnchor editAs="oneCell">
    <xdr:from>
      <xdr:col>13</xdr:col>
      <xdr:colOff>0</xdr:colOff>
      <xdr:row>1</xdr:row>
      <xdr:rowOff>0</xdr:rowOff>
    </xdr:from>
    <xdr:to>
      <xdr:col>21</xdr:col>
      <xdr:colOff>228600</xdr:colOff>
      <xdr:row>13</xdr:row>
      <xdr:rowOff>28575</xdr:rowOff>
    </xdr:to>
    <xdr:pic>
      <xdr:nvPicPr>
        <xdr:cNvPr id="21" name="Picture 65">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372350" y="819150"/>
          <a:ext cx="5467350" cy="2657475"/>
        </a:xfrm>
        <a:prstGeom prst="rect">
          <a:avLst/>
        </a:prstGeom>
        <a:noFill/>
      </xdr:spPr>
    </xdr:pic>
    <xdr:clientData/>
  </xdr:twoCellAnchor>
  <xdr:twoCellAnchor editAs="oneCell">
    <xdr:from>
      <xdr:col>1</xdr:col>
      <xdr:colOff>9525</xdr:colOff>
      <xdr:row>277</xdr:row>
      <xdr:rowOff>219074</xdr:rowOff>
    </xdr:from>
    <xdr:to>
      <xdr:col>13</xdr:col>
      <xdr:colOff>1753</xdr:colOff>
      <xdr:row>280</xdr:row>
      <xdr:rowOff>123824</xdr:rowOff>
    </xdr:to>
    <xdr:pic>
      <xdr:nvPicPr>
        <xdr:cNvPr id="22" name="Picture 6">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0" y="61655324"/>
          <a:ext cx="6707353" cy="56197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8</xdr:col>
          <xdr:colOff>365760</xdr:colOff>
          <xdr:row>16</xdr:row>
          <xdr:rowOff>22860</xdr:rowOff>
        </xdr:from>
        <xdr:to>
          <xdr:col>12</xdr:col>
          <xdr:colOff>0</xdr:colOff>
          <xdr:row>17</xdr:row>
          <xdr:rowOff>22860</xdr:rowOff>
        </xdr:to>
        <xdr:sp macro="" textlink="">
          <xdr:nvSpPr>
            <xdr:cNvPr id="15361" name="Drop Down 1" hidden="1">
              <a:extLst>
                <a:ext uri="{63B3BB69-23CF-44E3-9099-C40C66FF867C}">
                  <a14:compatExt spid="_x0000_s15361"/>
                </a:ext>
                <a:ext uri="{FF2B5EF4-FFF2-40B4-BE49-F238E27FC236}">
                  <a16:creationId xmlns:a16="http://schemas.microsoft.com/office/drawing/2014/main" id="{00000000-0008-0000-05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7</xdr:row>
          <xdr:rowOff>83820</xdr:rowOff>
        </xdr:from>
        <xdr:to>
          <xdr:col>12</xdr:col>
          <xdr:colOff>0</xdr:colOff>
          <xdr:row>9</xdr:row>
          <xdr:rowOff>38100</xdr:rowOff>
        </xdr:to>
        <xdr:sp macro="" textlink="">
          <xdr:nvSpPr>
            <xdr:cNvPr id="15362" name="Spinner 2" hidden="1">
              <a:extLst>
                <a:ext uri="{63B3BB69-23CF-44E3-9099-C40C66FF867C}">
                  <a14:compatExt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9</xdr:row>
          <xdr:rowOff>83820</xdr:rowOff>
        </xdr:from>
        <xdr:to>
          <xdr:col>12</xdr:col>
          <xdr:colOff>0</xdr:colOff>
          <xdr:row>11</xdr:row>
          <xdr:rowOff>38100</xdr:rowOff>
        </xdr:to>
        <xdr:sp macro="" textlink="">
          <xdr:nvSpPr>
            <xdr:cNvPr id="15363" name="Spinner 3" hidden="1">
              <a:extLst>
                <a:ext uri="{63B3BB69-23CF-44E3-9099-C40C66FF867C}">
                  <a14:compatExt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11</xdr:row>
          <xdr:rowOff>83820</xdr:rowOff>
        </xdr:from>
        <xdr:to>
          <xdr:col>12</xdr:col>
          <xdr:colOff>0</xdr:colOff>
          <xdr:row>13</xdr:row>
          <xdr:rowOff>38100</xdr:rowOff>
        </xdr:to>
        <xdr:sp macro="" textlink="">
          <xdr:nvSpPr>
            <xdr:cNvPr id="15364" name="Spinner 4" hidden="1">
              <a:extLst>
                <a:ext uri="{63B3BB69-23CF-44E3-9099-C40C66FF867C}">
                  <a14:compatExt spid="_x0000_s15364"/>
                </a:ext>
                <a:ext uri="{FF2B5EF4-FFF2-40B4-BE49-F238E27FC236}">
                  <a16:creationId xmlns:a16="http://schemas.microsoft.com/office/drawing/2014/main" id="{00000000-0008-0000-0500-000004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19</xdr:row>
          <xdr:rowOff>99060</xdr:rowOff>
        </xdr:from>
        <xdr:to>
          <xdr:col>12</xdr:col>
          <xdr:colOff>0</xdr:colOff>
          <xdr:row>21</xdr:row>
          <xdr:rowOff>45720</xdr:rowOff>
        </xdr:to>
        <xdr:sp macro="" textlink="">
          <xdr:nvSpPr>
            <xdr:cNvPr id="15365" name="Spinner 5" hidden="1">
              <a:extLst>
                <a:ext uri="{63B3BB69-23CF-44E3-9099-C40C66FF867C}">
                  <a14:compatExt spid="_x0000_s15365"/>
                </a:ext>
                <a:ext uri="{FF2B5EF4-FFF2-40B4-BE49-F238E27FC236}">
                  <a16:creationId xmlns:a16="http://schemas.microsoft.com/office/drawing/2014/main" id="{00000000-0008-0000-0500-000005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21</xdr:row>
          <xdr:rowOff>99060</xdr:rowOff>
        </xdr:from>
        <xdr:to>
          <xdr:col>12</xdr:col>
          <xdr:colOff>0</xdr:colOff>
          <xdr:row>23</xdr:row>
          <xdr:rowOff>45720</xdr:rowOff>
        </xdr:to>
        <xdr:sp macro="" textlink="">
          <xdr:nvSpPr>
            <xdr:cNvPr id="15366" name="Spinner 6" hidden="1">
              <a:extLst>
                <a:ext uri="{63B3BB69-23CF-44E3-9099-C40C66FF867C}">
                  <a14:compatExt spid="_x0000_s15366"/>
                </a:ext>
                <a:ext uri="{FF2B5EF4-FFF2-40B4-BE49-F238E27FC236}">
                  <a16:creationId xmlns:a16="http://schemas.microsoft.com/office/drawing/2014/main" id="{00000000-0008-0000-0500-000006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24</xdr:row>
          <xdr:rowOff>160020</xdr:rowOff>
        </xdr:from>
        <xdr:to>
          <xdr:col>12</xdr:col>
          <xdr:colOff>30480</xdr:colOff>
          <xdr:row>25</xdr:row>
          <xdr:rowOff>160020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500-0000073C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pl-PL" sz="800" b="0" i="0" u="none" strike="noStrike" baseline="0">
                  <a:solidFill>
                    <a:srgbClr val="000000"/>
                  </a:solidFill>
                  <a:latin typeface="Tahoma"/>
                  <a:ea typeface="Tahoma"/>
                  <a:cs typeface="Tahoma"/>
                </a:rPr>
                <a:t>  TAK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50</xdr:row>
          <xdr:rowOff>68580</xdr:rowOff>
        </xdr:from>
        <xdr:to>
          <xdr:col>9</xdr:col>
          <xdr:colOff>99060</xdr:colOff>
          <xdr:row>52</xdr:row>
          <xdr:rowOff>175260</xdr:rowOff>
        </xdr:to>
        <xdr:sp macro="" textlink="">
          <xdr:nvSpPr>
            <xdr:cNvPr id="15368" name="Object 8" hidden="1">
              <a:extLst>
                <a:ext uri="{63B3BB69-23CF-44E3-9099-C40C66FF867C}">
                  <a14:compatExt spid="_x0000_s15368"/>
                </a:ext>
                <a:ext uri="{FF2B5EF4-FFF2-40B4-BE49-F238E27FC236}">
                  <a16:creationId xmlns:a16="http://schemas.microsoft.com/office/drawing/2014/main" id="{00000000-0008-0000-0500-000008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63</xdr:row>
          <xdr:rowOff>137160</xdr:rowOff>
        </xdr:from>
        <xdr:to>
          <xdr:col>5</xdr:col>
          <xdr:colOff>38100</xdr:colOff>
          <xdr:row>65</xdr:row>
          <xdr:rowOff>60960</xdr:rowOff>
        </xdr:to>
        <xdr:sp macro="" textlink="">
          <xdr:nvSpPr>
            <xdr:cNvPr id="15369" name="Object 9" hidden="1">
              <a:extLst>
                <a:ext uri="{63B3BB69-23CF-44E3-9099-C40C66FF867C}">
                  <a14:compatExt spid="_x0000_s15369"/>
                </a:ext>
                <a:ext uri="{FF2B5EF4-FFF2-40B4-BE49-F238E27FC236}">
                  <a16:creationId xmlns:a16="http://schemas.microsoft.com/office/drawing/2014/main" id="{00000000-0008-0000-0500-000009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93</xdr:row>
          <xdr:rowOff>114300</xdr:rowOff>
        </xdr:from>
        <xdr:to>
          <xdr:col>5</xdr:col>
          <xdr:colOff>365760</xdr:colOff>
          <xdr:row>95</xdr:row>
          <xdr:rowOff>114300</xdr:rowOff>
        </xdr:to>
        <xdr:sp macro="" textlink="">
          <xdr:nvSpPr>
            <xdr:cNvPr id="15371" name="Object 11" hidden="1">
              <a:extLst>
                <a:ext uri="{63B3BB69-23CF-44E3-9099-C40C66FF867C}">
                  <a14:compatExt spid="_x0000_s15371"/>
                </a:ext>
                <a:ext uri="{FF2B5EF4-FFF2-40B4-BE49-F238E27FC236}">
                  <a16:creationId xmlns:a16="http://schemas.microsoft.com/office/drawing/2014/main" id="{00000000-0008-0000-0500-00000B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107</xdr:row>
          <xdr:rowOff>160020</xdr:rowOff>
        </xdr:from>
        <xdr:to>
          <xdr:col>5</xdr:col>
          <xdr:colOff>365760</xdr:colOff>
          <xdr:row>109</xdr:row>
          <xdr:rowOff>38100</xdr:rowOff>
        </xdr:to>
        <xdr:sp macro="" textlink="">
          <xdr:nvSpPr>
            <xdr:cNvPr id="15372" name="Object 12" hidden="1">
              <a:extLst>
                <a:ext uri="{63B3BB69-23CF-44E3-9099-C40C66FF867C}">
                  <a14:compatExt spid="_x0000_s15372"/>
                </a:ext>
                <a:ext uri="{FF2B5EF4-FFF2-40B4-BE49-F238E27FC236}">
                  <a16:creationId xmlns:a16="http://schemas.microsoft.com/office/drawing/2014/main" id="{00000000-0008-0000-0500-00000C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160020</xdr:colOff>
          <xdr:row>121</xdr:row>
          <xdr:rowOff>22860</xdr:rowOff>
        </xdr:from>
        <xdr:to>
          <xdr:col>5</xdr:col>
          <xdr:colOff>198120</xdr:colOff>
          <xdr:row>123</xdr:row>
          <xdr:rowOff>99060</xdr:rowOff>
        </xdr:to>
        <xdr:sp macro="" textlink="">
          <xdr:nvSpPr>
            <xdr:cNvPr id="15373" name="Object 13" hidden="1">
              <a:extLst>
                <a:ext uri="{63B3BB69-23CF-44E3-9099-C40C66FF867C}">
                  <a14:compatExt spid="_x0000_s15373"/>
                </a:ext>
                <a:ext uri="{FF2B5EF4-FFF2-40B4-BE49-F238E27FC236}">
                  <a16:creationId xmlns:a16="http://schemas.microsoft.com/office/drawing/2014/main" id="{00000000-0008-0000-0500-00000D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146</xdr:row>
          <xdr:rowOff>175260</xdr:rowOff>
        </xdr:from>
        <xdr:to>
          <xdr:col>4</xdr:col>
          <xdr:colOff>342900</xdr:colOff>
          <xdr:row>147</xdr:row>
          <xdr:rowOff>175260</xdr:rowOff>
        </xdr:to>
        <xdr:sp macro="" textlink="">
          <xdr:nvSpPr>
            <xdr:cNvPr id="15374" name="Drop Down 14" hidden="1">
              <a:extLst>
                <a:ext uri="{63B3BB69-23CF-44E3-9099-C40C66FF867C}">
                  <a14:compatExt spid="_x0000_s15374"/>
                </a:ext>
                <a:ext uri="{FF2B5EF4-FFF2-40B4-BE49-F238E27FC236}">
                  <a16:creationId xmlns:a16="http://schemas.microsoft.com/office/drawing/2014/main" id="{00000000-0008-0000-0500-00000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289560</xdr:colOff>
          <xdr:row>146</xdr:row>
          <xdr:rowOff>22860</xdr:rowOff>
        </xdr:from>
        <xdr:to>
          <xdr:col>8</xdr:col>
          <xdr:colOff>114300</xdr:colOff>
          <xdr:row>148</xdr:row>
          <xdr:rowOff>7620</xdr:rowOff>
        </xdr:to>
        <xdr:sp macro="" textlink="">
          <xdr:nvSpPr>
            <xdr:cNvPr id="15375" name="Spinner 15" hidden="1">
              <a:extLst>
                <a:ext uri="{63B3BB69-23CF-44E3-9099-C40C66FF867C}">
                  <a14:compatExt spid="_x0000_s15375"/>
                </a:ext>
                <a:ext uri="{FF2B5EF4-FFF2-40B4-BE49-F238E27FC236}">
                  <a16:creationId xmlns:a16="http://schemas.microsoft.com/office/drawing/2014/main" id="{00000000-0008-0000-0500-00000F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156</xdr:row>
          <xdr:rowOff>137160</xdr:rowOff>
        </xdr:from>
        <xdr:to>
          <xdr:col>6</xdr:col>
          <xdr:colOff>7620</xdr:colOff>
          <xdr:row>158</xdr:row>
          <xdr:rowOff>60960</xdr:rowOff>
        </xdr:to>
        <xdr:sp macro="" textlink="">
          <xdr:nvSpPr>
            <xdr:cNvPr id="15376" name="Object 16" hidden="1">
              <a:extLst>
                <a:ext uri="{63B3BB69-23CF-44E3-9099-C40C66FF867C}">
                  <a14:compatExt spid="_x0000_s15376"/>
                </a:ext>
                <a:ext uri="{FF2B5EF4-FFF2-40B4-BE49-F238E27FC236}">
                  <a16:creationId xmlns:a16="http://schemas.microsoft.com/office/drawing/2014/main" id="{00000000-0008-0000-0500-000010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197</xdr:row>
          <xdr:rowOff>68580</xdr:rowOff>
        </xdr:from>
        <xdr:to>
          <xdr:col>6</xdr:col>
          <xdr:colOff>312420</xdr:colOff>
          <xdr:row>199</xdr:row>
          <xdr:rowOff>152400</xdr:rowOff>
        </xdr:to>
        <xdr:sp macro="" textlink="">
          <xdr:nvSpPr>
            <xdr:cNvPr id="15377" name="Object 17" hidden="1">
              <a:extLst>
                <a:ext uri="{63B3BB69-23CF-44E3-9099-C40C66FF867C}">
                  <a14:compatExt spid="_x0000_s15377"/>
                </a:ext>
                <a:ext uri="{FF2B5EF4-FFF2-40B4-BE49-F238E27FC236}">
                  <a16:creationId xmlns:a16="http://schemas.microsoft.com/office/drawing/2014/main" id="{00000000-0008-0000-0500-000011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212</xdr:row>
          <xdr:rowOff>60960</xdr:rowOff>
        </xdr:from>
        <xdr:to>
          <xdr:col>6</xdr:col>
          <xdr:colOff>381000</xdr:colOff>
          <xdr:row>214</xdr:row>
          <xdr:rowOff>144780</xdr:rowOff>
        </xdr:to>
        <xdr:sp macro="" textlink="">
          <xdr:nvSpPr>
            <xdr:cNvPr id="15379" name="Object 19" hidden="1">
              <a:extLst>
                <a:ext uri="{63B3BB69-23CF-44E3-9099-C40C66FF867C}">
                  <a14:compatExt spid="_x0000_s15379"/>
                </a:ext>
                <a:ext uri="{FF2B5EF4-FFF2-40B4-BE49-F238E27FC236}">
                  <a16:creationId xmlns:a16="http://schemas.microsoft.com/office/drawing/2014/main" id="{00000000-0008-0000-0500-000013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245</xdr:row>
          <xdr:rowOff>175260</xdr:rowOff>
        </xdr:from>
        <xdr:to>
          <xdr:col>7</xdr:col>
          <xdr:colOff>327660</xdr:colOff>
          <xdr:row>247</xdr:row>
          <xdr:rowOff>45720</xdr:rowOff>
        </xdr:to>
        <xdr:sp macro="" textlink="">
          <xdr:nvSpPr>
            <xdr:cNvPr id="15381" name="Object 21" hidden="1">
              <a:extLst>
                <a:ext uri="{63B3BB69-23CF-44E3-9099-C40C66FF867C}">
                  <a14:compatExt spid="_x0000_s15381"/>
                </a:ext>
                <a:ext uri="{FF2B5EF4-FFF2-40B4-BE49-F238E27FC236}">
                  <a16:creationId xmlns:a16="http://schemas.microsoft.com/office/drawing/2014/main" id="{00000000-0008-0000-0500-000015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261</xdr:row>
          <xdr:rowOff>144780</xdr:rowOff>
        </xdr:from>
        <xdr:to>
          <xdr:col>4</xdr:col>
          <xdr:colOff>312420</xdr:colOff>
          <xdr:row>262</xdr:row>
          <xdr:rowOff>144780</xdr:rowOff>
        </xdr:to>
        <xdr:sp macro="" textlink="">
          <xdr:nvSpPr>
            <xdr:cNvPr id="15382" name="Drop Down 22" hidden="1">
              <a:extLst>
                <a:ext uri="{63B3BB69-23CF-44E3-9099-C40C66FF867C}">
                  <a14:compatExt spid="_x0000_s15382"/>
                </a:ext>
                <a:ext uri="{FF2B5EF4-FFF2-40B4-BE49-F238E27FC236}">
                  <a16:creationId xmlns:a16="http://schemas.microsoft.com/office/drawing/2014/main" id="{00000000-0008-0000-0500-00001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266700</xdr:colOff>
          <xdr:row>261</xdr:row>
          <xdr:rowOff>45720</xdr:rowOff>
        </xdr:from>
        <xdr:to>
          <xdr:col>8</xdr:col>
          <xdr:colOff>99060</xdr:colOff>
          <xdr:row>263</xdr:row>
          <xdr:rowOff>0</xdr:rowOff>
        </xdr:to>
        <xdr:sp macro="" textlink="">
          <xdr:nvSpPr>
            <xdr:cNvPr id="15383" name="Spinner 23" hidden="1">
              <a:extLst>
                <a:ext uri="{63B3BB69-23CF-44E3-9099-C40C66FF867C}">
                  <a14:compatExt spid="_x0000_s15383"/>
                </a:ext>
                <a:ext uri="{FF2B5EF4-FFF2-40B4-BE49-F238E27FC236}">
                  <a16:creationId xmlns:a16="http://schemas.microsoft.com/office/drawing/2014/main" id="{00000000-0008-0000-0500-000017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28</xdr:row>
          <xdr:rowOff>106680</xdr:rowOff>
        </xdr:from>
        <xdr:to>
          <xdr:col>12</xdr:col>
          <xdr:colOff>0</xdr:colOff>
          <xdr:row>30</xdr:row>
          <xdr:rowOff>60960</xdr:rowOff>
        </xdr:to>
        <xdr:sp macro="" textlink="">
          <xdr:nvSpPr>
            <xdr:cNvPr id="15386" name="Spinner 26" hidden="1">
              <a:extLst>
                <a:ext uri="{63B3BB69-23CF-44E3-9099-C40C66FF867C}">
                  <a14:compatExt spid="_x0000_s15386"/>
                </a:ext>
                <a:ext uri="{FF2B5EF4-FFF2-40B4-BE49-F238E27FC236}">
                  <a16:creationId xmlns:a16="http://schemas.microsoft.com/office/drawing/2014/main" id="{00000000-0008-0000-0500-00001A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78</xdr:row>
          <xdr:rowOff>114300</xdr:rowOff>
        </xdr:from>
        <xdr:to>
          <xdr:col>5</xdr:col>
          <xdr:colOff>190500</xdr:colOff>
          <xdr:row>80</xdr:row>
          <xdr:rowOff>45720</xdr:rowOff>
        </xdr:to>
        <xdr:sp macro="" textlink="">
          <xdr:nvSpPr>
            <xdr:cNvPr id="15387" name="Object 27" hidden="1">
              <a:extLst>
                <a:ext uri="{63B3BB69-23CF-44E3-9099-C40C66FF867C}">
                  <a14:compatExt spid="_x0000_s15387"/>
                </a:ext>
                <a:ext uri="{FF2B5EF4-FFF2-40B4-BE49-F238E27FC236}">
                  <a16:creationId xmlns:a16="http://schemas.microsoft.com/office/drawing/2014/main" id="{00000000-0008-0000-0500-00001B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171</xdr:row>
          <xdr:rowOff>137160</xdr:rowOff>
        </xdr:from>
        <xdr:to>
          <xdr:col>5</xdr:col>
          <xdr:colOff>266700</xdr:colOff>
          <xdr:row>173</xdr:row>
          <xdr:rowOff>60960</xdr:rowOff>
        </xdr:to>
        <xdr:sp macro="" textlink="">
          <xdr:nvSpPr>
            <xdr:cNvPr id="15390" name="Object 30" hidden="1">
              <a:extLst>
                <a:ext uri="{63B3BB69-23CF-44E3-9099-C40C66FF867C}">
                  <a14:compatExt spid="_x0000_s15390"/>
                </a:ext>
                <a:ext uri="{FF2B5EF4-FFF2-40B4-BE49-F238E27FC236}">
                  <a16:creationId xmlns:a16="http://schemas.microsoft.com/office/drawing/2014/main" id="{00000000-0008-0000-0500-00001E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335280</xdr:colOff>
          <xdr:row>13</xdr:row>
          <xdr:rowOff>83820</xdr:rowOff>
        </xdr:from>
        <xdr:to>
          <xdr:col>12</xdr:col>
          <xdr:colOff>0</xdr:colOff>
          <xdr:row>15</xdr:row>
          <xdr:rowOff>38100</xdr:rowOff>
        </xdr:to>
        <xdr:sp macro="" textlink="">
          <xdr:nvSpPr>
            <xdr:cNvPr id="15393" name="Spinner 33" hidden="1">
              <a:extLst>
                <a:ext uri="{63B3BB69-23CF-44E3-9099-C40C66FF867C}">
                  <a14:compatExt spid="_x0000_s15393"/>
                </a:ext>
                <a:ext uri="{FF2B5EF4-FFF2-40B4-BE49-F238E27FC236}">
                  <a16:creationId xmlns:a16="http://schemas.microsoft.com/office/drawing/2014/main" id="{00000000-0008-0000-0500-00002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13</xdr:col>
      <xdr:colOff>0</xdr:colOff>
      <xdr:row>1</xdr:row>
      <xdr:rowOff>5131</xdr:rowOff>
    </xdr:from>
    <xdr:to>
      <xdr:col>20</xdr:col>
      <xdr:colOff>104775</xdr:colOff>
      <xdr:row>14</xdr:row>
      <xdr:rowOff>58778</xdr:rowOff>
    </xdr:to>
    <xdr:pic>
      <xdr:nvPicPr>
        <xdr:cNvPr id="19484" name="Picture 28">
          <a:extLst>
            <a:ext uri="{FF2B5EF4-FFF2-40B4-BE49-F238E27FC236}">
              <a16:creationId xmlns:a16="http://schemas.microsoft.com/office/drawing/2014/main" id="{00000000-0008-0000-0600-00001C4C0000}"/>
            </a:ext>
          </a:extLst>
        </xdr:cNvPr>
        <xdr:cNvPicPr>
          <a:picLocks noChangeAspect="1" noChangeArrowheads="1"/>
        </xdr:cNvPicPr>
      </xdr:nvPicPr>
      <xdr:blipFill>
        <a:blip xmlns:r="http://schemas.openxmlformats.org/officeDocument/2006/relationships" r:embed="rId1" cstate="print">
          <a:lum bright="-24000" contrast="42000"/>
        </a:blip>
        <a:srcRect/>
        <a:stretch>
          <a:fillRect/>
        </a:stretch>
      </xdr:blipFill>
      <xdr:spPr bwMode="auto">
        <a:xfrm>
          <a:off x="7356231" y="671881"/>
          <a:ext cx="4676775" cy="2911147"/>
        </a:xfrm>
        <a:prstGeom prst="rect">
          <a:avLst/>
        </a:prstGeom>
        <a:noFill/>
        <a:ln w="1">
          <a:noFill/>
          <a:miter lim="800000"/>
          <a:headEnd/>
          <a:tailEnd type="none" w="med" len="med"/>
        </a:ln>
        <a:effectLst/>
      </xdr:spPr>
    </xdr:pic>
    <xdr:clientData/>
  </xdr:twoCellAnchor>
  <xdr:twoCellAnchor editAs="oneCell">
    <xdr:from>
      <xdr:col>3</xdr:col>
      <xdr:colOff>199999</xdr:colOff>
      <xdr:row>98</xdr:row>
      <xdr:rowOff>0</xdr:rowOff>
    </xdr:from>
    <xdr:to>
      <xdr:col>11</xdr:col>
      <xdr:colOff>217157</xdr:colOff>
      <xdr:row>107</xdr:row>
      <xdr:rowOff>200025</xdr:rowOff>
    </xdr:to>
    <xdr:pic>
      <xdr:nvPicPr>
        <xdr:cNvPr id="19485" name="Picture 29">
          <a:extLst>
            <a:ext uri="{FF2B5EF4-FFF2-40B4-BE49-F238E27FC236}">
              <a16:creationId xmlns:a16="http://schemas.microsoft.com/office/drawing/2014/main" id="{00000000-0008-0000-0600-00001D4C0000}"/>
            </a:ext>
          </a:extLst>
        </xdr:cNvPr>
        <xdr:cNvPicPr>
          <a:picLocks noChangeAspect="1" noChangeArrowheads="1"/>
        </xdr:cNvPicPr>
      </xdr:nvPicPr>
      <xdr:blipFill>
        <a:blip xmlns:r="http://schemas.openxmlformats.org/officeDocument/2006/relationships" r:embed="rId2" cstate="print">
          <a:lum bright="-18000" contrast="38000"/>
        </a:blip>
        <a:srcRect/>
        <a:stretch>
          <a:fillRect/>
        </a:stretch>
      </xdr:blipFill>
      <xdr:spPr bwMode="auto">
        <a:xfrm>
          <a:off x="1438249" y="18192750"/>
          <a:ext cx="4532008" cy="2171700"/>
        </a:xfrm>
        <a:prstGeom prst="rect">
          <a:avLst/>
        </a:prstGeom>
        <a:noFill/>
        <a:ln w="1">
          <a:noFill/>
          <a:miter lim="800000"/>
          <a:headEnd/>
          <a:tailEnd type="none" w="med" len="med"/>
        </a:ln>
        <a:effectLst/>
      </xdr:spPr>
    </xdr:pic>
    <xdr:clientData/>
  </xdr:twoCellAnchor>
  <xdr:twoCellAnchor>
    <xdr:from>
      <xdr:col>1</xdr:col>
      <xdr:colOff>114300</xdr:colOff>
      <xdr:row>90</xdr:row>
      <xdr:rowOff>95249</xdr:rowOff>
    </xdr:from>
    <xdr:to>
      <xdr:col>10</xdr:col>
      <xdr:colOff>638175</xdr:colOff>
      <xdr:row>94</xdr:row>
      <xdr:rowOff>66675</xdr:rowOff>
    </xdr:to>
    <xdr:sp macro="" textlink="">
      <xdr:nvSpPr>
        <xdr:cNvPr id="7" name="Prostokąt 6">
          <a:extLst>
            <a:ext uri="{FF2B5EF4-FFF2-40B4-BE49-F238E27FC236}">
              <a16:creationId xmlns:a16="http://schemas.microsoft.com/office/drawing/2014/main" id="{00000000-0008-0000-0600-000007000000}"/>
            </a:ext>
          </a:extLst>
        </xdr:cNvPr>
        <xdr:cNvSpPr/>
      </xdr:nvSpPr>
      <xdr:spPr>
        <a:xfrm>
          <a:off x="752475" y="20259674"/>
          <a:ext cx="5114925" cy="84772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l-PL" sz="1100"/>
        </a:p>
      </xdr:txBody>
    </xdr:sp>
    <xdr:clientData/>
  </xdr:twoCellAnchor>
  <xdr:twoCellAnchor editAs="oneCell">
    <xdr:from>
      <xdr:col>0</xdr:col>
      <xdr:colOff>0</xdr:colOff>
      <xdr:row>0</xdr:row>
      <xdr:rowOff>0</xdr:rowOff>
    </xdr:from>
    <xdr:to>
      <xdr:col>1</xdr:col>
      <xdr:colOff>38100</xdr:colOff>
      <xdr:row>1</xdr:row>
      <xdr:rowOff>575</xdr:rowOff>
    </xdr:to>
    <xdr:pic>
      <xdr:nvPicPr>
        <xdr:cNvPr id="8" name="Obraz 7" descr="Powrót.png">
          <a:hlinkClick xmlns:r="http://schemas.openxmlformats.org/officeDocument/2006/relationships" r:id="rId3"/>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cstate="print"/>
        <a:stretch>
          <a:fillRect/>
        </a:stretch>
      </xdr:blipFill>
      <xdr:spPr>
        <a:xfrm>
          <a:off x="0" y="0"/>
          <a:ext cx="676275" cy="663515"/>
        </a:xfrm>
        <a:prstGeom prst="rect">
          <a:avLst/>
        </a:prstGeom>
      </xdr:spPr>
    </xdr:pic>
    <xdr:clientData/>
  </xdr:twoCellAnchor>
  <xdr:twoCellAnchor editAs="oneCell">
    <xdr:from>
      <xdr:col>14</xdr:col>
      <xdr:colOff>142874</xdr:colOff>
      <xdr:row>43</xdr:row>
      <xdr:rowOff>39304</xdr:rowOff>
    </xdr:from>
    <xdr:to>
      <xdr:col>20</xdr:col>
      <xdr:colOff>561975</xdr:colOff>
      <xdr:row>51</xdr:row>
      <xdr:rowOff>145824</xdr:rowOff>
    </xdr:to>
    <xdr:pic>
      <xdr:nvPicPr>
        <xdr:cNvPr id="19497" name="Picture 41">
          <a:extLst>
            <a:ext uri="{FF2B5EF4-FFF2-40B4-BE49-F238E27FC236}">
              <a16:creationId xmlns:a16="http://schemas.microsoft.com/office/drawing/2014/main" id="{00000000-0008-0000-0600-0000294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934324" y="8154604"/>
          <a:ext cx="4533901" cy="1859120"/>
        </a:xfrm>
        <a:prstGeom prst="rect">
          <a:avLst/>
        </a:prstGeom>
        <a:noFill/>
      </xdr:spPr>
    </xdr:pic>
    <xdr:clientData/>
  </xdr:twoCellAnchor>
  <xdr:twoCellAnchor editAs="oneCell">
    <xdr:from>
      <xdr:col>14</xdr:col>
      <xdr:colOff>142875</xdr:colOff>
      <xdr:row>51</xdr:row>
      <xdr:rowOff>190500</xdr:rowOff>
    </xdr:from>
    <xdr:to>
      <xdr:col>18</xdr:col>
      <xdr:colOff>600075</xdr:colOff>
      <xdr:row>59</xdr:row>
      <xdr:rowOff>171450</xdr:rowOff>
    </xdr:to>
    <xdr:pic>
      <xdr:nvPicPr>
        <xdr:cNvPr id="19499" name="Picture 43">
          <a:extLst>
            <a:ext uri="{FF2B5EF4-FFF2-40B4-BE49-F238E27FC236}">
              <a16:creationId xmlns:a16="http://schemas.microsoft.com/office/drawing/2014/main" id="{00000000-0008-0000-0600-00002B4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934325" y="10058400"/>
          <a:ext cx="3200400" cy="1733550"/>
        </a:xfrm>
        <a:prstGeom prst="rect">
          <a:avLst/>
        </a:prstGeom>
        <a:noFill/>
      </xdr:spPr>
    </xdr:pic>
    <xdr:clientData/>
  </xdr:twoCellAnchor>
  <xdr:twoCellAnchor>
    <xdr:from>
      <xdr:col>0</xdr:col>
      <xdr:colOff>637441</xdr:colOff>
      <xdr:row>0</xdr:row>
      <xdr:rowOff>14022</xdr:rowOff>
    </xdr:from>
    <xdr:to>
      <xdr:col>12</xdr:col>
      <xdr:colOff>703384</xdr:colOff>
      <xdr:row>1</xdr:row>
      <xdr:rowOff>14654</xdr:rowOff>
    </xdr:to>
    <xdr:sp macro="" textlink="">
      <xdr:nvSpPr>
        <xdr:cNvPr id="10" name="Rectangle 1">
          <a:extLst>
            <a:ext uri="{FF2B5EF4-FFF2-40B4-BE49-F238E27FC236}">
              <a16:creationId xmlns:a16="http://schemas.microsoft.com/office/drawing/2014/main" id="{00000000-0008-0000-0600-00000A000000}"/>
            </a:ext>
          </a:extLst>
        </xdr:cNvPr>
        <xdr:cNvSpPr/>
      </xdr:nvSpPr>
      <xdr:spPr>
        <a:xfrm>
          <a:off x="637441" y="14022"/>
          <a:ext cx="6718789" cy="667382"/>
        </a:xfrm>
        <a:prstGeom prst="rect">
          <a:avLst/>
        </a:prstGeom>
        <a:gradFill flip="none" rotWithShape="1">
          <a:gsLst>
            <a:gs pos="0">
              <a:srgbClr val="EF7D00"/>
            </a:gs>
            <a:gs pos="100000">
              <a:srgbClr val="C74F07"/>
            </a:gs>
          </a:gsLst>
          <a:lin ang="0" scaled="1"/>
          <a:tileRect/>
        </a:gradFill>
        <a:ln>
          <a:noFill/>
        </a:ln>
        <a:effectLst/>
      </xdr:spPr>
      <xdr:style>
        <a:lnRef idx="1">
          <a:schemeClr val="accent1"/>
        </a:lnRef>
        <a:fillRef idx="3">
          <a:schemeClr val="accent1"/>
        </a:fillRef>
        <a:effectRef idx="2">
          <a:schemeClr val="accent1"/>
        </a:effectRef>
        <a:fontRef idx="minor">
          <a:schemeClr val="lt1"/>
        </a:fontRef>
      </xdr:style>
      <xdr:txBody>
        <a:bodyPr wrap="square" lIns="360000" tIns="360000" rIns="91417" bIns="108000" rtlCol="0" anchor="ctr"/>
        <a:lstStyle>
          <a:defPPr>
            <a:defRPr lang="en-US"/>
          </a:defPPr>
          <a:lvl1pPr marL="0" algn="l" defTabSz="510683" rtl="0" eaLnBrk="1" latinLnBrk="0" hangingPunct="1">
            <a:defRPr sz="2000" kern="1200">
              <a:solidFill>
                <a:schemeClr val="lt1"/>
              </a:solidFill>
              <a:latin typeface="+mn-lt"/>
              <a:ea typeface="+mn-ea"/>
              <a:cs typeface="+mn-cs"/>
            </a:defRPr>
          </a:lvl1pPr>
          <a:lvl2pPr marL="510683" algn="l" defTabSz="510683" rtl="0" eaLnBrk="1" latinLnBrk="0" hangingPunct="1">
            <a:defRPr sz="2000" kern="1200">
              <a:solidFill>
                <a:schemeClr val="lt1"/>
              </a:solidFill>
              <a:latin typeface="+mn-lt"/>
              <a:ea typeface="+mn-ea"/>
              <a:cs typeface="+mn-cs"/>
            </a:defRPr>
          </a:lvl2pPr>
          <a:lvl3pPr marL="1021367" algn="l" defTabSz="510683" rtl="0" eaLnBrk="1" latinLnBrk="0" hangingPunct="1">
            <a:defRPr sz="2000" kern="1200">
              <a:solidFill>
                <a:schemeClr val="lt1"/>
              </a:solidFill>
              <a:latin typeface="+mn-lt"/>
              <a:ea typeface="+mn-ea"/>
              <a:cs typeface="+mn-cs"/>
            </a:defRPr>
          </a:lvl3pPr>
          <a:lvl4pPr marL="1532050" algn="l" defTabSz="510683" rtl="0" eaLnBrk="1" latinLnBrk="0" hangingPunct="1">
            <a:defRPr sz="2000" kern="1200">
              <a:solidFill>
                <a:schemeClr val="lt1"/>
              </a:solidFill>
              <a:latin typeface="+mn-lt"/>
              <a:ea typeface="+mn-ea"/>
              <a:cs typeface="+mn-cs"/>
            </a:defRPr>
          </a:lvl4pPr>
          <a:lvl5pPr marL="2042734" algn="l" defTabSz="510683" rtl="0" eaLnBrk="1" latinLnBrk="0" hangingPunct="1">
            <a:defRPr sz="2000" kern="1200">
              <a:solidFill>
                <a:schemeClr val="lt1"/>
              </a:solidFill>
              <a:latin typeface="+mn-lt"/>
              <a:ea typeface="+mn-ea"/>
              <a:cs typeface="+mn-cs"/>
            </a:defRPr>
          </a:lvl5pPr>
          <a:lvl6pPr marL="2553418" algn="l" defTabSz="510683" rtl="0" eaLnBrk="1" latinLnBrk="0" hangingPunct="1">
            <a:defRPr sz="2000" kern="1200">
              <a:solidFill>
                <a:schemeClr val="lt1"/>
              </a:solidFill>
              <a:latin typeface="+mn-lt"/>
              <a:ea typeface="+mn-ea"/>
              <a:cs typeface="+mn-cs"/>
            </a:defRPr>
          </a:lvl6pPr>
          <a:lvl7pPr marL="3064102" algn="l" defTabSz="510683" rtl="0" eaLnBrk="1" latinLnBrk="0" hangingPunct="1">
            <a:defRPr sz="2000" kern="1200">
              <a:solidFill>
                <a:schemeClr val="lt1"/>
              </a:solidFill>
              <a:latin typeface="+mn-lt"/>
              <a:ea typeface="+mn-ea"/>
              <a:cs typeface="+mn-cs"/>
            </a:defRPr>
          </a:lvl7pPr>
          <a:lvl8pPr marL="3574785" algn="l" defTabSz="510683" rtl="0" eaLnBrk="1" latinLnBrk="0" hangingPunct="1">
            <a:defRPr sz="2000" kern="1200">
              <a:solidFill>
                <a:schemeClr val="lt1"/>
              </a:solidFill>
              <a:latin typeface="+mn-lt"/>
              <a:ea typeface="+mn-ea"/>
              <a:cs typeface="+mn-cs"/>
            </a:defRPr>
          </a:lvl8pPr>
          <a:lvl9pPr marL="4085470" algn="l" defTabSz="510683" rtl="0" eaLnBrk="1" latinLnBrk="0" hangingPunct="1">
            <a:defRPr sz="2000" kern="1200">
              <a:solidFill>
                <a:schemeClr val="lt1"/>
              </a:solidFill>
              <a:latin typeface="+mn-lt"/>
              <a:ea typeface="+mn-ea"/>
              <a:cs typeface="+mn-cs"/>
            </a:defRPr>
          </a:lvl9pPr>
        </a:lstStyle>
        <a:p>
          <a:pPr marL="0" algn="l"/>
          <a:r>
            <a:rPr lang="pl-PL" sz="1800" baseline="0">
              <a:latin typeface="+mn-lt"/>
            </a:rPr>
            <a:t>Arkusz doboru </a:t>
          </a:r>
          <a:r>
            <a:rPr lang="pl-PL" sz="1800" b="1" baseline="0">
              <a:latin typeface="+mn-lt"/>
            </a:rPr>
            <a:t>naczynia wzbiorczego do instalacji c.w.u.</a:t>
          </a:r>
        </a:p>
      </xdr:txBody>
    </xdr:sp>
    <xdr:clientData/>
  </xdr:twoCellAnchor>
  <xdr:twoCellAnchor editAs="oneCell">
    <xdr:from>
      <xdr:col>11</xdr:col>
      <xdr:colOff>334871</xdr:colOff>
      <xdr:row>0</xdr:row>
      <xdr:rowOff>0</xdr:rowOff>
    </xdr:from>
    <xdr:to>
      <xdr:col>13</xdr:col>
      <xdr:colOff>41030</xdr:colOff>
      <xdr:row>1</xdr:row>
      <xdr:rowOff>76200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7" cstate="print"/>
        <a:stretch>
          <a:fillRect/>
        </a:stretch>
      </xdr:blipFill>
      <xdr:spPr>
        <a:xfrm>
          <a:off x="6284333" y="0"/>
          <a:ext cx="1112928" cy="742950"/>
        </a:xfrm>
        <a:prstGeom prst="rect">
          <a:avLst/>
        </a:prstGeom>
      </xdr:spPr>
    </xdr:pic>
    <xdr:clientData/>
  </xdr:twoCellAnchor>
  <xdr:twoCellAnchor editAs="oneCell">
    <xdr:from>
      <xdr:col>1</xdr:col>
      <xdr:colOff>9525</xdr:colOff>
      <xdr:row>109</xdr:row>
      <xdr:rowOff>0</xdr:rowOff>
    </xdr:from>
    <xdr:to>
      <xdr:col>13</xdr:col>
      <xdr:colOff>1753</xdr:colOff>
      <xdr:row>111</xdr:row>
      <xdr:rowOff>123825</xdr:rowOff>
    </xdr:to>
    <xdr:pic>
      <xdr:nvPicPr>
        <xdr:cNvPr id="12" name="Picture 6">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47700" y="24326850"/>
          <a:ext cx="6707353" cy="561975"/>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11</xdr:col>
          <xdr:colOff>487680</xdr:colOff>
          <xdr:row>7</xdr:row>
          <xdr:rowOff>68580</xdr:rowOff>
        </xdr:from>
        <xdr:to>
          <xdr:col>12</xdr:col>
          <xdr:colOff>152400</xdr:colOff>
          <xdr:row>9</xdr:row>
          <xdr:rowOff>22860</xdr:rowOff>
        </xdr:to>
        <xdr:sp macro="" textlink="">
          <xdr:nvSpPr>
            <xdr:cNvPr id="19458" name="Spinner 2" hidden="1">
              <a:extLst>
                <a:ext uri="{63B3BB69-23CF-44E3-9099-C40C66FF867C}">
                  <a14:compatExt spid="_x0000_s19458"/>
                </a:ext>
                <a:ext uri="{FF2B5EF4-FFF2-40B4-BE49-F238E27FC236}">
                  <a16:creationId xmlns:a16="http://schemas.microsoft.com/office/drawing/2014/main" id="{00000000-0008-0000-0600-000002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480060</xdr:colOff>
          <xdr:row>9</xdr:row>
          <xdr:rowOff>114300</xdr:rowOff>
        </xdr:from>
        <xdr:to>
          <xdr:col>12</xdr:col>
          <xdr:colOff>144780</xdr:colOff>
          <xdr:row>11</xdr:row>
          <xdr:rowOff>68580</xdr:rowOff>
        </xdr:to>
        <xdr:sp macro="" textlink="">
          <xdr:nvSpPr>
            <xdr:cNvPr id="19459" name="Spinner 3" hidden="1">
              <a:extLst>
                <a:ext uri="{63B3BB69-23CF-44E3-9099-C40C66FF867C}">
                  <a14:compatExt spid="_x0000_s19459"/>
                </a:ext>
                <a:ext uri="{FF2B5EF4-FFF2-40B4-BE49-F238E27FC236}">
                  <a16:creationId xmlns:a16="http://schemas.microsoft.com/office/drawing/2014/main" id="{00000000-0008-0000-0600-000003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55</xdr:row>
          <xdr:rowOff>175260</xdr:rowOff>
        </xdr:from>
        <xdr:to>
          <xdr:col>4</xdr:col>
          <xdr:colOff>342900</xdr:colOff>
          <xdr:row>56</xdr:row>
          <xdr:rowOff>175260</xdr:rowOff>
        </xdr:to>
        <xdr:sp macro="" textlink="">
          <xdr:nvSpPr>
            <xdr:cNvPr id="19470" name="Drop Down 14" hidden="1">
              <a:extLst>
                <a:ext uri="{63B3BB69-23CF-44E3-9099-C40C66FF867C}">
                  <a14:compatExt spid="_x0000_s19470"/>
                </a:ext>
                <a:ext uri="{FF2B5EF4-FFF2-40B4-BE49-F238E27FC236}">
                  <a16:creationId xmlns:a16="http://schemas.microsoft.com/office/drawing/2014/main" id="{00000000-0008-0000-0600-00000E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289560</xdr:colOff>
          <xdr:row>55</xdr:row>
          <xdr:rowOff>60960</xdr:rowOff>
        </xdr:from>
        <xdr:to>
          <xdr:col>8</xdr:col>
          <xdr:colOff>114300</xdr:colOff>
          <xdr:row>57</xdr:row>
          <xdr:rowOff>7620</xdr:rowOff>
        </xdr:to>
        <xdr:sp macro="" textlink="">
          <xdr:nvSpPr>
            <xdr:cNvPr id="19471" name="Spinner 15" hidden="1">
              <a:extLst>
                <a:ext uri="{63B3BB69-23CF-44E3-9099-C40C66FF867C}">
                  <a14:compatExt spid="_x0000_s19471"/>
                </a:ext>
                <a:ext uri="{FF2B5EF4-FFF2-40B4-BE49-F238E27FC236}">
                  <a16:creationId xmlns:a16="http://schemas.microsoft.com/office/drawing/2014/main" id="{00000000-0008-0000-0600-00000F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65</xdr:row>
          <xdr:rowOff>106680</xdr:rowOff>
        </xdr:from>
        <xdr:to>
          <xdr:col>5</xdr:col>
          <xdr:colOff>457200</xdr:colOff>
          <xdr:row>66</xdr:row>
          <xdr:rowOff>175260</xdr:rowOff>
        </xdr:to>
        <xdr:sp macro="" textlink="">
          <xdr:nvSpPr>
            <xdr:cNvPr id="19472" name="Object 16" hidden="1">
              <a:extLst>
                <a:ext uri="{63B3BB69-23CF-44E3-9099-C40C66FF867C}">
                  <a14:compatExt spid="_x0000_s19472"/>
                </a:ext>
                <a:ext uri="{FF2B5EF4-FFF2-40B4-BE49-F238E27FC236}">
                  <a16:creationId xmlns:a16="http://schemas.microsoft.com/office/drawing/2014/main" id="{00000000-0008-0000-0600-000010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480060</xdr:colOff>
          <xdr:row>12</xdr:row>
          <xdr:rowOff>83820</xdr:rowOff>
        </xdr:from>
        <xdr:to>
          <xdr:col>12</xdr:col>
          <xdr:colOff>137160</xdr:colOff>
          <xdr:row>14</xdr:row>
          <xdr:rowOff>38100</xdr:rowOff>
        </xdr:to>
        <xdr:sp macro="" textlink="">
          <xdr:nvSpPr>
            <xdr:cNvPr id="19489" name="Spinner 33" hidden="1">
              <a:extLst>
                <a:ext uri="{63B3BB69-23CF-44E3-9099-C40C66FF867C}">
                  <a14:compatExt spid="_x0000_s19489"/>
                </a:ext>
                <a:ext uri="{FF2B5EF4-FFF2-40B4-BE49-F238E27FC236}">
                  <a16:creationId xmlns:a16="http://schemas.microsoft.com/office/drawing/2014/main" id="{00000000-0008-0000-0600-000021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480060</xdr:colOff>
          <xdr:row>14</xdr:row>
          <xdr:rowOff>121920</xdr:rowOff>
        </xdr:from>
        <xdr:to>
          <xdr:col>12</xdr:col>
          <xdr:colOff>137160</xdr:colOff>
          <xdr:row>16</xdr:row>
          <xdr:rowOff>76200</xdr:rowOff>
        </xdr:to>
        <xdr:sp macro="" textlink="">
          <xdr:nvSpPr>
            <xdr:cNvPr id="19492" name="Spinner 36" hidden="1">
              <a:extLst>
                <a:ext uri="{63B3BB69-23CF-44E3-9099-C40C66FF867C}">
                  <a14:compatExt spid="_x0000_s19492"/>
                </a:ext>
                <a:ext uri="{FF2B5EF4-FFF2-40B4-BE49-F238E27FC236}">
                  <a16:creationId xmlns:a16="http://schemas.microsoft.com/office/drawing/2014/main" id="{00000000-0008-0000-0600-000024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33</xdr:row>
          <xdr:rowOff>106680</xdr:rowOff>
        </xdr:from>
        <xdr:to>
          <xdr:col>8</xdr:col>
          <xdr:colOff>137160</xdr:colOff>
          <xdr:row>36</xdr:row>
          <xdr:rowOff>0</xdr:rowOff>
        </xdr:to>
        <xdr:sp macro="" textlink="">
          <xdr:nvSpPr>
            <xdr:cNvPr id="19494" name="Object 38" hidden="1">
              <a:extLst>
                <a:ext uri="{63B3BB69-23CF-44E3-9099-C40C66FF867C}">
                  <a14:compatExt spid="_x0000_s19494"/>
                </a:ext>
                <a:ext uri="{FF2B5EF4-FFF2-40B4-BE49-F238E27FC236}">
                  <a16:creationId xmlns:a16="http://schemas.microsoft.com/office/drawing/2014/main" id="{00000000-0008-0000-0600-000026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YSK%20C\GRZESIEK\IMI%20INTERNATIONAL\PAG%20-%20PPT_Arkusze%20ze%20szkolenia%20-%20Szwajcaria\Compresso_Connect_Kennlinien_EN%2014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zesiek\IMI%20INTERNATIONAL\PAG%20-%20PPT_Arkusze%20ze%20szkolenia%20-%20Szwajcaria\TransferoT-TI_Kennlinien_EN_11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Produktmarketing\1Projekte2004\Anlagentechnik_Neukonzept\Transfero%20TI\Berechnung%20-%20Auslegung\Kennlinien%20Transfero%20T_TI\TransferoT-TI_headcurves_FR_13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ahl pman"/>
      <sheetName val="Auswahl p0"/>
      <sheetName val="Daten"/>
    </sheetNames>
    <sheetDataSet>
      <sheetData sheetId="0">
        <row r="11">
          <cell r="P11">
            <v>100</v>
          </cell>
        </row>
        <row r="15">
          <cell r="P15">
            <v>0</v>
          </cell>
        </row>
      </sheetData>
      <sheetData sheetId="1" refreshError="1"/>
      <sheetData sheetId="2">
        <row r="33">
          <cell r="A33" t="str">
            <v>C 10.1 (F) Connect</v>
          </cell>
          <cell r="C33">
            <v>0</v>
          </cell>
          <cell r="D33">
            <v>356</v>
          </cell>
          <cell r="E33">
            <v>356</v>
          </cell>
          <cell r="F33">
            <v>627.625</v>
          </cell>
          <cell r="G33">
            <v>899.25</v>
          </cell>
          <cell r="H33">
            <v>1170.875</v>
          </cell>
          <cell r="I33">
            <v>1442.5</v>
          </cell>
          <cell r="J33">
            <v>1714.125</v>
          </cell>
          <cell r="K33">
            <v>1985.75</v>
          </cell>
          <cell r="L33">
            <v>2257.375</v>
          </cell>
          <cell r="M33">
            <v>2529</v>
          </cell>
          <cell r="N33">
            <v>2529</v>
          </cell>
          <cell r="O33">
            <v>2529</v>
          </cell>
          <cell r="P33">
            <v>2529</v>
          </cell>
          <cell r="Q33">
            <v>0</v>
          </cell>
        </row>
        <row r="34">
          <cell r="C34">
            <v>5.3986528948426091</v>
          </cell>
          <cell r="D34">
            <v>5.3986528948426091</v>
          </cell>
          <cell r="E34">
            <v>5.3986528948426091</v>
          </cell>
          <cell r="F34">
            <v>3.9247923916058425</v>
          </cell>
          <cell r="G34">
            <v>3.0788141418321566</v>
          </cell>
          <cell r="H34">
            <v>2.5015431702289255</v>
          </cell>
          <cell r="I34">
            <v>2.0706110200920222</v>
          </cell>
          <cell r="J34">
            <v>1.7305451044637641</v>
          </cell>
          <cell r="K34">
            <v>1.4518113853400774</v>
          </cell>
          <cell r="L34">
            <v>1.2169477082435178</v>
          </cell>
          <cell r="M34">
            <v>1.0148335749734871</v>
          </cell>
          <cell r="N34">
            <v>1.0148335749734871</v>
          </cell>
          <cell r="O34">
            <v>0.83800000000000008</v>
          </cell>
          <cell r="P34">
            <v>0.83800000000000008</v>
          </cell>
          <cell r="Q34">
            <v>0.83800000000000008</v>
          </cell>
        </row>
        <row r="38">
          <cell r="A38" t="str">
            <v>C 10.2 Connect</v>
          </cell>
          <cell r="C38">
            <v>0</v>
          </cell>
          <cell r="D38">
            <v>670</v>
          </cell>
          <cell r="E38">
            <v>670</v>
          </cell>
          <cell r="F38">
            <v>1218.625</v>
          </cell>
          <cell r="G38">
            <v>1767.25</v>
          </cell>
          <cell r="H38">
            <v>2315.875</v>
          </cell>
          <cell r="I38">
            <v>2864.5</v>
          </cell>
          <cell r="J38">
            <v>3413.125</v>
          </cell>
          <cell r="K38">
            <v>3961.75</v>
          </cell>
          <cell r="L38">
            <v>4510.375</v>
          </cell>
          <cell r="M38">
            <v>5059</v>
          </cell>
          <cell r="N38">
            <v>5059</v>
          </cell>
          <cell r="O38">
            <v>5059</v>
          </cell>
          <cell r="P38">
            <v>5059</v>
          </cell>
          <cell r="Q38">
            <v>0</v>
          </cell>
        </row>
        <row r="39">
          <cell r="C39">
            <v>5.3957535495568987</v>
          </cell>
          <cell r="D39">
            <v>5.3957535495568987</v>
          </cell>
          <cell r="E39">
            <v>5.3957535495568987</v>
          </cell>
          <cell r="F39">
            <v>3.8247384816862038</v>
          </cell>
          <cell r="G39">
            <v>2.9827790679763764</v>
          </cell>
          <cell r="H39">
            <v>2.4263284774758187</v>
          </cell>
          <cell r="I39">
            <v>2.0182735536141849</v>
          </cell>
          <cell r="J39">
            <v>1.6995252129969303</v>
          </cell>
          <cell r="K39">
            <v>1.4396282575807349</v>
          </cell>
          <cell r="L39">
            <v>1.2209864946712443</v>
          </cell>
          <cell r="M39">
            <v>1.0325881769031664</v>
          </cell>
          <cell r="N39">
            <v>1.0325881769031664</v>
          </cell>
          <cell r="O39">
            <v>0.86899999999999999</v>
          </cell>
          <cell r="P39">
            <v>0.86899999999999999</v>
          </cell>
          <cell r="Q39">
            <v>0.86899999999999999</v>
          </cell>
        </row>
        <row r="43">
          <cell r="A43" t="str">
            <v>C 15.1 Connect</v>
          </cell>
          <cell r="C43">
            <v>0</v>
          </cell>
          <cell r="D43">
            <v>368</v>
          </cell>
          <cell r="E43">
            <v>368</v>
          </cell>
          <cell r="F43">
            <v>796.25</v>
          </cell>
          <cell r="G43">
            <v>1224.5</v>
          </cell>
          <cell r="H43">
            <v>1652.75</v>
          </cell>
          <cell r="I43">
            <v>2081</v>
          </cell>
          <cell r="J43">
            <v>2509.25</v>
          </cell>
          <cell r="K43">
            <v>2937.5</v>
          </cell>
          <cell r="L43">
            <v>3365.75</v>
          </cell>
          <cell r="M43">
            <v>3794</v>
          </cell>
          <cell r="N43">
            <v>3794</v>
          </cell>
          <cell r="O43">
            <v>3794</v>
          </cell>
          <cell r="P43">
            <v>3794</v>
          </cell>
          <cell r="Q43">
            <v>0</v>
          </cell>
        </row>
        <row r="44">
          <cell r="C44">
            <v>8.9034653752438011</v>
          </cell>
          <cell r="D44">
            <v>8.9034653752438011</v>
          </cell>
          <cell r="E44">
            <v>8.9034653752438011</v>
          </cell>
          <cell r="F44">
            <v>5.1977258222703595</v>
          </cell>
          <cell r="G44">
            <v>3.6530624715846951</v>
          </cell>
          <cell r="H44">
            <v>2.7450438766688752</v>
          </cell>
          <cell r="I44">
            <v>2.1267126016614486</v>
          </cell>
          <cell r="J44">
            <v>1.6690516281300942</v>
          </cell>
          <cell r="K44">
            <v>1.3114718845546061</v>
          </cell>
          <cell r="L44">
            <v>1.0212079104987675</v>
          </cell>
          <cell r="M44">
            <v>0.77876392842360453</v>
          </cell>
          <cell r="N44">
            <v>0.77876392842360453</v>
          </cell>
          <cell r="O44">
            <v>0.58200000000000007</v>
          </cell>
          <cell r="P44">
            <v>0.58200000000000007</v>
          </cell>
          <cell r="Q44">
            <v>0.58200000000000007</v>
          </cell>
        </row>
        <row r="48">
          <cell r="A48" t="str">
            <v>C 15.2 Connect</v>
          </cell>
          <cell r="C48">
            <v>0</v>
          </cell>
          <cell r="D48">
            <v>816</v>
          </cell>
          <cell r="E48">
            <v>816</v>
          </cell>
          <cell r="F48">
            <v>1662.625</v>
          </cell>
          <cell r="G48">
            <v>2509.25</v>
          </cell>
          <cell r="H48">
            <v>3355.875</v>
          </cell>
          <cell r="I48">
            <v>4202.5</v>
          </cell>
          <cell r="J48">
            <v>5049.125</v>
          </cell>
          <cell r="K48">
            <v>5895.75</v>
          </cell>
          <cell r="L48">
            <v>6742.375</v>
          </cell>
          <cell r="M48">
            <v>7589</v>
          </cell>
          <cell r="N48">
            <v>7589</v>
          </cell>
          <cell r="O48">
            <v>7589</v>
          </cell>
          <cell r="P48">
            <v>7589</v>
          </cell>
          <cell r="Q48">
            <v>0</v>
          </cell>
        </row>
        <row r="49">
          <cell r="C49">
            <v>8.8997815295352272</v>
          </cell>
          <cell r="D49">
            <v>8.8997815295352272</v>
          </cell>
          <cell r="E49">
            <v>8.8997815295352272</v>
          </cell>
          <cell r="F49">
            <v>5.2625335894512419</v>
          </cell>
          <cell r="G49">
            <v>3.7138328013400819</v>
          </cell>
          <cell r="H49">
            <v>2.799255607767372</v>
          </cell>
          <cell r="I49">
            <v>2.1741620990337895</v>
          </cell>
          <cell r="J49">
            <v>1.70902076842343</v>
          </cell>
          <cell r="K49">
            <v>1.3427858871876741</v>
          </cell>
          <cell r="L49">
            <v>1.0424163104741022</v>
          </cell>
          <cell r="M49">
            <v>0.78825824459880445</v>
          </cell>
          <cell r="N49">
            <v>0.78825824459880445</v>
          </cell>
          <cell r="O49">
            <v>0.57699999999999996</v>
          </cell>
          <cell r="P49">
            <v>0.57699999999999996</v>
          </cell>
          <cell r="Q49">
            <v>0.57699999999999996</v>
          </cell>
        </row>
        <row r="68">
          <cell r="B68">
            <v>-6.7000000000000004E-8</v>
          </cell>
          <cell r="C68">
            <v>-9.9999999999999995E-7</v>
          </cell>
          <cell r="D68">
            <v>9.0499999999999999E-4</v>
          </cell>
          <cell r="E68">
            <v>1.1199999999999999E-5</v>
          </cell>
          <cell r="F68">
            <v>1.6000000000000001E-4</v>
          </cell>
          <cell r="G68">
            <v>-0.1525</v>
          </cell>
          <cell r="H68">
            <v>-5.6999999999999998E-4</v>
          </cell>
          <cell r="I68">
            <v>-5.4999999999999997E-3</v>
          </cell>
          <cell r="J68">
            <v>7.2283999999999997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Auswahl"/>
      <sheetName val="T Daten"/>
    </sheetNames>
    <sheetDataSet>
      <sheetData sheetId="0">
        <row r="11">
          <cell r="P11">
            <v>135</v>
          </cell>
        </row>
        <row r="15">
          <cell r="P15">
            <v>0</v>
          </cell>
        </row>
      </sheetData>
      <sheetData sheetId="1">
        <row r="113">
          <cell r="C113">
            <v>0</v>
          </cell>
          <cell r="D113">
            <v>1251</v>
          </cell>
          <cell r="E113">
            <v>1251</v>
          </cell>
          <cell r="F113">
            <v>1400</v>
          </cell>
          <cell r="G113">
            <v>1600</v>
          </cell>
          <cell r="H113">
            <v>1800</v>
          </cell>
          <cell r="I113">
            <v>2000</v>
          </cell>
          <cell r="J113">
            <v>2200</v>
          </cell>
          <cell r="K113">
            <v>2400</v>
          </cell>
          <cell r="L113">
            <v>2500</v>
          </cell>
          <cell r="M113">
            <v>2636</v>
          </cell>
          <cell r="N113">
            <v>2636</v>
          </cell>
          <cell r="O113">
            <v>0</v>
          </cell>
        </row>
        <row r="114">
          <cell r="C114">
            <v>3.7</v>
          </cell>
          <cell r="D114">
            <v>3.7</v>
          </cell>
          <cell r="E114">
            <v>3.7002496699999998</v>
          </cell>
          <cell r="F114">
            <v>3.5251999999999999</v>
          </cell>
          <cell r="G114">
            <v>3.2671999999999994</v>
          </cell>
          <cell r="H114">
            <v>2.9827999999999997</v>
          </cell>
          <cell r="I114">
            <v>2.6719999999999997</v>
          </cell>
          <cell r="J114">
            <v>2.3347999999999995</v>
          </cell>
          <cell r="K114">
            <v>1.9711999999999996</v>
          </cell>
          <cell r="L114">
            <v>1.7794999999999996</v>
          </cell>
          <cell r="M114">
            <v>1.5081963199999997</v>
          </cell>
          <cell r="N114">
            <v>1.5081963199999997</v>
          </cell>
          <cell r="O114">
            <v>1.51</v>
          </cell>
        </row>
        <row r="118">
          <cell r="C118">
            <v>0</v>
          </cell>
          <cell r="D118">
            <v>1363</v>
          </cell>
          <cell r="E118">
            <v>1363</v>
          </cell>
          <cell r="F118">
            <v>1500</v>
          </cell>
          <cell r="G118">
            <v>1700</v>
          </cell>
          <cell r="H118">
            <v>1900</v>
          </cell>
          <cell r="I118">
            <v>2100</v>
          </cell>
          <cell r="J118">
            <v>2300</v>
          </cell>
          <cell r="K118">
            <v>2500</v>
          </cell>
          <cell r="L118">
            <v>2700</v>
          </cell>
          <cell r="M118">
            <v>2940</v>
          </cell>
          <cell r="N118">
            <v>2941</v>
          </cell>
          <cell r="O118">
            <v>0</v>
          </cell>
        </row>
        <row r="119">
          <cell r="C119">
            <v>4.7</v>
          </cell>
          <cell r="D119">
            <v>4.7</v>
          </cell>
          <cell r="E119">
            <v>4.7013622979057299</v>
          </cell>
          <cell r="F119">
            <v>4.5236719153392553</v>
          </cell>
          <cell r="G119">
            <v>4.2384443712579767</v>
          </cell>
          <cell r="H119">
            <v>3.9225633841665388</v>
          </cell>
          <cell r="I119">
            <v>3.5760289540649399</v>
          </cell>
          <cell r="J119">
            <v>3.1988410809531818</v>
          </cell>
          <cell r="K119">
            <v>2.7909997648312643</v>
          </cell>
          <cell r="L119">
            <v>2.3525050056991863</v>
          </cell>
          <cell r="M119">
            <v>1.7858487499672822</v>
          </cell>
          <cell r="N119">
            <v>1.7833953387379977</v>
          </cell>
          <cell r="O119">
            <v>1.78</v>
          </cell>
        </row>
        <row r="123">
          <cell r="C123">
            <v>0</v>
          </cell>
          <cell r="D123">
            <v>910</v>
          </cell>
          <cell r="E123">
            <v>910</v>
          </cell>
          <cell r="F123">
            <v>1100</v>
          </cell>
          <cell r="G123">
            <v>1300</v>
          </cell>
          <cell r="H123">
            <v>1500</v>
          </cell>
          <cell r="I123">
            <v>1700</v>
          </cell>
          <cell r="J123">
            <v>1900</v>
          </cell>
          <cell r="K123">
            <v>2100</v>
          </cell>
          <cell r="L123">
            <v>2300</v>
          </cell>
          <cell r="M123">
            <v>2500</v>
          </cell>
          <cell r="N123">
            <v>2700</v>
          </cell>
          <cell r="O123">
            <v>3000</v>
          </cell>
          <cell r="P123">
            <v>3000</v>
          </cell>
          <cell r="Q123">
            <v>0</v>
          </cell>
        </row>
        <row r="124">
          <cell r="C124">
            <v>6.5</v>
          </cell>
          <cell r="D124">
            <v>6.5</v>
          </cell>
          <cell r="E124">
            <v>6.499586403984094</v>
          </cell>
          <cell r="F124">
            <v>6.2303943470845953</v>
          </cell>
          <cell r="G124">
            <v>5.9153375591512116</v>
          </cell>
          <cell r="H124">
            <v>5.567771306562264</v>
          </cell>
          <cell r="I124">
            <v>5.1876955893177517</v>
          </cell>
          <cell r="J124">
            <v>4.7751104074176762</v>
          </cell>
          <cell r="K124">
            <v>4.330015760862036</v>
          </cell>
          <cell r="L124">
            <v>3.8524116496508327</v>
          </cell>
          <cell r="M124">
            <v>3.3422980737840646</v>
          </cell>
          <cell r="N124">
            <v>2.7996750332617331</v>
          </cell>
          <cell r="O124">
            <v>1.9247852262490537</v>
          </cell>
          <cell r="P124">
            <v>1.86</v>
          </cell>
          <cell r="Q124">
            <v>1.86</v>
          </cell>
        </row>
        <row r="128">
          <cell r="C128">
            <v>0</v>
          </cell>
          <cell r="D128">
            <v>810</v>
          </cell>
          <cell r="E128">
            <v>810</v>
          </cell>
          <cell r="F128">
            <v>1000</v>
          </cell>
          <cell r="G128">
            <v>1200</v>
          </cell>
          <cell r="H128">
            <v>1400</v>
          </cell>
          <cell r="I128">
            <v>1600</v>
          </cell>
          <cell r="J128">
            <v>1800</v>
          </cell>
          <cell r="K128">
            <v>2000</v>
          </cell>
          <cell r="L128">
            <v>2200</v>
          </cell>
          <cell r="M128">
            <v>2400</v>
          </cell>
          <cell r="N128">
            <v>2600</v>
          </cell>
          <cell r="O128">
            <v>2800</v>
          </cell>
          <cell r="P128">
            <v>3060</v>
          </cell>
          <cell r="Q128">
            <v>3060</v>
          </cell>
          <cell r="R128">
            <v>0</v>
          </cell>
        </row>
        <row r="129">
          <cell r="C129">
            <v>8.5</v>
          </cell>
          <cell r="D129">
            <v>8.5</v>
          </cell>
          <cell r="E129">
            <v>8.4996112667690227</v>
          </cell>
          <cell r="F129">
            <v>8.204337885640939</v>
          </cell>
          <cell r="G129">
            <v>7.8567185553229528</v>
          </cell>
          <cell r="H129">
            <v>7.4713502558562404</v>
          </cell>
          <cell r="I129">
            <v>7.0482329872408034</v>
          </cell>
          <cell r="J129">
            <v>6.5873667494766419</v>
          </cell>
          <cell r="K129">
            <v>6.0887515425637559</v>
          </cell>
          <cell r="L129">
            <v>5.5523873665021437</v>
          </cell>
          <cell r="M129">
            <v>4.9782742212918079</v>
          </cell>
          <cell r="N129">
            <v>4.3664121069327457</v>
          </cell>
          <cell r="O129">
            <v>3.71680102342496</v>
          </cell>
          <cell r="P129">
            <v>2.8158719059874944</v>
          </cell>
          <cell r="Q129">
            <v>1.94</v>
          </cell>
          <cell r="R129">
            <v>1.94</v>
          </cell>
        </row>
        <row r="133">
          <cell r="C133">
            <v>0</v>
          </cell>
          <cell r="D133">
            <v>2502</v>
          </cell>
          <cell r="E133">
            <v>2502</v>
          </cell>
          <cell r="F133">
            <v>3000</v>
          </cell>
          <cell r="G133">
            <v>3500</v>
          </cell>
          <cell r="H133">
            <v>4000</v>
          </cell>
          <cell r="I133">
            <v>4500</v>
          </cell>
          <cell r="J133">
            <v>5000</v>
          </cell>
          <cell r="K133">
            <v>5272</v>
          </cell>
          <cell r="L133">
            <v>5272</v>
          </cell>
          <cell r="M133">
            <v>0</v>
          </cell>
        </row>
        <row r="134">
          <cell r="C134">
            <v>3.7</v>
          </cell>
          <cell r="D134">
            <v>3.7</v>
          </cell>
          <cell r="E134">
            <v>3.7002496699999998</v>
          </cell>
          <cell r="F134">
            <v>3.3994999999999997</v>
          </cell>
          <cell r="G134">
            <v>3.0563749999999996</v>
          </cell>
          <cell r="H134">
            <v>2.6719999999999997</v>
          </cell>
          <cell r="I134">
            <v>2.2463749999999996</v>
          </cell>
          <cell r="J134">
            <v>1.7794999999999996</v>
          </cell>
          <cell r="K134">
            <v>1.5081963199999993</v>
          </cell>
          <cell r="L134">
            <v>1.5081963199999993</v>
          </cell>
          <cell r="M134">
            <v>1.51</v>
          </cell>
        </row>
        <row r="138">
          <cell r="C138">
            <v>0</v>
          </cell>
          <cell r="D138">
            <v>2726</v>
          </cell>
          <cell r="E138">
            <v>2726</v>
          </cell>
          <cell r="F138">
            <v>3000</v>
          </cell>
          <cell r="G138">
            <v>3500</v>
          </cell>
          <cell r="H138">
            <v>4000</v>
          </cell>
          <cell r="I138">
            <v>4500</v>
          </cell>
          <cell r="J138">
            <v>5000</v>
          </cell>
          <cell r="K138">
            <v>5500</v>
          </cell>
          <cell r="L138">
            <v>5881</v>
          </cell>
          <cell r="M138">
            <v>5881</v>
          </cell>
          <cell r="N138">
            <v>0</v>
          </cell>
        </row>
        <row r="139">
          <cell r="C139">
            <v>4.7</v>
          </cell>
          <cell r="D139">
            <v>4.7</v>
          </cell>
          <cell r="E139">
            <v>4.7017145195548942</v>
          </cell>
          <cell r="F139">
            <v>4.5240985015890089</v>
          </cell>
          <cell r="G139">
            <v>4.1629285160517071</v>
          </cell>
          <cell r="H139">
            <v>3.7538862250471272</v>
          </cell>
          <cell r="I139">
            <v>3.296971628575271</v>
          </cell>
          <cell r="J139">
            <v>2.7921847266361368</v>
          </cell>
          <cell r="K139">
            <v>2.2395255192297254</v>
          </cell>
          <cell r="L139">
            <v>1.7862614713351359</v>
          </cell>
          <cell r="M139">
            <v>1.7862614713351359</v>
          </cell>
          <cell r="N139">
            <v>1.79</v>
          </cell>
        </row>
        <row r="143">
          <cell r="C143">
            <v>0</v>
          </cell>
          <cell r="D143">
            <v>1820</v>
          </cell>
          <cell r="E143">
            <v>1820</v>
          </cell>
          <cell r="F143">
            <v>3000</v>
          </cell>
          <cell r="G143">
            <v>3500</v>
          </cell>
          <cell r="H143">
            <v>4000</v>
          </cell>
          <cell r="I143">
            <v>4500</v>
          </cell>
          <cell r="J143">
            <v>5000</v>
          </cell>
          <cell r="K143">
            <v>5500</v>
          </cell>
          <cell r="L143">
            <v>6000</v>
          </cell>
          <cell r="M143">
            <v>6000</v>
          </cell>
          <cell r="N143">
            <v>0</v>
          </cell>
        </row>
        <row r="144">
          <cell r="C144">
            <v>6.5</v>
          </cell>
          <cell r="D144">
            <v>6.5</v>
          </cell>
          <cell r="E144">
            <v>6.4967419996211202</v>
          </cell>
          <cell r="F144">
            <v>5.5600428802650894</v>
          </cell>
          <cell r="G144">
            <v>5.0770778092497046</v>
          </cell>
          <cell r="H144">
            <v>4.5428873426934917</v>
          </cell>
          <cell r="I144">
            <v>3.957471480596451</v>
          </cell>
          <cell r="J144">
            <v>3.3208302229585804</v>
          </cell>
          <cell r="K144">
            <v>2.6329635697798834</v>
          </cell>
          <cell r="L144">
            <v>1.8938715210603565</v>
          </cell>
          <cell r="M144">
            <v>1.86</v>
          </cell>
          <cell r="N144">
            <v>1.86</v>
          </cell>
        </row>
        <row r="148">
          <cell r="C148">
            <v>0</v>
          </cell>
          <cell r="D148">
            <v>1590</v>
          </cell>
          <cell r="E148">
            <v>1590</v>
          </cell>
          <cell r="F148">
            <v>3000</v>
          </cell>
          <cell r="G148">
            <v>3500</v>
          </cell>
          <cell r="H148">
            <v>4000</v>
          </cell>
          <cell r="I148">
            <v>4500</v>
          </cell>
          <cell r="J148">
            <v>5000</v>
          </cell>
          <cell r="K148">
            <v>5500</v>
          </cell>
          <cell r="L148">
            <v>6120</v>
          </cell>
          <cell r="M148">
            <v>6120</v>
          </cell>
          <cell r="N148">
            <v>0</v>
          </cell>
        </row>
        <row r="149">
          <cell r="C149">
            <v>8.5</v>
          </cell>
          <cell r="D149">
            <v>8.5</v>
          </cell>
          <cell r="E149">
            <v>8.5098117910343181</v>
          </cell>
          <cell r="F149">
            <v>7.2621033667484269</v>
          </cell>
          <cell r="G149">
            <v>6.7173261860916877</v>
          </cell>
          <cell r="H149">
            <v>6.1187862781332267</v>
          </cell>
          <cell r="I149">
            <v>5.4663897813383118</v>
          </cell>
          <cell r="J149">
            <v>4.7600535393543408</v>
          </cell>
          <cell r="K149">
            <v>3.9997028665134433</v>
          </cell>
          <cell r="L149">
            <v>2.9817516055737787</v>
          </cell>
          <cell r="M149">
            <v>1.94</v>
          </cell>
          <cell r="N149">
            <v>1.94</v>
          </cell>
        </row>
        <row r="153">
          <cell r="C153">
            <v>0</v>
          </cell>
          <cell r="D153">
            <v>3367</v>
          </cell>
          <cell r="E153">
            <v>3367</v>
          </cell>
          <cell r="F153">
            <v>3500</v>
          </cell>
          <cell r="G153">
            <v>3750</v>
          </cell>
          <cell r="H153">
            <v>4000</v>
          </cell>
          <cell r="I153">
            <v>4250</v>
          </cell>
          <cell r="J153">
            <v>4500</v>
          </cell>
          <cell r="K153">
            <v>4750</v>
          </cell>
          <cell r="L153">
            <v>5000</v>
          </cell>
          <cell r="M153">
            <v>5000</v>
          </cell>
          <cell r="N153">
            <v>0</v>
          </cell>
        </row>
        <row r="154">
          <cell r="C154">
            <v>14.2</v>
          </cell>
          <cell r="D154">
            <v>14.2</v>
          </cell>
          <cell r="E154">
            <v>14.201285080344256</v>
          </cell>
          <cell r="F154">
            <v>13.81224874192878</v>
          </cell>
          <cell r="G154">
            <v>13.043607139499027</v>
          </cell>
          <cell r="H154">
            <v>12.226121302463238</v>
          </cell>
          <cell r="I154">
            <v>11.359726350393373</v>
          </cell>
          <cell r="J154">
            <v>10.444361227750591</v>
          </cell>
          <cell r="K154">
            <v>9.4799682718140375</v>
          </cell>
          <cell r="L154">
            <v>8.4664928502543653</v>
          </cell>
          <cell r="M154">
            <v>8.4664928502543653</v>
          </cell>
          <cell r="N154">
            <v>8.4664928502543653</v>
          </cell>
        </row>
        <row r="158">
          <cell r="C158">
            <v>0</v>
          </cell>
          <cell r="D158">
            <v>3773</v>
          </cell>
          <cell r="E158">
            <v>3773</v>
          </cell>
          <cell r="F158">
            <v>4000</v>
          </cell>
          <cell r="G158">
            <v>4250</v>
          </cell>
          <cell r="H158">
            <v>4500</v>
          </cell>
          <cell r="I158">
            <v>4750</v>
          </cell>
          <cell r="J158">
            <v>5000</v>
          </cell>
          <cell r="K158">
            <v>5000</v>
          </cell>
          <cell r="L158">
            <v>5000</v>
          </cell>
          <cell r="M158">
            <v>5000</v>
          </cell>
          <cell r="N158">
            <v>0</v>
          </cell>
        </row>
        <row r="159">
          <cell r="C159">
            <v>14.2</v>
          </cell>
          <cell r="D159">
            <v>14.2</v>
          </cell>
          <cell r="E159">
            <v>14.200281932031054</v>
          </cell>
          <cell r="F159">
            <v>13.537040967977074</v>
          </cell>
          <cell r="G159">
            <v>12.75505235363878</v>
          </cell>
          <cell r="H159">
            <v>11.918995495285197</v>
          </cell>
          <cell r="I159">
            <v>11.028835557772318</v>
          </cell>
          <cell r="J159">
            <v>10.084539555050522</v>
          </cell>
          <cell r="K159">
            <v>10.084539555050522</v>
          </cell>
          <cell r="L159">
            <v>10.084539555050522</v>
          </cell>
          <cell r="M159">
            <v>10.084539555050522</v>
          </cell>
          <cell r="N159">
            <v>10.08</v>
          </cell>
        </row>
        <row r="164">
          <cell r="A164" t="str">
            <v>TI 90.2</v>
          </cell>
          <cell r="C164">
            <v>0</v>
          </cell>
          <cell r="D164">
            <v>3000</v>
          </cell>
          <cell r="E164">
            <v>3000</v>
          </cell>
          <cell r="F164">
            <v>3500</v>
          </cell>
          <cell r="G164">
            <v>4000</v>
          </cell>
          <cell r="H164">
            <v>4500</v>
          </cell>
          <cell r="I164">
            <v>5000</v>
          </cell>
          <cell r="J164">
            <v>5500</v>
          </cell>
          <cell r="K164">
            <v>6000</v>
          </cell>
          <cell r="L164">
            <v>6500</v>
          </cell>
          <cell r="M164">
            <v>7000</v>
          </cell>
          <cell r="N164">
            <v>7000</v>
          </cell>
          <cell r="O164">
            <v>0</v>
          </cell>
        </row>
        <row r="165">
          <cell r="C165">
            <v>7.9882536278700318</v>
          </cell>
          <cell r="D165">
            <v>7.9882536278700318</v>
          </cell>
          <cell r="E165">
            <v>7.9882536278700318</v>
          </cell>
          <cell r="F165">
            <v>7.684181745214377</v>
          </cell>
          <cell r="G165">
            <v>7.3219963159870236</v>
          </cell>
          <cell r="H165">
            <v>6.9017228553151782</v>
          </cell>
          <cell r="I165">
            <v>6.4233838397829111</v>
          </cell>
          <cell r="J165">
            <v>5.8869993546804595</v>
          </cell>
          <cell r="K165">
            <v>5.2925875540295095</v>
          </cell>
          <cell r="L165">
            <v>4.6401649993523488</v>
          </cell>
          <cell r="M165">
            <v>3.9297469164107204</v>
          </cell>
          <cell r="N165">
            <v>2.75</v>
          </cell>
          <cell r="O165">
            <v>2.75</v>
          </cell>
        </row>
        <row r="169">
          <cell r="A169" t="str">
            <v>TI 120.2</v>
          </cell>
          <cell r="C169">
            <v>0</v>
          </cell>
          <cell r="D169">
            <v>3060</v>
          </cell>
          <cell r="E169">
            <v>3060</v>
          </cell>
          <cell r="F169">
            <v>3552.5</v>
          </cell>
          <cell r="G169">
            <v>4045</v>
          </cell>
          <cell r="H169">
            <v>4537.5</v>
          </cell>
          <cell r="I169">
            <v>5030</v>
          </cell>
          <cell r="J169">
            <v>5522.5</v>
          </cell>
          <cell r="K169">
            <v>6015</v>
          </cell>
          <cell r="L169">
            <v>6507.5</v>
          </cell>
          <cell r="M169">
            <v>7000</v>
          </cell>
          <cell r="N169">
            <v>7000</v>
          </cell>
          <cell r="O169">
            <v>0</v>
          </cell>
        </row>
        <row r="170">
          <cell r="C170">
            <v>10.759980549612314</v>
          </cell>
          <cell r="D170">
            <v>10.759980549612314</v>
          </cell>
          <cell r="E170">
            <v>10.759980549612314</v>
          </cell>
          <cell r="F170">
            <v>10.387828937810347</v>
          </cell>
          <cell r="G170">
            <v>9.9444830921448535</v>
          </cell>
          <cell r="H170">
            <v>9.4298079853899441</v>
          </cell>
          <cell r="I170">
            <v>8.8436839027294862</v>
          </cell>
          <cell r="J170">
            <v>8.1860032886841267</v>
          </cell>
          <cell r="K170">
            <v>7.4566684811548365</v>
          </cell>
          <cell r="L170">
            <v>6.655590027423588</v>
          </cell>
          <cell r="M170">
            <v>5.7826853980414494</v>
          </cell>
          <cell r="N170">
            <v>3.05</v>
          </cell>
          <cell r="O170">
            <v>3.05</v>
          </cell>
        </row>
        <row r="174">
          <cell r="A174" t="str">
            <v>TI 150.2</v>
          </cell>
          <cell r="C174">
            <v>0</v>
          </cell>
          <cell r="D174">
            <v>2870</v>
          </cell>
          <cell r="E174">
            <v>2870</v>
          </cell>
          <cell r="F174">
            <v>3386.25</v>
          </cell>
          <cell r="G174">
            <v>3902.5</v>
          </cell>
          <cell r="H174">
            <v>4418.75</v>
          </cell>
          <cell r="I174">
            <v>4935</v>
          </cell>
          <cell r="J174">
            <v>5451.25</v>
          </cell>
          <cell r="K174">
            <v>5967.5</v>
          </cell>
          <cell r="L174">
            <v>6483.75</v>
          </cell>
          <cell r="M174">
            <v>7000</v>
          </cell>
          <cell r="N174">
            <v>7000</v>
          </cell>
          <cell r="O174">
            <v>0</v>
          </cell>
        </row>
        <row r="175">
          <cell r="C175">
            <v>14.536897767549004</v>
          </cell>
          <cell r="D175">
            <v>14.536897767549004</v>
          </cell>
          <cell r="E175">
            <v>14.536897767549004</v>
          </cell>
          <cell r="F175">
            <v>14.054227772216294</v>
          </cell>
          <cell r="G175">
            <v>13.462457032222575</v>
          </cell>
          <cell r="H175">
            <v>12.761044203480585</v>
          </cell>
          <cell r="I175">
            <v>11.949512486105895</v>
          </cell>
          <cell r="J175">
            <v>11.027435544902101</v>
          </cell>
          <cell r="K175">
            <v>9.9944276194753172</v>
          </cell>
          <cell r="L175">
            <v>8.850136304377239</v>
          </cell>
          <cell r="M175">
            <v>7.5942371134239401</v>
          </cell>
          <cell r="N175">
            <v>6.7</v>
          </cell>
          <cell r="O175">
            <v>6.7</v>
          </cell>
        </row>
        <row r="179">
          <cell r="A179" t="str">
            <v>TI 190.2</v>
          </cell>
          <cell r="C179">
            <v>0</v>
          </cell>
          <cell r="D179">
            <v>4005</v>
          </cell>
          <cell r="E179">
            <v>4005</v>
          </cell>
          <cell r="F179">
            <v>4379.375</v>
          </cell>
          <cell r="G179">
            <v>4753.75</v>
          </cell>
          <cell r="H179">
            <v>5128.125</v>
          </cell>
          <cell r="I179">
            <v>5502.5</v>
          </cell>
          <cell r="J179">
            <v>5876.875</v>
          </cell>
          <cell r="K179">
            <v>6251.25</v>
          </cell>
          <cell r="L179">
            <v>6625.625</v>
          </cell>
          <cell r="M179">
            <v>7000</v>
          </cell>
          <cell r="N179">
            <v>7000</v>
          </cell>
          <cell r="O179">
            <v>0</v>
          </cell>
        </row>
        <row r="180">
          <cell r="C180">
            <v>16.454350849914665</v>
          </cell>
          <cell r="D180">
            <v>16.454350849914665</v>
          </cell>
          <cell r="E180">
            <v>16.454350849914665</v>
          </cell>
          <cell r="F180">
            <v>15.981713699446322</v>
          </cell>
          <cell r="G180">
            <v>15.452031222761308</v>
          </cell>
          <cell r="H180">
            <v>14.864978772373934</v>
          </cell>
          <cell r="I180">
            <v>14.220254467744645</v>
          </cell>
          <cell r="J180">
            <v>13.517576095233748</v>
          </cell>
          <cell r="K180">
            <v>12.756678608186744</v>
          </cell>
          <cell r="L180">
            <v>11.937312080737513</v>
          </cell>
          <cell r="M180">
            <v>11.05924001115946</v>
          </cell>
          <cell r="N180">
            <v>8.1999999999999993</v>
          </cell>
          <cell r="O180">
            <v>8.1999999999999993</v>
          </cell>
        </row>
        <row r="184">
          <cell r="A184" t="str">
            <v>TI 230.2</v>
          </cell>
          <cell r="C184">
            <v>0</v>
          </cell>
          <cell r="D184">
            <v>4000</v>
          </cell>
          <cell r="E184">
            <v>4000</v>
          </cell>
          <cell r="F184">
            <v>4375</v>
          </cell>
          <cell r="G184">
            <v>4750</v>
          </cell>
          <cell r="H184">
            <v>5125</v>
          </cell>
          <cell r="I184">
            <v>5500</v>
          </cell>
          <cell r="J184">
            <v>5875</v>
          </cell>
          <cell r="K184">
            <v>6250</v>
          </cell>
          <cell r="L184">
            <v>6625</v>
          </cell>
          <cell r="M184">
            <v>7000</v>
          </cell>
          <cell r="N184">
            <v>7000</v>
          </cell>
          <cell r="O184">
            <v>0</v>
          </cell>
        </row>
        <row r="185">
          <cell r="C185">
            <v>20.551853745645371</v>
          </cell>
          <cell r="D185">
            <v>20.551853745645371</v>
          </cell>
          <cell r="E185">
            <v>20.551853745645371</v>
          </cell>
          <cell r="F185">
            <v>19.999669364491758</v>
          </cell>
          <cell r="G185">
            <v>19.379577482643807</v>
          </cell>
          <cell r="H185">
            <v>18.691081344868692</v>
          </cell>
          <cell r="I185">
            <v>17.933718382280993</v>
          </cell>
          <cell r="J185">
            <v>17.107055592346455</v>
          </cell>
          <cell r="K185">
            <v>16.210685809582181</v>
          </cell>
          <cell r="L185">
            <v>15.244224650198731</v>
          </cell>
          <cell r="M185">
            <v>14.207307976365803</v>
          </cell>
          <cell r="N185">
            <v>9.1999999999999993</v>
          </cell>
          <cell r="O185">
            <v>9.1999999999999993</v>
          </cell>
        </row>
        <row r="189">
          <cell r="A189" t="str">
            <v>TI 61.2</v>
          </cell>
          <cell r="C189">
            <v>0</v>
          </cell>
          <cell r="D189">
            <v>3250</v>
          </cell>
          <cell r="E189">
            <v>3250</v>
          </cell>
          <cell r="F189">
            <v>4218.75</v>
          </cell>
          <cell r="G189">
            <v>5187.5</v>
          </cell>
          <cell r="H189">
            <v>6156.25</v>
          </cell>
          <cell r="I189">
            <v>7125</v>
          </cell>
          <cell r="J189">
            <v>8093.75</v>
          </cell>
          <cell r="K189">
            <v>9062.5</v>
          </cell>
          <cell r="L189">
            <v>10031.25</v>
          </cell>
          <cell r="M189">
            <v>11000</v>
          </cell>
          <cell r="N189">
            <v>11000</v>
          </cell>
          <cell r="O189">
            <v>0</v>
          </cell>
        </row>
        <row r="190">
          <cell r="C190">
            <v>4.2019690386515158</v>
          </cell>
          <cell r="D190">
            <v>4.2019690386515158</v>
          </cell>
          <cell r="E190">
            <v>4.2019690386515158</v>
          </cell>
          <cell r="F190">
            <v>4.0124723148395756</v>
          </cell>
          <cell r="G190">
            <v>3.7988607268955059</v>
          </cell>
          <cell r="H190">
            <v>3.5611178451535865</v>
          </cell>
          <cell r="I190">
            <v>3.2992300798930945</v>
          </cell>
          <cell r="J190">
            <v>3.0131858380812302</v>
          </cell>
          <cell r="K190">
            <v>2.7029750086983051</v>
          </cell>
          <cell r="L190">
            <v>2.3685886250200552</v>
          </cell>
          <cell r="M190">
            <v>2.0100186308643493</v>
          </cell>
          <cell r="N190">
            <v>2</v>
          </cell>
          <cell r="O190">
            <v>2</v>
          </cell>
        </row>
        <row r="194">
          <cell r="A194" t="str">
            <v>TI 91.2</v>
          </cell>
          <cell r="C194">
            <v>0</v>
          </cell>
          <cell r="D194">
            <v>2140</v>
          </cell>
          <cell r="E194">
            <v>2140</v>
          </cell>
          <cell r="F194">
            <v>3435</v>
          </cell>
          <cell r="G194">
            <v>4730</v>
          </cell>
          <cell r="H194">
            <v>6025</v>
          </cell>
          <cell r="I194">
            <v>7320</v>
          </cell>
          <cell r="J194">
            <v>8615</v>
          </cell>
          <cell r="K194">
            <v>9910</v>
          </cell>
          <cell r="L194">
            <v>11205</v>
          </cell>
          <cell r="M194">
            <v>12500</v>
          </cell>
          <cell r="N194">
            <v>12500</v>
          </cell>
          <cell r="O194">
            <v>0</v>
          </cell>
        </row>
        <row r="195">
          <cell r="C195">
            <v>8.0000502222222227</v>
          </cell>
          <cell r="D195">
            <v>8.0000502222222227</v>
          </cell>
          <cell r="E195">
            <v>8.0000502222222227</v>
          </cell>
          <cell r="F195">
            <v>7.6367667500000005</v>
          </cell>
          <cell r="G195">
            <v>7.2250358888888888</v>
          </cell>
          <cell r="H195">
            <v>6.7648576388888895</v>
          </cell>
          <cell r="I195">
            <v>6.2562320000000007</v>
          </cell>
          <cell r="J195">
            <v>5.6991589722222216</v>
          </cell>
          <cell r="K195">
            <v>5.0936385555555557</v>
          </cell>
          <cell r="L195">
            <v>4.4396707499999994</v>
          </cell>
          <cell r="M195">
            <v>3.7372555555555556</v>
          </cell>
          <cell r="N195">
            <v>3</v>
          </cell>
          <cell r="O195">
            <v>3</v>
          </cell>
        </row>
        <row r="199">
          <cell r="A199" t="str">
            <v>TI 111.2</v>
          </cell>
          <cell r="C199">
            <v>0</v>
          </cell>
          <cell r="D199">
            <v>4550</v>
          </cell>
          <cell r="E199">
            <v>4550</v>
          </cell>
          <cell r="F199">
            <v>5856.25</v>
          </cell>
          <cell r="G199">
            <v>7162.5</v>
          </cell>
          <cell r="H199">
            <v>8468.75</v>
          </cell>
          <cell r="I199">
            <v>9775</v>
          </cell>
          <cell r="J199">
            <v>11081.25</v>
          </cell>
          <cell r="K199">
            <v>12387.5</v>
          </cell>
          <cell r="L199">
            <v>13693.75</v>
          </cell>
          <cell r="M199">
            <v>15000</v>
          </cell>
          <cell r="N199">
            <v>15000</v>
          </cell>
          <cell r="O199">
            <v>0</v>
          </cell>
        </row>
        <row r="200">
          <cell r="C200">
            <v>10.273308332472126</v>
          </cell>
          <cell r="D200">
            <v>10.273308332472126</v>
          </cell>
          <cell r="E200">
            <v>10.273308332472126</v>
          </cell>
          <cell r="F200">
            <v>9.8707190697244211</v>
          </cell>
          <cell r="G200">
            <v>9.3574821737842981</v>
          </cell>
          <cell r="H200">
            <v>8.7323470587886707</v>
          </cell>
          <cell r="I200">
            <v>7.9942597818692436</v>
          </cell>
          <cell r="J200">
            <v>7.1423076265058372</v>
          </cell>
          <cell r="K200">
            <v>6.1756844849990662</v>
          </cell>
          <cell r="L200">
            <v>5.0936677228604585</v>
          </cell>
          <cell r="M200">
            <v>3.8956019217896447</v>
          </cell>
          <cell r="N200">
            <v>2.65</v>
          </cell>
          <cell r="O200">
            <v>2.65</v>
          </cell>
        </row>
        <row r="204">
          <cell r="A204" t="str">
            <v>TI 161.2</v>
          </cell>
          <cell r="C204">
            <v>0</v>
          </cell>
          <cell r="D204">
            <v>5340</v>
          </cell>
          <cell r="E204">
            <v>5340</v>
          </cell>
          <cell r="F204">
            <v>6547.5</v>
          </cell>
          <cell r="G204">
            <v>7755</v>
          </cell>
          <cell r="H204">
            <v>8962.5</v>
          </cell>
          <cell r="I204">
            <v>10170</v>
          </cell>
          <cell r="J204">
            <v>11377.5</v>
          </cell>
          <cell r="K204">
            <v>12585</v>
          </cell>
          <cell r="L204">
            <v>13792.5</v>
          </cell>
          <cell r="M204">
            <v>15000</v>
          </cell>
          <cell r="N204">
            <v>15000</v>
          </cell>
          <cell r="O204">
            <v>0</v>
          </cell>
        </row>
        <row r="205">
          <cell r="C205">
            <v>14.207178979607678</v>
          </cell>
          <cell r="D205">
            <v>14.207178979607678</v>
          </cell>
          <cell r="E205">
            <v>14.207178979607678</v>
          </cell>
          <cell r="F205">
            <v>13.651361239032052</v>
          </cell>
          <cell r="G205">
            <v>12.969848410672187</v>
          </cell>
          <cell r="H205">
            <v>12.163295125289697</v>
          </cell>
          <cell r="I205">
            <v>11.232256804133156</v>
          </cell>
          <cell r="J205">
            <v>10.177215503962715</v>
          </cell>
          <cell r="K205">
            <v>8.9985968366237827</v>
          </cell>
          <cell r="L205">
            <v>7.6967816510415883</v>
          </cell>
          <cell r="M205">
            <v>6.2721144372953823</v>
          </cell>
          <cell r="N205">
            <v>3.2</v>
          </cell>
          <cell r="O205">
            <v>3.2</v>
          </cell>
        </row>
        <row r="209">
          <cell r="A209" t="str">
            <v>TI 191.2</v>
          </cell>
          <cell r="C209">
            <v>0</v>
          </cell>
          <cell r="D209">
            <v>6290</v>
          </cell>
          <cell r="E209">
            <v>6290</v>
          </cell>
          <cell r="F209">
            <v>7378.75</v>
          </cell>
          <cell r="G209">
            <v>8467.5</v>
          </cell>
          <cell r="H209">
            <v>9556.25</v>
          </cell>
          <cell r="I209">
            <v>10645</v>
          </cell>
          <cell r="J209">
            <v>11733.75</v>
          </cell>
          <cell r="K209">
            <v>12822.5</v>
          </cell>
          <cell r="L209">
            <v>13911.25</v>
          </cell>
          <cell r="M209">
            <v>15000</v>
          </cell>
          <cell r="N209">
            <v>15000</v>
          </cell>
          <cell r="O209">
            <v>0</v>
          </cell>
        </row>
        <row r="210">
          <cell r="C210">
            <v>16.519984746277423</v>
          </cell>
          <cell r="D210">
            <v>16.519984746277423</v>
          </cell>
          <cell r="E210">
            <v>16.519984746277423</v>
          </cell>
          <cell r="F210">
            <v>15.860577177590535</v>
          </cell>
          <cell r="G210">
            <v>15.090343803262128</v>
          </cell>
          <cell r="H210">
            <v>14.20964476672874</v>
          </cell>
          <cell r="I210">
            <v>13.218795121152946</v>
          </cell>
          <cell r="J210">
            <v>12.118074778887326</v>
          </cell>
          <cell r="K210">
            <v>10.907735498245351</v>
          </cell>
          <cell r="L210">
            <v>9.5880059780755076</v>
          </cell>
          <cell r="M210">
            <v>8.1590956868425497</v>
          </cell>
          <cell r="N210">
            <v>6.2</v>
          </cell>
          <cell r="O210">
            <v>6.2</v>
          </cell>
        </row>
        <row r="214">
          <cell r="A214" t="str">
            <v>TI 231.2</v>
          </cell>
          <cell r="C214">
            <v>0</v>
          </cell>
          <cell r="D214">
            <v>6880</v>
          </cell>
          <cell r="E214">
            <v>6880</v>
          </cell>
          <cell r="F214">
            <v>7895</v>
          </cell>
          <cell r="G214">
            <v>8910</v>
          </cell>
          <cell r="H214">
            <v>9925</v>
          </cell>
          <cell r="I214">
            <v>10940</v>
          </cell>
          <cell r="J214">
            <v>11955</v>
          </cell>
          <cell r="K214">
            <v>12970</v>
          </cell>
          <cell r="L214">
            <v>13985</v>
          </cell>
          <cell r="M214">
            <v>15000</v>
          </cell>
          <cell r="N214">
            <v>15000</v>
          </cell>
          <cell r="O214">
            <v>0</v>
          </cell>
        </row>
        <row r="215">
          <cell r="C215">
            <v>19.940683257927063</v>
          </cell>
          <cell r="D215">
            <v>19.940683257927063</v>
          </cell>
          <cell r="E215">
            <v>19.940683257927063</v>
          </cell>
          <cell r="F215">
            <v>19.189570630808319</v>
          </cell>
          <cell r="G215">
            <v>18.314341175733496</v>
          </cell>
          <cell r="H215">
            <v>17.314994892702593</v>
          </cell>
          <cell r="I215">
            <v>16.191531781715618</v>
          </cell>
          <cell r="J215">
            <v>14.943951842772556</v>
          </cell>
          <cell r="K215">
            <v>13.572255075873418</v>
          </cell>
          <cell r="L215">
            <v>12.076441481018206</v>
          </cell>
          <cell r="M215">
            <v>10.456511058206914</v>
          </cell>
          <cell r="N215">
            <v>8.5</v>
          </cell>
          <cell r="O215">
            <v>8.5</v>
          </cell>
        </row>
        <row r="219">
          <cell r="A219" t="str">
            <v>TI 62.2</v>
          </cell>
          <cell r="C219">
            <v>0</v>
          </cell>
          <cell r="D219">
            <v>9500</v>
          </cell>
          <cell r="E219">
            <v>9500</v>
          </cell>
          <cell r="F219">
            <v>11062.5</v>
          </cell>
          <cell r="G219">
            <v>12625</v>
          </cell>
          <cell r="H219">
            <v>14187.5</v>
          </cell>
          <cell r="I219">
            <v>15750</v>
          </cell>
          <cell r="J219">
            <v>17312.5</v>
          </cell>
          <cell r="K219">
            <v>18875</v>
          </cell>
          <cell r="L219">
            <v>20437.5</v>
          </cell>
          <cell r="M219">
            <v>22000</v>
          </cell>
          <cell r="N219">
            <v>22000</v>
          </cell>
          <cell r="O219">
            <v>0</v>
          </cell>
        </row>
        <row r="220">
          <cell r="C220">
            <v>5.2393749999999999</v>
          </cell>
          <cell r="D220">
            <v>5.2393749999999999</v>
          </cell>
          <cell r="E220">
            <v>5.2393749999999999</v>
          </cell>
          <cell r="F220">
            <v>5.0430371093749997</v>
          </cell>
          <cell r="G220">
            <v>4.8149609374999995</v>
          </cell>
          <cell r="H220">
            <v>4.5551464843750002</v>
          </cell>
          <cell r="I220">
            <v>4.2635937500000001</v>
          </cell>
          <cell r="J220">
            <v>3.9403027343749999</v>
          </cell>
          <cell r="K220">
            <v>3.5852734374999997</v>
          </cell>
          <cell r="L220">
            <v>3.198505859375</v>
          </cell>
          <cell r="M220">
            <v>2.78</v>
          </cell>
          <cell r="N220">
            <v>2.15</v>
          </cell>
          <cell r="O220">
            <v>2.15</v>
          </cell>
        </row>
        <row r="224">
          <cell r="A224" t="str">
            <v>TI 102.2</v>
          </cell>
          <cell r="C224">
            <v>0</v>
          </cell>
          <cell r="D224">
            <v>7950</v>
          </cell>
          <cell r="E224">
            <v>7950</v>
          </cell>
          <cell r="F224">
            <v>9956.25</v>
          </cell>
          <cell r="G224">
            <v>11962.5</v>
          </cell>
          <cell r="H224">
            <v>13968.75</v>
          </cell>
          <cell r="I224">
            <v>15975</v>
          </cell>
          <cell r="J224">
            <v>17981.25</v>
          </cell>
          <cell r="K224">
            <v>19987.5</v>
          </cell>
          <cell r="L224">
            <v>21993.75</v>
          </cell>
          <cell r="M224">
            <v>24000</v>
          </cell>
          <cell r="N224">
            <v>24000</v>
          </cell>
          <cell r="O224">
            <v>0</v>
          </cell>
        </row>
        <row r="225">
          <cell r="C225">
            <v>8.6322852359049183</v>
          </cell>
          <cell r="D225">
            <v>8.6322852359049183</v>
          </cell>
          <cell r="E225">
            <v>8.6322852359049183</v>
          </cell>
          <cell r="F225">
            <v>8.3251449530583859</v>
          </cell>
          <cell r="G225">
            <v>7.945034944045628</v>
          </cell>
          <cell r="H225">
            <v>7.4920137187916236</v>
          </cell>
          <cell r="I225">
            <v>6.9661305609142197</v>
          </cell>
          <cell r="J225">
            <v>6.367428047327742</v>
          </cell>
          <cell r="K225">
            <v>5.6959436570344817</v>
          </cell>
          <cell r="L225">
            <v>4.9517108619100396</v>
          </cell>
          <cell r="M225">
            <v>4.1347599007225657</v>
          </cell>
          <cell r="N225">
            <v>2.4500000000000002</v>
          </cell>
          <cell r="O225">
            <v>2.4500000000000002</v>
          </cell>
        </row>
        <row r="229">
          <cell r="A229" t="str">
            <v>TI 132.2</v>
          </cell>
          <cell r="C229">
            <v>0</v>
          </cell>
          <cell r="D229">
            <v>8550</v>
          </cell>
          <cell r="E229">
            <v>8550</v>
          </cell>
          <cell r="F229">
            <v>10481.25</v>
          </cell>
          <cell r="G229">
            <v>12412.5</v>
          </cell>
          <cell r="H229">
            <v>14343.75</v>
          </cell>
          <cell r="I229">
            <v>16275</v>
          </cell>
          <cell r="J229">
            <v>18206.25</v>
          </cell>
          <cell r="K229">
            <v>20137.5</v>
          </cell>
          <cell r="L229">
            <v>22068.75</v>
          </cell>
          <cell r="M229">
            <v>24000</v>
          </cell>
          <cell r="N229">
            <v>24000</v>
          </cell>
          <cell r="O229">
            <v>0</v>
          </cell>
        </row>
        <row r="230">
          <cell r="C230">
            <v>11.721279585590221</v>
          </cell>
          <cell r="D230">
            <v>11.721279585590221</v>
          </cell>
          <cell r="E230">
            <v>11.721279585590221</v>
          </cell>
          <cell r="F230">
            <v>11.334468374571106</v>
          </cell>
          <cell r="G230">
            <v>10.863272265059445</v>
          </cell>
          <cell r="H230">
            <v>10.307691257055234</v>
          </cell>
          <cell r="I230">
            <v>9.6677253505584719</v>
          </cell>
          <cell r="J230">
            <v>8.9433745455691636</v>
          </cell>
          <cell r="K230">
            <v>8.1346388420873037</v>
          </cell>
          <cell r="L230">
            <v>7.241518240112895</v>
          </cell>
          <cell r="M230">
            <v>6.2640127396459384</v>
          </cell>
          <cell r="N230">
            <v>5.05</v>
          </cell>
          <cell r="O230">
            <v>5.05</v>
          </cell>
        </row>
        <row r="234">
          <cell r="A234" t="str">
            <v>TI 182.2</v>
          </cell>
          <cell r="C234">
            <v>0</v>
          </cell>
          <cell r="D234">
            <v>10800</v>
          </cell>
          <cell r="E234">
            <v>10800</v>
          </cell>
          <cell r="F234">
            <v>12450</v>
          </cell>
          <cell r="G234">
            <v>14100</v>
          </cell>
          <cell r="H234">
            <v>15750</v>
          </cell>
          <cell r="I234">
            <v>17400</v>
          </cell>
          <cell r="J234">
            <v>19050</v>
          </cell>
          <cell r="K234">
            <v>20700</v>
          </cell>
          <cell r="L234">
            <v>22350</v>
          </cell>
          <cell r="M234">
            <v>24000</v>
          </cell>
          <cell r="N234">
            <v>24000</v>
          </cell>
          <cell r="O234">
            <v>0</v>
          </cell>
        </row>
        <row r="235">
          <cell r="C235">
            <v>15.645504464250692</v>
          </cell>
          <cell r="D235">
            <v>15.645504464250692</v>
          </cell>
          <cell r="E235">
            <v>15.645504464250692</v>
          </cell>
          <cell r="F235">
            <v>15.096194493484379</v>
          </cell>
          <cell r="G235">
            <v>14.46423407525446</v>
          </cell>
          <cell r="H235">
            <v>13.749623209560934</v>
          </cell>
          <cell r="I235">
            <v>12.952361896403804</v>
          </cell>
          <cell r="J235">
            <v>12.072450135783068</v>
          </cell>
          <cell r="K235">
            <v>11.109887927698724</v>
          </cell>
          <cell r="L235">
            <v>10.064675272150778</v>
          </cell>
          <cell r="M235">
            <v>8.936812169139225</v>
          </cell>
          <cell r="N235">
            <v>5.8</v>
          </cell>
          <cell r="O235">
            <v>5.8</v>
          </cell>
        </row>
        <row r="239">
          <cell r="A239" t="str">
            <v>TI 212.2</v>
          </cell>
          <cell r="C239">
            <v>0</v>
          </cell>
          <cell r="D239">
            <v>11300</v>
          </cell>
          <cell r="E239">
            <v>11300</v>
          </cell>
          <cell r="F239">
            <v>12387.5</v>
          </cell>
          <cell r="G239">
            <v>13475</v>
          </cell>
          <cell r="H239">
            <v>14562.5</v>
          </cell>
          <cell r="I239">
            <v>15650</v>
          </cell>
          <cell r="J239">
            <v>16737.5</v>
          </cell>
          <cell r="K239">
            <v>17825</v>
          </cell>
          <cell r="L239">
            <v>18912.5</v>
          </cell>
          <cell r="M239">
            <v>20000</v>
          </cell>
          <cell r="N239">
            <v>20000</v>
          </cell>
          <cell r="O239">
            <v>0</v>
          </cell>
        </row>
        <row r="240">
          <cell r="C240">
            <v>19.009982902746064</v>
          </cell>
          <cell r="D240">
            <v>19.009982902746064</v>
          </cell>
          <cell r="E240">
            <v>19.009982902746064</v>
          </cell>
          <cell r="F240">
            <v>18.593348460159032</v>
          </cell>
          <cell r="G240">
            <v>18.134346617857783</v>
          </cell>
          <cell r="H240">
            <v>17.633084713480109</v>
          </cell>
          <cell r="I240">
            <v>17.089661450944966</v>
          </cell>
          <cell r="J240">
            <v>16.504168169048747</v>
          </cell>
          <cell r="K240">
            <v>15.876689850492252</v>
          </cell>
          <cell r="L240">
            <v>15.207305937554249</v>
          </cell>
          <cell r="M240">
            <v>14.496091000785604</v>
          </cell>
          <cell r="N240">
            <v>12.1</v>
          </cell>
          <cell r="O240">
            <v>12.1</v>
          </cell>
        </row>
        <row r="244">
          <cell r="A244" t="str">
            <v>TI 43.2</v>
          </cell>
          <cell r="C244">
            <v>0</v>
          </cell>
          <cell r="D244">
            <v>18950</v>
          </cell>
          <cell r="E244">
            <v>18950</v>
          </cell>
          <cell r="F244">
            <v>20331.25</v>
          </cell>
          <cell r="G244">
            <v>21712.5</v>
          </cell>
          <cell r="H244">
            <v>23093.75</v>
          </cell>
          <cell r="I244">
            <v>24475</v>
          </cell>
          <cell r="J244">
            <v>25856.25</v>
          </cell>
          <cell r="K244">
            <v>27237.5</v>
          </cell>
          <cell r="L244">
            <v>28618.75</v>
          </cell>
          <cell r="M244">
            <v>30000</v>
          </cell>
          <cell r="N244">
            <v>30000</v>
          </cell>
          <cell r="O244">
            <v>0</v>
          </cell>
        </row>
        <row r="245">
          <cell r="C245">
            <v>3.6504798907151756</v>
          </cell>
          <cell r="D245">
            <v>3.6504798907151756</v>
          </cell>
          <cell r="E245">
            <v>3.6504798907151756</v>
          </cell>
          <cell r="F245">
            <v>3.5704544258789093</v>
          </cell>
          <cell r="G245">
            <v>3.4841312105200868</v>
          </cell>
          <cell r="H245">
            <v>3.3914597396074311</v>
          </cell>
          <cell r="I245">
            <v>3.2923920347280671</v>
          </cell>
          <cell r="J245">
            <v>3.186882377009133</v>
          </cell>
          <cell r="K245">
            <v>3.0748870815187113</v>
          </cell>
          <cell r="L245">
            <v>2.9563643048597297</v>
          </cell>
          <cell r="M245">
            <v>2.8312738796580126</v>
          </cell>
          <cell r="N245">
            <v>2.65</v>
          </cell>
          <cell r="O245">
            <v>2.65</v>
          </cell>
        </row>
        <row r="249">
          <cell r="A249" t="str">
            <v>TI 73.2</v>
          </cell>
          <cell r="C249">
            <v>0</v>
          </cell>
          <cell r="D249">
            <v>15300</v>
          </cell>
          <cell r="E249">
            <v>15300</v>
          </cell>
          <cell r="F249">
            <v>17762.5</v>
          </cell>
          <cell r="G249">
            <v>20225</v>
          </cell>
          <cell r="H249">
            <v>22687.5</v>
          </cell>
          <cell r="I249">
            <v>25150</v>
          </cell>
          <cell r="J249">
            <v>27612.5</v>
          </cell>
          <cell r="K249">
            <v>30075</v>
          </cell>
          <cell r="L249">
            <v>32537.5</v>
          </cell>
          <cell r="M249">
            <v>35000</v>
          </cell>
          <cell r="N249">
            <v>35000</v>
          </cell>
          <cell r="O249">
            <v>0</v>
          </cell>
        </row>
        <row r="250">
          <cell r="C250">
            <v>6.4704185143644581</v>
          </cell>
          <cell r="D250">
            <v>6.4704185143644581</v>
          </cell>
          <cell r="E250">
            <v>6.4704185143644581</v>
          </cell>
          <cell r="F250">
            <v>6.2922265175776175</v>
          </cell>
          <cell r="G250">
            <v>6.0881945975852858</v>
          </cell>
          <cell r="H250">
            <v>5.8585942108659941</v>
          </cell>
          <cell r="I250">
            <v>5.6036620557912835</v>
          </cell>
          <cell r="J250">
            <v>5.3236076645186996</v>
          </cell>
          <cell r="K250">
            <v>5.0186187765547823</v>
          </cell>
          <cell r="L250">
            <v>4.6888652782152809</v>
          </cell>
          <cell r="M250">
            <v>4.3345021743836121</v>
          </cell>
          <cell r="N250">
            <v>3.85</v>
          </cell>
          <cell r="O250">
            <v>3.85</v>
          </cell>
        </row>
        <row r="254">
          <cell r="A254" t="str">
            <v>TI 103.2</v>
          </cell>
          <cell r="C254">
            <v>0</v>
          </cell>
          <cell r="D254">
            <v>13600</v>
          </cell>
          <cell r="E254">
            <v>13600</v>
          </cell>
          <cell r="F254">
            <v>16900</v>
          </cell>
          <cell r="G254">
            <v>20200</v>
          </cell>
          <cell r="H254">
            <v>23500</v>
          </cell>
          <cell r="I254">
            <v>26800</v>
          </cell>
          <cell r="J254">
            <v>30100</v>
          </cell>
          <cell r="K254">
            <v>33400</v>
          </cell>
          <cell r="L254">
            <v>36700</v>
          </cell>
          <cell r="M254">
            <v>40000</v>
          </cell>
          <cell r="N254">
            <v>40000</v>
          </cell>
          <cell r="O254">
            <v>0</v>
          </cell>
        </row>
        <row r="255">
          <cell r="C255">
            <v>9.2706986922951327</v>
          </cell>
          <cell r="D255">
            <v>9.2706986922951327</v>
          </cell>
          <cell r="E255">
            <v>9.2706986922951327</v>
          </cell>
          <cell r="F255">
            <v>8.9890161212144655</v>
          </cell>
          <cell r="G255">
            <v>8.6466946739292023</v>
          </cell>
          <cell r="H255">
            <v>8.2443212252291467</v>
          </cell>
          <cell r="I255">
            <v>7.7823870961943777</v>
          </cell>
          <cell r="J255">
            <v>7.2613142896528675</v>
          </cell>
          <cell r="K255">
            <v>6.6814722618033713</v>
          </cell>
          <cell r="L255">
            <v>6.0431892909267475</v>
          </cell>
          <cell r="M255">
            <v>5.3467605361223605</v>
          </cell>
          <cell r="N255">
            <v>4.8</v>
          </cell>
          <cell r="O255">
            <v>4.8</v>
          </cell>
        </row>
        <row r="259">
          <cell r="A259" t="str">
            <v>TI 133.2</v>
          </cell>
          <cell r="C259">
            <v>0</v>
          </cell>
          <cell r="D259">
            <v>13290</v>
          </cell>
          <cell r="E259">
            <v>13290</v>
          </cell>
          <cell r="F259">
            <v>16628.75</v>
          </cell>
          <cell r="G259">
            <v>19967.5</v>
          </cell>
          <cell r="H259">
            <v>23306.25</v>
          </cell>
          <cell r="I259">
            <v>26645</v>
          </cell>
          <cell r="J259">
            <v>29983.75</v>
          </cell>
          <cell r="K259">
            <v>33322.5</v>
          </cell>
          <cell r="L259">
            <v>36661.25</v>
          </cell>
          <cell r="M259">
            <v>40000</v>
          </cell>
          <cell r="N259">
            <v>40000</v>
          </cell>
          <cell r="O259">
            <v>0</v>
          </cell>
        </row>
        <row r="260">
          <cell r="C260">
            <v>11.808106456758011</v>
          </cell>
          <cell r="D260">
            <v>11.808106456758011</v>
          </cell>
          <cell r="E260">
            <v>11.808106456758011</v>
          </cell>
          <cell r="F260">
            <v>11.417097554239627</v>
          </cell>
          <cell r="G260">
            <v>10.948723108482181</v>
          </cell>
          <cell r="H260">
            <v>10.404115759390212</v>
          </cell>
          <cell r="I260">
            <v>9.7842158297076658</v>
          </cell>
          <cell r="J260">
            <v>9.0898252241825972</v>
          </cell>
          <cell r="K260">
            <v>8.3216416286296138</v>
          </cell>
          <cell r="L260">
            <v>7.4802815424630449</v>
          </cell>
          <cell r="M260">
            <v>6.5662965126074626</v>
          </cell>
          <cell r="N260">
            <v>4.3</v>
          </cell>
          <cell r="O260">
            <v>4.3</v>
          </cell>
        </row>
        <row r="280">
          <cell r="B280">
            <v>-6.7000000000000004E-8</v>
          </cell>
          <cell r="C280">
            <v>-9.9999999999999995E-7</v>
          </cell>
          <cell r="D280">
            <v>9.0499999999999999E-4</v>
          </cell>
          <cell r="E280">
            <v>1.1199999999999999E-5</v>
          </cell>
          <cell r="F280">
            <v>1.6000000000000001E-4</v>
          </cell>
          <cell r="G280">
            <v>-0.1525</v>
          </cell>
          <cell r="H280">
            <v>-5.6999999999999998E-4</v>
          </cell>
          <cell r="I280">
            <v>-5.4999999999999997E-3</v>
          </cell>
          <cell r="J280">
            <v>7.2283999999999997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Auswahl"/>
      <sheetName val="T Daten"/>
    </sheetNames>
    <sheetDataSet>
      <sheetData sheetId="0">
        <row r="13">
          <cell r="P13">
            <v>90</v>
          </cell>
        </row>
        <row r="17">
          <cell r="P17">
            <v>0</v>
          </cell>
        </row>
      </sheetData>
      <sheetData sheetId="1">
        <row r="278">
          <cell r="B278">
            <v>-6.7000000000000004E-8</v>
          </cell>
          <cell r="C278">
            <v>-9.9999999999999995E-7</v>
          </cell>
          <cell r="E278">
            <v>1.1199999999999999E-5</v>
          </cell>
          <cell r="F278">
            <v>1.6000000000000001E-4</v>
          </cell>
          <cell r="G278">
            <v>-0.1525</v>
          </cell>
          <cell r="H278">
            <v>-5.6999999999999998E-4</v>
          </cell>
          <cell r="I278">
            <v>-5.4999999999999997E-3</v>
          </cell>
          <cell r="J278">
            <v>7.2283999999999997</v>
          </cell>
        </row>
      </sheetData>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3" Type="http://schemas.openxmlformats.org/officeDocument/2006/relationships/oleObject" Target="../embeddings/oleObject4.bin"/><Relationship Id="rId18" Type="http://schemas.openxmlformats.org/officeDocument/2006/relationships/image" Target="../media/image13.emf"/><Relationship Id="rId26" Type="http://schemas.openxmlformats.org/officeDocument/2006/relationships/image" Target="../media/image17.emf"/><Relationship Id="rId21" Type="http://schemas.openxmlformats.org/officeDocument/2006/relationships/oleObject" Target="../embeddings/oleObject8.bin"/><Relationship Id="rId34" Type="http://schemas.openxmlformats.org/officeDocument/2006/relationships/ctrlProp" Target="../ctrlProps/ctrlProp8.xml"/><Relationship Id="rId7" Type="http://schemas.openxmlformats.org/officeDocument/2006/relationships/oleObject" Target="../embeddings/oleObject1.bin"/><Relationship Id="rId12" Type="http://schemas.openxmlformats.org/officeDocument/2006/relationships/image" Target="../media/image10.emf"/><Relationship Id="rId17" Type="http://schemas.openxmlformats.org/officeDocument/2006/relationships/oleObject" Target="../embeddings/oleObject6.bin"/><Relationship Id="rId25" Type="http://schemas.openxmlformats.org/officeDocument/2006/relationships/oleObject" Target="../embeddings/oleObject10.bin"/><Relationship Id="rId33" Type="http://schemas.openxmlformats.org/officeDocument/2006/relationships/ctrlProp" Target="../ctrlProps/ctrlProp7.xml"/><Relationship Id="rId2" Type="http://schemas.openxmlformats.org/officeDocument/2006/relationships/hyperlink" Target="http://www.tahydronics.com/Handlers/FileDownloaderHandler.ashx?path=%2fProductFiles%2fProducts%2fdocuments%2fCatalogues%2fPolish%2fLow%2fAccessories_PL_low.pdf" TargetMode="External"/><Relationship Id="rId16" Type="http://schemas.openxmlformats.org/officeDocument/2006/relationships/image" Target="../media/image12.emf"/><Relationship Id="rId20" Type="http://schemas.openxmlformats.org/officeDocument/2006/relationships/image" Target="../media/image14.emf"/><Relationship Id="rId29" Type="http://schemas.openxmlformats.org/officeDocument/2006/relationships/ctrlProp" Target="../ctrlProps/ctrlProp3.xml"/><Relationship Id="rId1" Type="http://schemas.openxmlformats.org/officeDocument/2006/relationships/hyperlink" Target="http://www.tahydronics.com/Handlers/FileDownloaderHandler.ashx?path=%2fProductFiles%2fProducts%2fdocuments%2fCatalogues%2fPolish%2fLow%2fStatico_PL_low.pdf" TargetMode="External"/><Relationship Id="rId6" Type="http://schemas.openxmlformats.org/officeDocument/2006/relationships/vmlDrawing" Target="../drawings/vmlDrawing2.vml"/><Relationship Id="rId11" Type="http://schemas.openxmlformats.org/officeDocument/2006/relationships/oleObject" Target="../embeddings/oleObject3.bin"/><Relationship Id="rId24" Type="http://schemas.openxmlformats.org/officeDocument/2006/relationships/image" Target="../media/image16.emf"/><Relationship Id="rId32" Type="http://schemas.openxmlformats.org/officeDocument/2006/relationships/ctrlProp" Target="../ctrlProps/ctrlProp6.xml"/><Relationship Id="rId37" Type="http://schemas.openxmlformats.org/officeDocument/2006/relationships/comments" Target="../comments1.xml"/><Relationship Id="rId5" Type="http://schemas.openxmlformats.org/officeDocument/2006/relationships/vmlDrawing" Target="../drawings/vmlDrawing1.vml"/><Relationship Id="rId15" Type="http://schemas.openxmlformats.org/officeDocument/2006/relationships/oleObject" Target="../embeddings/oleObject5.bin"/><Relationship Id="rId23" Type="http://schemas.openxmlformats.org/officeDocument/2006/relationships/oleObject" Target="../embeddings/oleObject9.bin"/><Relationship Id="rId28" Type="http://schemas.openxmlformats.org/officeDocument/2006/relationships/ctrlProp" Target="../ctrlProps/ctrlProp2.xml"/><Relationship Id="rId36" Type="http://schemas.openxmlformats.org/officeDocument/2006/relationships/ctrlProp" Target="../ctrlProps/ctrlProp10.xml"/><Relationship Id="rId10" Type="http://schemas.openxmlformats.org/officeDocument/2006/relationships/image" Target="../media/image9.emf"/><Relationship Id="rId19" Type="http://schemas.openxmlformats.org/officeDocument/2006/relationships/oleObject" Target="../embeddings/oleObject7.bin"/><Relationship Id="rId31" Type="http://schemas.openxmlformats.org/officeDocument/2006/relationships/ctrlProp" Target="../ctrlProps/ctrlProp5.xml"/><Relationship Id="rId4" Type="http://schemas.openxmlformats.org/officeDocument/2006/relationships/drawing" Target="../drawings/drawing2.xml"/><Relationship Id="rId9" Type="http://schemas.openxmlformats.org/officeDocument/2006/relationships/oleObject" Target="../embeddings/oleObject2.bin"/><Relationship Id="rId14" Type="http://schemas.openxmlformats.org/officeDocument/2006/relationships/image" Target="../media/image11.emf"/><Relationship Id="rId22" Type="http://schemas.openxmlformats.org/officeDocument/2006/relationships/image" Target="../media/image15.emf"/><Relationship Id="rId27" Type="http://schemas.openxmlformats.org/officeDocument/2006/relationships/ctrlProp" Target="../ctrlProps/ctrlProp1.xml"/><Relationship Id="rId30" Type="http://schemas.openxmlformats.org/officeDocument/2006/relationships/ctrlProp" Target="../ctrlProps/ctrlProp4.xml"/><Relationship Id="rId35" Type="http://schemas.openxmlformats.org/officeDocument/2006/relationships/ctrlProp" Target="../ctrlProps/ctrlProp9.xml"/><Relationship Id="rId8" Type="http://schemas.openxmlformats.org/officeDocument/2006/relationships/image" Target="../media/image8.emf"/><Relationship Id="rId3"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6.bin"/><Relationship Id="rId4" Type="http://schemas.openxmlformats.org/officeDocument/2006/relationships/ctrlProp" Target="../ctrlProps/ctrlProp7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18.bin"/><Relationship Id="rId4" Type="http://schemas.openxmlformats.org/officeDocument/2006/relationships/ctrlProp" Target="../ctrlProps/ctrlProp7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3" Type="http://schemas.openxmlformats.org/officeDocument/2006/relationships/oleObject" Target="../embeddings/oleObject14.bin"/><Relationship Id="rId18" Type="http://schemas.openxmlformats.org/officeDocument/2006/relationships/image" Target="../media/image32.emf"/><Relationship Id="rId26" Type="http://schemas.openxmlformats.org/officeDocument/2006/relationships/oleObject" Target="../embeddings/oleObject21.bin"/><Relationship Id="rId21" Type="http://schemas.openxmlformats.org/officeDocument/2006/relationships/oleObject" Target="../embeddings/oleObject18.bin"/><Relationship Id="rId34" Type="http://schemas.openxmlformats.org/officeDocument/2006/relationships/ctrlProp" Target="../ctrlProps/ctrlProp17.xml"/><Relationship Id="rId7" Type="http://schemas.openxmlformats.org/officeDocument/2006/relationships/oleObject" Target="../embeddings/oleObject11.bin"/><Relationship Id="rId12" Type="http://schemas.openxmlformats.org/officeDocument/2006/relationships/image" Target="../media/image29.emf"/><Relationship Id="rId17" Type="http://schemas.openxmlformats.org/officeDocument/2006/relationships/oleObject" Target="../embeddings/oleObject16.bin"/><Relationship Id="rId25" Type="http://schemas.openxmlformats.org/officeDocument/2006/relationships/image" Target="../media/image35.emf"/><Relationship Id="rId33" Type="http://schemas.openxmlformats.org/officeDocument/2006/relationships/ctrlProp" Target="../ctrlProps/ctrlProp16.xml"/><Relationship Id="rId38" Type="http://schemas.openxmlformats.org/officeDocument/2006/relationships/comments" Target="../comments2.xml"/><Relationship Id="rId2" Type="http://schemas.openxmlformats.org/officeDocument/2006/relationships/hyperlink" Target="http://www.tahydronics.com/Handlers/FileDownloaderHandler.ashx?path=%2fProductFiles%2fProducts%2fdocuments%2fCatalogues%2fPolish%2fLow%2fAccessories_PL_low.pdf" TargetMode="External"/><Relationship Id="rId16" Type="http://schemas.openxmlformats.org/officeDocument/2006/relationships/image" Target="../media/image31.emf"/><Relationship Id="rId20" Type="http://schemas.openxmlformats.org/officeDocument/2006/relationships/image" Target="../media/image33.emf"/><Relationship Id="rId29" Type="http://schemas.openxmlformats.org/officeDocument/2006/relationships/ctrlProp" Target="../ctrlProps/ctrlProp12.xml"/><Relationship Id="rId1" Type="http://schemas.openxmlformats.org/officeDocument/2006/relationships/hyperlink" Target="http://www.tahydronics.com/Handlers/FileDownloaderHandler.ashx?path=%2fProductFiles%2fProducts%2fdocuments%2fCatalogues%2fPolish%2fLow%2fStatico_PL_low.pdf" TargetMode="External"/><Relationship Id="rId6" Type="http://schemas.openxmlformats.org/officeDocument/2006/relationships/vmlDrawing" Target="../drawings/vmlDrawing4.vml"/><Relationship Id="rId11" Type="http://schemas.openxmlformats.org/officeDocument/2006/relationships/oleObject" Target="../embeddings/oleObject13.bin"/><Relationship Id="rId24" Type="http://schemas.openxmlformats.org/officeDocument/2006/relationships/oleObject" Target="../embeddings/oleObject20.bin"/><Relationship Id="rId32" Type="http://schemas.openxmlformats.org/officeDocument/2006/relationships/ctrlProp" Target="../ctrlProps/ctrlProp15.xml"/><Relationship Id="rId37" Type="http://schemas.openxmlformats.org/officeDocument/2006/relationships/ctrlProp" Target="../ctrlProps/ctrlProp20.xml"/><Relationship Id="rId5" Type="http://schemas.openxmlformats.org/officeDocument/2006/relationships/vmlDrawing" Target="../drawings/vmlDrawing3.vml"/><Relationship Id="rId15" Type="http://schemas.openxmlformats.org/officeDocument/2006/relationships/oleObject" Target="../embeddings/oleObject15.bin"/><Relationship Id="rId23" Type="http://schemas.openxmlformats.org/officeDocument/2006/relationships/oleObject" Target="../embeddings/oleObject19.bin"/><Relationship Id="rId28" Type="http://schemas.openxmlformats.org/officeDocument/2006/relationships/ctrlProp" Target="../ctrlProps/ctrlProp11.xml"/><Relationship Id="rId36" Type="http://schemas.openxmlformats.org/officeDocument/2006/relationships/ctrlProp" Target="../ctrlProps/ctrlProp19.xml"/><Relationship Id="rId10" Type="http://schemas.openxmlformats.org/officeDocument/2006/relationships/image" Target="../media/image28.emf"/><Relationship Id="rId19" Type="http://schemas.openxmlformats.org/officeDocument/2006/relationships/oleObject" Target="../embeddings/oleObject17.bin"/><Relationship Id="rId31" Type="http://schemas.openxmlformats.org/officeDocument/2006/relationships/ctrlProp" Target="../ctrlProps/ctrlProp14.xml"/><Relationship Id="rId4" Type="http://schemas.openxmlformats.org/officeDocument/2006/relationships/drawing" Target="../drawings/drawing3.xml"/><Relationship Id="rId9" Type="http://schemas.openxmlformats.org/officeDocument/2006/relationships/oleObject" Target="../embeddings/oleObject12.bin"/><Relationship Id="rId14" Type="http://schemas.openxmlformats.org/officeDocument/2006/relationships/image" Target="../media/image30.emf"/><Relationship Id="rId22" Type="http://schemas.openxmlformats.org/officeDocument/2006/relationships/image" Target="../media/image34.emf"/><Relationship Id="rId27" Type="http://schemas.openxmlformats.org/officeDocument/2006/relationships/image" Target="../media/image36.emf"/><Relationship Id="rId30" Type="http://schemas.openxmlformats.org/officeDocument/2006/relationships/ctrlProp" Target="../ctrlProps/ctrlProp13.xml"/><Relationship Id="rId35" Type="http://schemas.openxmlformats.org/officeDocument/2006/relationships/ctrlProp" Target="../ctrlProps/ctrlProp18.xml"/><Relationship Id="rId8" Type="http://schemas.openxmlformats.org/officeDocument/2006/relationships/image" Target="../media/image27.emf"/><Relationship Id="rId3"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oleObject" Target="../embeddings/oleObject26.bin"/><Relationship Id="rId18" Type="http://schemas.openxmlformats.org/officeDocument/2006/relationships/ctrlProp" Target="../ctrlProps/ctrlProp22.xml"/><Relationship Id="rId26" Type="http://schemas.openxmlformats.org/officeDocument/2006/relationships/ctrlProp" Target="../ctrlProps/ctrlProp30.xml"/><Relationship Id="rId3" Type="http://schemas.openxmlformats.org/officeDocument/2006/relationships/vmlDrawing" Target="../drawings/vmlDrawing5.vml"/><Relationship Id="rId21" Type="http://schemas.openxmlformats.org/officeDocument/2006/relationships/ctrlProp" Target="../ctrlProps/ctrlProp25.xml"/><Relationship Id="rId7" Type="http://schemas.openxmlformats.org/officeDocument/2006/relationships/oleObject" Target="../embeddings/oleObject23.bin"/><Relationship Id="rId12" Type="http://schemas.openxmlformats.org/officeDocument/2006/relationships/image" Target="../media/image12.emf"/><Relationship Id="rId17" Type="http://schemas.openxmlformats.org/officeDocument/2006/relationships/ctrlProp" Target="../ctrlProps/ctrlProp21.xml"/><Relationship Id="rId25" Type="http://schemas.openxmlformats.org/officeDocument/2006/relationships/ctrlProp" Target="../ctrlProps/ctrlProp29.xml"/><Relationship Id="rId2" Type="http://schemas.openxmlformats.org/officeDocument/2006/relationships/drawing" Target="../drawings/drawing4.xml"/><Relationship Id="rId16" Type="http://schemas.openxmlformats.org/officeDocument/2006/relationships/image" Target="../media/image39.emf"/><Relationship Id="rId20" Type="http://schemas.openxmlformats.org/officeDocument/2006/relationships/ctrlProp" Target="../ctrlProps/ctrlProp24.xml"/><Relationship Id="rId29"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image" Target="../media/image8.emf"/><Relationship Id="rId11" Type="http://schemas.openxmlformats.org/officeDocument/2006/relationships/oleObject" Target="../embeddings/oleObject25.bin"/><Relationship Id="rId24" Type="http://schemas.openxmlformats.org/officeDocument/2006/relationships/ctrlProp" Target="../ctrlProps/ctrlProp28.xml"/><Relationship Id="rId5" Type="http://schemas.openxmlformats.org/officeDocument/2006/relationships/oleObject" Target="../embeddings/oleObject22.bin"/><Relationship Id="rId15" Type="http://schemas.openxmlformats.org/officeDocument/2006/relationships/oleObject" Target="../embeddings/oleObject27.bin"/><Relationship Id="rId23" Type="http://schemas.openxmlformats.org/officeDocument/2006/relationships/ctrlProp" Target="../ctrlProps/ctrlProp27.xml"/><Relationship Id="rId28" Type="http://schemas.openxmlformats.org/officeDocument/2006/relationships/ctrlProp" Target="../ctrlProps/ctrlProp32.xml"/><Relationship Id="rId10" Type="http://schemas.openxmlformats.org/officeDocument/2006/relationships/image" Target="../media/image11.emf"/><Relationship Id="rId19" Type="http://schemas.openxmlformats.org/officeDocument/2006/relationships/ctrlProp" Target="../ctrlProps/ctrlProp23.xml"/><Relationship Id="rId4" Type="http://schemas.openxmlformats.org/officeDocument/2006/relationships/vmlDrawing" Target="../drawings/vmlDrawing6.vml"/><Relationship Id="rId9" Type="http://schemas.openxmlformats.org/officeDocument/2006/relationships/oleObject" Target="../embeddings/oleObject24.bin"/><Relationship Id="rId14" Type="http://schemas.openxmlformats.org/officeDocument/2006/relationships/image" Target="../media/image14.emf"/><Relationship Id="rId22" Type="http://schemas.openxmlformats.org/officeDocument/2006/relationships/ctrlProp" Target="../ctrlProps/ctrlProp26.xml"/><Relationship Id="rId27" Type="http://schemas.openxmlformats.org/officeDocument/2006/relationships/ctrlProp" Target="../ctrlProps/ctrlProp31.xml"/></Relationships>
</file>

<file path=xl/worksheets/_rels/sheet5.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oleObject" Target="../embeddings/oleObject32.bin"/><Relationship Id="rId18" Type="http://schemas.openxmlformats.org/officeDocument/2006/relationships/ctrlProp" Target="../ctrlProps/ctrlProp34.xml"/><Relationship Id="rId26" Type="http://schemas.openxmlformats.org/officeDocument/2006/relationships/ctrlProp" Target="../ctrlProps/ctrlProp42.xml"/><Relationship Id="rId3" Type="http://schemas.openxmlformats.org/officeDocument/2006/relationships/vmlDrawing" Target="../drawings/vmlDrawing7.vml"/><Relationship Id="rId21" Type="http://schemas.openxmlformats.org/officeDocument/2006/relationships/ctrlProp" Target="../ctrlProps/ctrlProp37.xml"/><Relationship Id="rId7" Type="http://schemas.openxmlformats.org/officeDocument/2006/relationships/oleObject" Target="../embeddings/oleObject29.bin"/><Relationship Id="rId12" Type="http://schemas.openxmlformats.org/officeDocument/2006/relationships/image" Target="../media/image12.emf"/><Relationship Id="rId17" Type="http://schemas.openxmlformats.org/officeDocument/2006/relationships/ctrlProp" Target="../ctrlProps/ctrlProp33.xml"/><Relationship Id="rId25" Type="http://schemas.openxmlformats.org/officeDocument/2006/relationships/ctrlProp" Target="../ctrlProps/ctrlProp41.xml"/><Relationship Id="rId2" Type="http://schemas.openxmlformats.org/officeDocument/2006/relationships/drawing" Target="../drawings/drawing5.xml"/><Relationship Id="rId16" Type="http://schemas.openxmlformats.org/officeDocument/2006/relationships/image" Target="../media/image39.emf"/><Relationship Id="rId20" Type="http://schemas.openxmlformats.org/officeDocument/2006/relationships/ctrlProp" Target="../ctrlProps/ctrlProp36.xml"/><Relationship Id="rId29" Type="http://schemas.openxmlformats.org/officeDocument/2006/relationships/ctrlProp" Target="../ctrlProps/ctrlProp45.xml"/><Relationship Id="rId1" Type="http://schemas.openxmlformats.org/officeDocument/2006/relationships/printerSettings" Target="../printerSettings/printerSettings5.bin"/><Relationship Id="rId6" Type="http://schemas.openxmlformats.org/officeDocument/2006/relationships/image" Target="../media/image8.emf"/><Relationship Id="rId11" Type="http://schemas.openxmlformats.org/officeDocument/2006/relationships/oleObject" Target="../embeddings/oleObject31.bin"/><Relationship Id="rId24" Type="http://schemas.openxmlformats.org/officeDocument/2006/relationships/ctrlProp" Target="../ctrlProps/ctrlProp40.xml"/><Relationship Id="rId5" Type="http://schemas.openxmlformats.org/officeDocument/2006/relationships/oleObject" Target="../embeddings/oleObject28.bin"/><Relationship Id="rId15" Type="http://schemas.openxmlformats.org/officeDocument/2006/relationships/oleObject" Target="../embeddings/oleObject33.bin"/><Relationship Id="rId23" Type="http://schemas.openxmlformats.org/officeDocument/2006/relationships/ctrlProp" Target="../ctrlProps/ctrlProp39.xml"/><Relationship Id="rId28" Type="http://schemas.openxmlformats.org/officeDocument/2006/relationships/ctrlProp" Target="../ctrlProps/ctrlProp44.xml"/><Relationship Id="rId10" Type="http://schemas.openxmlformats.org/officeDocument/2006/relationships/image" Target="../media/image11.emf"/><Relationship Id="rId19" Type="http://schemas.openxmlformats.org/officeDocument/2006/relationships/ctrlProp" Target="../ctrlProps/ctrlProp35.xml"/><Relationship Id="rId4" Type="http://schemas.openxmlformats.org/officeDocument/2006/relationships/vmlDrawing" Target="../drawings/vmlDrawing8.vml"/><Relationship Id="rId9" Type="http://schemas.openxmlformats.org/officeDocument/2006/relationships/oleObject" Target="../embeddings/oleObject30.bin"/><Relationship Id="rId14" Type="http://schemas.openxmlformats.org/officeDocument/2006/relationships/image" Target="../media/image14.emf"/><Relationship Id="rId22" Type="http://schemas.openxmlformats.org/officeDocument/2006/relationships/ctrlProp" Target="../ctrlProps/ctrlProp38.xml"/><Relationship Id="rId27" Type="http://schemas.openxmlformats.org/officeDocument/2006/relationships/ctrlProp" Target="../ctrlProps/ctrlProp43.xml"/><Relationship Id="rId30"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3" Type="http://schemas.openxmlformats.org/officeDocument/2006/relationships/image" Target="../media/image9.emf"/><Relationship Id="rId18" Type="http://schemas.openxmlformats.org/officeDocument/2006/relationships/oleObject" Target="../embeddings/oleObject38.bin"/><Relationship Id="rId26" Type="http://schemas.openxmlformats.org/officeDocument/2006/relationships/oleObject" Target="../embeddings/oleObject42.bin"/><Relationship Id="rId39" Type="http://schemas.openxmlformats.org/officeDocument/2006/relationships/ctrlProp" Target="../ctrlProps/ctrlProp53.xml"/><Relationship Id="rId21" Type="http://schemas.openxmlformats.org/officeDocument/2006/relationships/image" Target="../media/image14.emf"/><Relationship Id="rId34" Type="http://schemas.openxmlformats.org/officeDocument/2006/relationships/ctrlProp" Target="../ctrlProps/ctrlProp48.xml"/><Relationship Id="rId42" Type="http://schemas.openxmlformats.org/officeDocument/2006/relationships/ctrlProp" Target="../ctrlProps/ctrlProp56.xml"/><Relationship Id="rId7" Type="http://schemas.openxmlformats.org/officeDocument/2006/relationships/drawing" Target="../drawings/drawing8.xml"/><Relationship Id="rId2" Type="http://schemas.openxmlformats.org/officeDocument/2006/relationships/hyperlink" Target="https://dl.dropboxusercontent.com/u/37450619/Karty%20katalogowe%20do%20arkusza/Accessories_PL_low.pdf" TargetMode="External"/><Relationship Id="rId16" Type="http://schemas.openxmlformats.org/officeDocument/2006/relationships/oleObject" Target="../embeddings/oleObject37.bin"/><Relationship Id="rId29" Type="http://schemas.openxmlformats.org/officeDocument/2006/relationships/image" Target="../media/image39.emf"/><Relationship Id="rId1" Type="http://schemas.openxmlformats.org/officeDocument/2006/relationships/hyperlink" Target="https://dl.dropboxusercontent.com/u/37450619/Karty%20katalogowe%20do%20arkusza/Statico_PL_low.pdf" TargetMode="External"/><Relationship Id="rId6" Type="http://schemas.openxmlformats.org/officeDocument/2006/relationships/printerSettings" Target="../printerSettings/printerSettings6.bin"/><Relationship Id="rId11" Type="http://schemas.openxmlformats.org/officeDocument/2006/relationships/image" Target="../media/image46.emf"/><Relationship Id="rId24" Type="http://schemas.openxmlformats.org/officeDocument/2006/relationships/oleObject" Target="../embeddings/oleObject41.bin"/><Relationship Id="rId32" Type="http://schemas.openxmlformats.org/officeDocument/2006/relationships/ctrlProp" Target="../ctrlProps/ctrlProp46.xml"/><Relationship Id="rId37" Type="http://schemas.openxmlformats.org/officeDocument/2006/relationships/ctrlProp" Target="../ctrlProps/ctrlProp51.xml"/><Relationship Id="rId40" Type="http://schemas.openxmlformats.org/officeDocument/2006/relationships/ctrlProp" Target="../ctrlProps/ctrlProp54.xml"/><Relationship Id="rId45" Type="http://schemas.openxmlformats.org/officeDocument/2006/relationships/comments" Target="../comments5.xml"/><Relationship Id="rId5" Type="http://schemas.openxmlformats.org/officeDocument/2006/relationships/hyperlink" Target="http://www.tahydronics.com/Handlers/FileDownloaderHandler.ashx?path=%2fProductFiles%2fProducts%2fdocuments%2fCatalogues%2fPolish%2fLow%2fAccessories_PL_low.pdf" TargetMode="External"/><Relationship Id="rId15" Type="http://schemas.openxmlformats.org/officeDocument/2006/relationships/image" Target="../media/image11.emf"/><Relationship Id="rId23" Type="http://schemas.openxmlformats.org/officeDocument/2006/relationships/image" Target="../media/image15.emf"/><Relationship Id="rId28" Type="http://schemas.openxmlformats.org/officeDocument/2006/relationships/oleObject" Target="../embeddings/oleObject43.bin"/><Relationship Id="rId36" Type="http://schemas.openxmlformats.org/officeDocument/2006/relationships/ctrlProp" Target="../ctrlProps/ctrlProp50.xml"/><Relationship Id="rId10" Type="http://schemas.openxmlformats.org/officeDocument/2006/relationships/oleObject" Target="../embeddings/oleObject34.bin"/><Relationship Id="rId19" Type="http://schemas.openxmlformats.org/officeDocument/2006/relationships/image" Target="../media/image13.emf"/><Relationship Id="rId31" Type="http://schemas.openxmlformats.org/officeDocument/2006/relationships/image" Target="../media/image48.emf"/><Relationship Id="rId44" Type="http://schemas.openxmlformats.org/officeDocument/2006/relationships/ctrlProp" Target="../ctrlProps/ctrlProp58.xml"/><Relationship Id="rId4" Type="http://schemas.openxmlformats.org/officeDocument/2006/relationships/hyperlink" Target="http://www.tahydronics.com/Handlers/FileDownloaderHandler.ashx?path=%2fProductFiles%2fProducts%2fdocuments%2fCatalogues%2fPolish%2fLow%2fAccessories_PL_low.pdf" TargetMode="External"/><Relationship Id="rId9" Type="http://schemas.openxmlformats.org/officeDocument/2006/relationships/vmlDrawing" Target="../drawings/vmlDrawing10.vml"/><Relationship Id="rId14" Type="http://schemas.openxmlformats.org/officeDocument/2006/relationships/oleObject" Target="../embeddings/oleObject36.bin"/><Relationship Id="rId22" Type="http://schemas.openxmlformats.org/officeDocument/2006/relationships/oleObject" Target="../embeddings/oleObject40.bin"/><Relationship Id="rId27" Type="http://schemas.openxmlformats.org/officeDocument/2006/relationships/image" Target="../media/image47.emf"/><Relationship Id="rId30" Type="http://schemas.openxmlformats.org/officeDocument/2006/relationships/oleObject" Target="../embeddings/oleObject44.bin"/><Relationship Id="rId35" Type="http://schemas.openxmlformats.org/officeDocument/2006/relationships/ctrlProp" Target="../ctrlProps/ctrlProp49.xml"/><Relationship Id="rId43" Type="http://schemas.openxmlformats.org/officeDocument/2006/relationships/ctrlProp" Target="../ctrlProps/ctrlProp57.xml"/><Relationship Id="rId8" Type="http://schemas.openxmlformats.org/officeDocument/2006/relationships/vmlDrawing" Target="../drawings/vmlDrawing9.vml"/><Relationship Id="rId3" Type="http://schemas.openxmlformats.org/officeDocument/2006/relationships/hyperlink" Target="http://www.tahydronics.com/Handlers/FileDownloaderHandler.ashx?path=%2fProductFiles%2fProducts%2fdocuments%2fCatalogues%2fPolish%2fLow%2fStatico_PL_low.pdf" TargetMode="External"/><Relationship Id="rId12" Type="http://schemas.openxmlformats.org/officeDocument/2006/relationships/oleObject" Target="../embeddings/oleObject35.bin"/><Relationship Id="rId17" Type="http://schemas.openxmlformats.org/officeDocument/2006/relationships/image" Target="../media/image12.emf"/><Relationship Id="rId25" Type="http://schemas.openxmlformats.org/officeDocument/2006/relationships/image" Target="../media/image16.emf"/><Relationship Id="rId33" Type="http://schemas.openxmlformats.org/officeDocument/2006/relationships/ctrlProp" Target="../ctrlProps/ctrlProp47.xml"/><Relationship Id="rId38" Type="http://schemas.openxmlformats.org/officeDocument/2006/relationships/ctrlProp" Target="../ctrlProps/ctrlProp52.xml"/><Relationship Id="rId20" Type="http://schemas.openxmlformats.org/officeDocument/2006/relationships/oleObject" Target="../embeddings/oleObject39.bin"/><Relationship Id="rId41" Type="http://schemas.openxmlformats.org/officeDocument/2006/relationships/ctrlProp" Target="../ctrlProps/ctrlProp55.xml"/></Relationships>
</file>

<file path=xl/worksheets/_rels/sheet7.xml.rels><?xml version="1.0" encoding="UTF-8" standalone="yes"?>
<Relationships xmlns="http://schemas.openxmlformats.org/package/2006/relationships"><Relationship Id="rId8" Type="http://schemas.openxmlformats.org/officeDocument/2006/relationships/image" Target="../media/image51.emf"/><Relationship Id="rId13" Type="http://schemas.openxmlformats.org/officeDocument/2006/relationships/ctrlProp" Target="../ctrlProps/ctrlProp61.xml"/><Relationship Id="rId3" Type="http://schemas.openxmlformats.org/officeDocument/2006/relationships/printerSettings" Target="../printerSettings/printerSettings7.bin"/><Relationship Id="rId7" Type="http://schemas.openxmlformats.org/officeDocument/2006/relationships/oleObject" Target="../embeddings/oleObject45.bin"/><Relationship Id="rId12" Type="http://schemas.openxmlformats.org/officeDocument/2006/relationships/ctrlProp" Target="../ctrlProps/ctrlProp60.xml"/><Relationship Id="rId17" Type="http://schemas.openxmlformats.org/officeDocument/2006/relationships/comments" Target="../comments6.xml"/><Relationship Id="rId2" Type="http://schemas.openxmlformats.org/officeDocument/2006/relationships/hyperlink" Target="http://www.tahydronics.com/Handlers/FileDownloaderHandler.ashx?path=%2fProductFiles%2fProducts%2fdocuments%2fCatalogues%2fPolish%2fLow%2fAquapresso_PL_low.pdf" TargetMode="External"/><Relationship Id="rId16" Type="http://schemas.openxmlformats.org/officeDocument/2006/relationships/ctrlProp" Target="../ctrlProps/ctrlProp64.xml"/><Relationship Id="rId1" Type="http://schemas.openxmlformats.org/officeDocument/2006/relationships/hyperlink" Target="http://www.tahydronics.com/Handlers/FileDownloaderHandler.ashx?path=%2fProductFiles%2fProducts%2fdocuments%2fCatalogues%2fPolish%2fLow%2fAccessories_PL_low.pdf" TargetMode="External"/><Relationship Id="rId6" Type="http://schemas.openxmlformats.org/officeDocument/2006/relationships/vmlDrawing" Target="../drawings/vmlDrawing12.vml"/><Relationship Id="rId11" Type="http://schemas.openxmlformats.org/officeDocument/2006/relationships/ctrlProp" Target="../ctrlProps/ctrlProp59.xml"/><Relationship Id="rId5" Type="http://schemas.openxmlformats.org/officeDocument/2006/relationships/vmlDrawing" Target="../drawings/vmlDrawing11.vml"/><Relationship Id="rId15" Type="http://schemas.openxmlformats.org/officeDocument/2006/relationships/ctrlProp" Target="../ctrlProps/ctrlProp63.xml"/><Relationship Id="rId10" Type="http://schemas.openxmlformats.org/officeDocument/2006/relationships/image" Target="../media/image52.emf"/><Relationship Id="rId4" Type="http://schemas.openxmlformats.org/officeDocument/2006/relationships/drawing" Target="../drawings/drawing9.xml"/><Relationship Id="rId9" Type="http://schemas.openxmlformats.org/officeDocument/2006/relationships/oleObject" Target="../embeddings/oleObject46.bin"/><Relationship Id="rId14" Type="http://schemas.openxmlformats.org/officeDocument/2006/relationships/ctrlProp" Target="../ctrlProps/ctrlProp6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8.xml"/><Relationship Id="rId3" Type="http://schemas.openxmlformats.org/officeDocument/2006/relationships/vmlDrawing" Target="../drawings/vmlDrawing13.vml"/><Relationship Id="rId7" Type="http://schemas.openxmlformats.org/officeDocument/2006/relationships/ctrlProp" Target="../ctrlProps/ctrlProp67.xml"/><Relationship Id="rId2" Type="http://schemas.openxmlformats.org/officeDocument/2006/relationships/drawing" Target="../drawings/drawing1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5" Type="http://schemas.openxmlformats.org/officeDocument/2006/relationships/ctrlProp" Target="../ctrlProps/ctrlProp65.xml"/><Relationship Id="rId10" Type="http://schemas.openxmlformats.org/officeDocument/2006/relationships/comments" Target="../comments7.xml"/><Relationship Id="rId4" Type="http://schemas.openxmlformats.org/officeDocument/2006/relationships/vmlDrawing" Target="../drawings/vmlDrawing14.vml"/><Relationship Id="rId9" Type="http://schemas.openxmlformats.org/officeDocument/2006/relationships/ctrlProp" Target="../ctrlProps/ctrlProp6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0.xml"/><Relationship Id="rId13" Type="http://schemas.openxmlformats.org/officeDocument/2006/relationships/ctrlProp" Target="../ctrlProps/ctrlProp75.xml"/><Relationship Id="rId3" Type="http://schemas.openxmlformats.org/officeDocument/2006/relationships/drawing" Target="../drawings/drawing11.xml"/><Relationship Id="rId7" Type="http://schemas.openxmlformats.org/officeDocument/2006/relationships/image" Target="../media/image59.emf"/><Relationship Id="rId12" Type="http://schemas.openxmlformats.org/officeDocument/2006/relationships/ctrlProp" Target="../ctrlProps/ctrlProp74.xml"/><Relationship Id="rId2" Type="http://schemas.openxmlformats.org/officeDocument/2006/relationships/printerSettings" Target="../printerSettings/printerSettings9.bin"/><Relationship Id="rId1" Type="http://schemas.openxmlformats.org/officeDocument/2006/relationships/hyperlink" Target="http://www.tahydronics.com/Handlers/FileDownloaderHandler.ashx?path=%2fProductFiles%2fProducts%2fdocuments%2fCatalogues%2fPolish%2fLow%2fAccessories_PL_low.pdf" TargetMode="External"/><Relationship Id="rId6" Type="http://schemas.openxmlformats.org/officeDocument/2006/relationships/oleObject" Target="../embeddings/oleObject47.bin"/><Relationship Id="rId11" Type="http://schemas.openxmlformats.org/officeDocument/2006/relationships/ctrlProp" Target="../ctrlProps/ctrlProp73.xml"/><Relationship Id="rId5" Type="http://schemas.openxmlformats.org/officeDocument/2006/relationships/vmlDrawing" Target="../drawings/vmlDrawing16.vml"/><Relationship Id="rId15" Type="http://schemas.openxmlformats.org/officeDocument/2006/relationships/comments" Target="../comments8.xml"/><Relationship Id="rId10" Type="http://schemas.openxmlformats.org/officeDocument/2006/relationships/ctrlProp" Target="../ctrlProps/ctrlProp72.xml"/><Relationship Id="rId4" Type="http://schemas.openxmlformats.org/officeDocument/2006/relationships/vmlDrawing" Target="../drawings/vmlDrawing15.vml"/><Relationship Id="rId9" Type="http://schemas.openxmlformats.org/officeDocument/2006/relationships/ctrlProp" Target="../ctrlProps/ctrlProp71.xml"/><Relationship Id="rId14" Type="http://schemas.openxmlformats.org/officeDocument/2006/relationships/ctrlProp" Target="../ctrlProps/ctrlProp7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2"/>
  <dimension ref="A1:V35"/>
  <sheetViews>
    <sheetView showGridLines="0" showRowColHeaders="0" tabSelected="1" zoomScale="110" zoomScaleNormal="110" workbookViewId="0">
      <selection activeCell="B2" sqref="B2"/>
    </sheetView>
  </sheetViews>
  <sheetFormatPr defaultColWidth="0" defaultRowHeight="13.8" zeroHeight="1"/>
  <cols>
    <col min="1" max="8" width="9" style="152" customWidth="1"/>
    <col min="9" max="9" width="18.69921875" style="152" customWidth="1"/>
    <col min="10" max="11" width="9" style="152" customWidth="1"/>
    <col min="12" max="12" width="10.59765625" style="152" customWidth="1"/>
    <col min="13" max="13" width="6.3984375" style="152" customWidth="1"/>
    <col min="14" max="22" width="9" style="152" customWidth="1"/>
    <col min="23" max="16384" width="9" style="152" hidden="1"/>
  </cols>
  <sheetData>
    <row r="1" spans="3:14"/>
    <row r="2" spans="3:14">
      <c r="C2" s="153"/>
      <c r="D2" s="153"/>
      <c r="E2" s="153"/>
      <c r="F2" s="153"/>
      <c r="G2" s="153"/>
      <c r="H2" s="153"/>
      <c r="I2" s="153"/>
      <c r="J2" s="153"/>
      <c r="K2" s="153"/>
      <c r="L2" s="153"/>
      <c r="M2" s="153"/>
      <c r="N2" s="153"/>
    </row>
    <row r="3" spans="3:14">
      <c r="C3" s="153"/>
      <c r="D3" s="257"/>
      <c r="E3" s="257"/>
      <c r="F3" s="153"/>
      <c r="G3" s="153"/>
      <c r="H3" s="153"/>
      <c r="I3" s="153"/>
      <c r="J3" s="153"/>
      <c r="K3" s="153"/>
      <c r="L3" s="153"/>
      <c r="M3" s="153"/>
      <c r="N3" s="153"/>
    </row>
    <row r="4" spans="3:14" ht="43.5" customHeight="1">
      <c r="C4" s="153"/>
      <c r="D4" s="153"/>
      <c r="E4" s="153"/>
      <c r="F4" s="153"/>
      <c r="G4" s="153"/>
      <c r="H4" s="153"/>
      <c r="I4" s="153"/>
      <c r="J4" s="153"/>
      <c r="K4" s="153"/>
      <c r="L4" s="153"/>
      <c r="M4" s="153"/>
      <c r="N4" s="153"/>
    </row>
    <row r="5" spans="3:14" ht="23.4">
      <c r="C5" s="153"/>
      <c r="D5" s="154" t="s">
        <v>1017</v>
      </c>
      <c r="E5" s="153"/>
      <c r="F5" s="153"/>
      <c r="G5" s="153"/>
      <c r="H5" s="153"/>
      <c r="I5" s="153"/>
      <c r="J5" s="153"/>
      <c r="K5" s="153"/>
      <c r="L5" s="153"/>
      <c r="M5" s="153"/>
      <c r="N5" s="153"/>
    </row>
    <row r="6" spans="3:14">
      <c r="C6" s="153"/>
      <c r="D6" s="153"/>
      <c r="E6" s="153"/>
      <c r="F6" s="153"/>
      <c r="G6" s="153"/>
      <c r="H6" s="153"/>
      <c r="I6" s="153"/>
      <c r="J6" s="153"/>
      <c r="K6" s="153"/>
      <c r="L6" s="153"/>
      <c r="M6" s="153"/>
      <c r="N6" s="153"/>
    </row>
    <row r="7" spans="3:14" ht="17.399999999999999">
      <c r="C7" s="153"/>
      <c r="D7" s="256" t="s">
        <v>656</v>
      </c>
      <c r="E7" s="257"/>
      <c r="F7" s="257"/>
      <c r="G7" s="257"/>
      <c r="H7" s="257"/>
      <c r="I7" s="257"/>
      <c r="J7" s="263" t="s">
        <v>556</v>
      </c>
      <c r="K7" s="257"/>
      <c r="L7" s="257"/>
      <c r="M7" s="153"/>
      <c r="N7" s="153"/>
    </row>
    <row r="8" spans="3:14">
      <c r="C8" s="153"/>
      <c r="D8" s="257"/>
      <c r="E8" s="257"/>
      <c r="F8" s="257"/>
      <c r="G8" s="257"/>
      <c r="H8" s="257"/>
      <c r="I8" s="257"/>
      <c r="J8" s="259"/>
      <c r="K8" s="257"/>
      <c r="L8" s="257"/>
      <c r="M8" s="153"/>
      <c r="N8" s="153"/>
    </row>
    <row r="9" spans="3:14" ht="17.399999999999999">
      <c r="C9" s="153"/>
      <c r="D9" s="256" t="s">
        <v>657</v>
      </c>
      <c r="E9" s="257"/>
      <c r="F9" s="257"/>
      <c r="G9" s="257"/>
      <c r="H9" s="257"/>
      <c r="I9" s="257"/>
      <c r="J9" s="263" t="s">
        <v>557</v>
      </c>
      <c r="K9" s="257"/>
      <c r="L9" s="257"/>
      <c r="M9" s="153"/>
      <c r="N9" s="153"/>
    </row>
    <row r="10" spans="3:14">
      <c r="C10" s="153"/>
      <c r="D10" s="257"/>
      <c r="E10" s="257"/>
      <c r="F10" s="257"/>
      <c r="G10" s="257"/>
      <c r="H10" s="257"/>
      <c r="I10" s="257"/>
      <c r="J10" s="264"/>
      <c r="K10" s="257"/>
      <c r="L10" s="257"/>
      <c r="M10" s="153"/>
      <c r="N10" s="153"/>
    </row>
    <row r="11" spans="3:14" ht="17.399999999999999">
      <c r="C11" s="153"/>
      <c r="D11" s="256" t="s">
        <v>658</v>
      </c>
      <c r="E11" s="257"/>
      <c r="F11" s="257"/>
      <c r="G11" s="257"/>
      <c r="H11" s="257"/>
      <c r="I11" s="257"/>
      <c r="J11" s="263" t="s">
        <v>1018</v>
      </c>
      <c r="K11" s="257"/>
      <c r="L11" s="257"/>
      <c r="M11" s="153"/>
      <c r="N11" s="153"/>
    </row>
    <row r="12" spans="3:14">
      <c r="C12" s="153"/>
      <c r="D12" s="257"/>
      <c r="E12" s="257"/>
      <c r="F12" s="257"/>
      <c r="G12" s="257"/>
      <c r="H12" s="257"/>
      <c r="I12" s="257"/>
      <c r="J12" s="264"/>
      <c r="K12" s="257"/>
      <c r="L12" s="257"/>
      <c r="M12" s="153"/>
      <c r="N12" s="153"/>
    </row>
    <row r="13" spans="3:14" ht="17.399999999999999">
      <c r="C13" s="153"/>
      <c r="D13" s="256" t="s">
        <v>659</v>
      </c>
      <c r="E13" s="257"/>
      <c r="F13" s="257"/>
      <c r="G13" s="257"/>
      <c r="H13" s="257"/>
      <c r="I13" s="257"/>
      <c r="J13" s="263" t="s">
        <v>1018</v>
      </c>
      <c r="K13" s="257"/>
      <c r="L13" s="257"/>
      <c r="M13" s="153"/>
      <c r="N13" s="153"/>
    </row>
    <row r="14" spans="3:14">
      <c r="C14" s="153"/>
      <c r="D14" s="257"/>
      <c r="E14" s="257"/>
      <c r="F14" s="257"/>
      <c r="G14" s="257"/>
      <c r="H14" s="257"/>
      <c r="I14" s="257"/>
      <c r="J14" s="257"/>
      <c r="K14" s="257"/>
      <c r="L14" s="257"/>
      <c r="M14" s="153"/>
      <c r="N14" s="153"/>
    </row>
    <row r="15" spans="3:14" ht="17.399999999999999">
      <c r="C15" s="153"/>
      <c r="D15" s="256" t="s">
        <v>558</v>
      </c>
      <c r="E15" s="257"/>
      <c r="F15" s="257"/>
      <c r="G15" s="257"/>
      <c r="H15" s="257"/>
      <c r="I15" s="257"/>
      <c r="J15" s="257"/>
      <c r="K15" s="257"/>
      <c r="L15" s="257"/>
      <c r="M15" s="153"/>
      <c r="N15" s="153"/>
    </row>
    <row r="16" spans="3:14" ht="14.25" customHeight="1">
      <c r="C16" s="153"/>
      <c r="D16" s="257"/>
      <c r="E16" s="257"/>
      <c r="F16" s="257"/>
      <c r="G16" s="257"/>
      <c r="H16" s="257"/>
      <c r="I16" s="257"/>
      <c r="J16" s="257"/>
      <c r="K16" s="257"/>
      <c r="L16" s="257"/>
      <c r="M16" s="153"/>
      <c r="N16" s="153"/>
    </row>
    <row r="17" spans="3:14" ht="17.399999999999999">
      <c r="C17" s="153"/>
      <c r="D17" s="256" t="s">
        <v>559</v>
      </c>
      <c r="E17" s="260"/>
      <c r="F17" s="260"/>
      <c r="G17" s="260"/>
      <c r="H17" s="260"/>
      <c r="I17" s="260"/>
      <c r="J17" s="260"/>
      <c r="K17" s="258"/>
      <c r="L17" s="258"/>
      <c r="M17" s="153"/>
      <c r="N17" s="153"/>
    </row>
    <row r="18" spans="3:14" ht="17.399999999999999">
      <c r="C18" s="153"/>
      <c r="D18" s="261"/>
      <c r="E18" s="257"/>
      <c r="F18" s="257"/>
      <c r="G18" s="257"/>
      <c r="H18" s="257"/>
      <c r="I18" s="257"/>
      <c r="J18" s="257"/>
      <c r="K18" s="257"/>
      <c r="L18" s="257"/>
      <c r="M18" s="153"/>
      <c r="N18" s="153"/>
    </row>
    <row r="19" spans="3:14" ht="17.399999999999999">
      <c r="C19" s="153"/>
      <c r="D19" s="256" t="s">
        <v>560</v>
      </c>
      <c r="E19" s="257"/>
      <c r="F19" s="257"/>
      <c r="G19" s="257"/>
      <c r="H19" s="257"/>
      <c r="I19" s="257"/>
      <c r="J19" s="257"/>
      <c r="K19" s="257"/>
      <c r="L19" s="257"/>
      <c r="M19" s="153"/>
      <c r="N19" s="153"/>
    </row>
    <row r="20" spans="3:14" ht="17.25" customHeight="1">
      <c r="C20" s="153"/>
      <c r="D20" s="153"/>
      <c r="E20" s="153"/>
      <c r="F20" s="153"/>
      <c r="G20" s="153"/>
      <c r="H20" s="153"/>
      <c r="I20" s="153"/>
      <c r="J20" s="153"/>
      <c r="K20" s="153"/>
      <c r="L20" s="153"/>
      <c r="M20" s="153"/>
      <c r="N20" s="155"/>
    </row>
    <row r="21" spans="3:14" ht="17.399999999999999">
      <c r="C21" s="153"/>
      <c r="D21" s="256" t="s">
        <v>655</v>
      </c>
      <c r="E21" s="257"/>
      <c r="F21" s="257"/>
      <c r="G21" s="257"/>
      <c r="H21" s="257"/>
      <c r="I21" s="257"/>
      <c r="J21" s="153"/>
      <c r="K21" s="153"/>
      <c r="L21" s="153"/>
      <c r="M21" s="153"/>
      <c r="N21" s="155"/>
    </row>
    <row r="22" spans="3:14" ht="17.399999999999999">
      <c r="C22" s="153"/>
      <c r="D22" s="256"/>
      <c r="E22" s="257"/>
      <c r="F22" s="257"/>
      <c r="G22" s="257"/>
      <c r="H22" s="257"/>
      <c r="I22" s="257"/>
      <c r="J22" s="153"/>
      <c r="K22" s="153"/>
      <c r="L22" s="153"/>
      <c r="M22" s="153"/>
      <c r="N22" s="155"/>
    </row>
    <row r="23" spans="3:14" ht="14.4">
      <c r="C23" s="153"/>
      <c r="D23" s="153"/>
      <c r="E23" s="153"/>
      <c r="F23" s="153"/>
      <c r="G23" s="153"/>
      <c r="H23" s="153"/>
      <c r="I23" s="337" t="s">
        <v>779</v>
      </c>
      <c r="J23" s="153"/>
      <c r="K23" s="153"/>
      <c r="L23" s="153"/>
      <c r="M23" s="153"/>
      <c r="N23" s="262"/>
    </row>
    <row r="24" spans="3:14">
      <c r="C24" s="153"/>
      <c r="D24" s="153"/>
      <c r="E24" s="153"/>
      <c r="F24" s="153"/>
      <c r="G24" s="153"/>
      <c r="H24" s="153"/>
      <c r="I24" s="153"/>
      <c r="J24" s="153"/>
      <c r="K24" s="153"/>
      <c r="L24" s="153"/>
      <c r="M24" s="153"/>
      <c r="N24" s="155"/>
    </row>
    <row r="25" spans="3:14">
      <c r="C25" s="153"/>
      <c r="D25" s="153"/>
      <c r="E25" s="153"/>
      <c r="F25" s="153"/>
      <c r="G25" s="153"/>
      <c r="H25" s="153"/>
      <c r="I25" s="153"/>
      <c r="J25" s="153"/>
      <c r="K25" s="153"/>
      <c r="L25" s="153"/>
      <c r="M25" s="153"/>
      <c r="N25" s="153"/>
    </row>
    <row r="26" spans="3:14">
      <c r="C26" s="153"/>
      <c r="D26" s="153"/>
      <c r="E26" s="153"/>
      <c r="F26" s="153"/>
      <c r="G26" s="153"/>
      <c r="H26" s="153"/>
      <c r="I26" s="153"/>
      <c r="J26" s="153"/>
      <c r="K26" s="153"/>
      <c r="L26" s="153"/>
      <c r="M26" s="153"/>
      <c r="N26" s="153"/>
    </row>
    <row r="27" spans="3:14">
      <c r="C27" s="153"/>
      <c r="D27" s="153"/>
      <c r="E27" s="153"/>
      <c r="F27" s="153"/>
      <c r="G27" s="153"/>
      <c r="H27" s="153"/>
      <c r="I27" s="153"/>
      <c r="J27" s="153"/>
      <c r="K27" s="153"/>
      <c r="L27" s="153"/>
      <c r="M27" s="153"/>
      <c r="N27" s="153"/>
    </row>
    <row r="28" spans="3:14"/>
    <row r="29" spans="3:14"/>
    <row r="30" spans="3:14">
      <c r="C30" s="343" t="s">
        <v>782</v>
      </c>
    </row>
    <row r="31" spans="3:14"/>
    <row r="32" spans="3:14"/>
    <row r="33"/>
    <row r="34"/>
    <row r="35"/>
  </sheetData>
  <sheetProtection algorithmName="SHA-512" hashValue="obOwYRU5XpYBJ7SvMNAlep4N69JiLqiVgCwAENHJoIa+4k/7KO18r7g7fLR+e0ES41VG4XRdJpocaGFUipxW5g==" saltValue="g6tCS7AnjbczS72hHyw/uA==" spinCount="100000" sheet="1" selectLockedCell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dimension ref="A1:AR340"/>
  <sheetViews>
    <sheetView topLeftCell="A22" zoomScaleNormal="100" workbookViewId="0">
      <selection activeCell="C44" sqref="C44"/>
    </sheetView>
  </sheetViews>
  <sheetFormatPr defaultColWidth="9" defaultRowHeight="14.4"/>
  <cols>
    <col min="1" max="1" width="9" style="3"/>
    <col min="2" max="2" width="30" style="3" customWidth="1"/>
    <col min="3" max="5" width="9" style="3"/>
    <col min="6" max="6" width="13.19921875" style="3" bestFit="1" customWidth="1"/>
    <col min="7" max="8" width="9" style="3"/>
    <col min="9" max="9" width="12.19921875" style="3" customWidth="1"/>
    <col min="10" max="16384" width="9" style="3"/>
  </cols>
  <sheetData>
    <row r="1" spans="5:37">
      <c r="I1" s="266"/>
      <c r="J1" s="268"/>
      <c r="L1" s="479" t="s">
        <v>666</v>
      </c>
      <c r="M1" s="478"/>
      <c r="N1" s="478"/>
      <c r="O1" s="478"/>
      <c r="P1" s="478"/>
      <c r="R1" s="479" t="s">
        <v>667</v>
      </c>
      <c r="S1" s="478"/>
      <c r="T1" s="478"/>
      <c r="U1" s="478"/>
      <c r="V1" s="478"/>
      <c r="Z1" s="497" t="s">
        <v>31</v>
      </c>
      <c r="AA1" s="497"/>
      <c r="AB1" s="497"/>
      <c r="AC1" s="497"/>
      <c r="AD1" s="497"/>
      <c r="AE1" s="497"/>
      <c r="AF1" s="497"/>
      <c r="AG1" s="497"/>
      <c r="AH1" s="497"/>
      <c r="AI1" s="497"/>
      <c r="AJ1" s="497"/>
    </row>
    <row r="2" spans="5:37">
      <c r="I2" s="3" t="s">
        <v>640</v>
      </c>
      <c r="J2" s="4">
        <v>0</v>
      </c>
      <c r="K2" s="3">
        <v>15</v>
      </c>
      <c r="L2" s="4">
        <v>20</v>
      </c>
      <c r="M2" s="4">
        <v>25</v>
      </c>
      <c r="N2" s="4">
        <v>30</v>
      </c>
      <c r="O2" s="4">
        <v>35</v>
      </c>
      <c r="P2" s="4">
        <v>40</v>
      </c>
      <c r="Q2" s="3">
        <v>15</v>
      </c>
      <c r="R2" s="4">
        <v>20</v>
      </c>
      <c r="S2" s="4">
        <v>25</v>
      </c>
      <c r="T2" s="4">
        <v>30</v>
      </c>
      <c r="U2" s="4">
        <v>35</v>
      </c>
      <c r="V2" s="4">
        <v>40</v>
      </c>
      <c r="W2" s="3" t="s">
        <v>640</v>
      </c>
      <c r="Y2" s="3" t="s">
        <v>640</v>
      </c>
      <c r="Z2" s="4">
        <v>0</v>
      </c>
      <c r="AA2" s="4">
        <v>5</v>
      </c>
      <c r="AB2" s="4">
        <v>10</v>
      </c>
      <c r="AC2" s="4">
        <v>15</v>
      </c>
      <c r="AD2" s="4">
        <v>20</v>
      </c>
      <c r="AE2" s="4">
        <v>25</v>
      </c>
      <c r="AF2" s="4">
        <v>30</v>
      </c>
      <c r="AG2" s="4">
        <v>35</v>
      </c>
      <c r="AH2" s="4">
        <v>40</v>
      </c>
      <c r="AI2" s="4">
        <v>45</v>
      </c>
      <c r="AJ2" s="4">
        <v>50</v>
      </c>
      <c r="AK2" s="3" t="s">
        <v>640</v>
      </c>
    </row>
    <row r="3" spans="5:37">
      <c r="J3" s="4">
        <v>1</v>
      </c>
      <c r="K3" s="3">
        <v>2</v>
      </c>
      <c r="L3" s="4">
        <v>3</v>
      </c>
      <c r="M3" s="3">
        <v>4</v>
      </c>
      <c r="N3" s="4">
        <v>5</v>
      </c>
      <c r="O3" s="3">
        <v>6</v>
      </c>
      <c r="P3" s="4">
        <v>7</v>
      </c>
      <c r="Q3" s="3">
        <v>8</v>
      </c>
      <c r="R3" s="4">
        <v>9</v>
      </c>
      <c r="S3" s="3">
        <v>10</v>
      </c>
      <c r="T3" s="4">
        <v>11</v>
      </c>
      <c r="U3" s="3">
        <v>12</v>
      </c>
      <c r="V3" s="4">
        <v>13</v>
      </c>
      <c r="Z3" s="4"/>
      <c r="AA3" s="4"/>
      <c r="AB3" s="4"/>
      <c r="AC3" s="4"/>
      <c r="AD3" s="4"/>
      <c r="AE3" s="4"/>
      <c r="AF3" s="4"/>
      <c r="AG3" s="4"/>
      <c r="AH3" s="4"/>
      <c r="AI3" s="4"/>
      <c r="AJ3" s="4"/>
    </row>
    <row r="4" spans="5:37">
      <c r="I4" s="269">
        <v>-26</v>
      </c>
      <c r="J4" s="4"/>
      <c r="L4" s="4"/>
      <c r="M4" s="4"/>
      <c r="N4" s="4"/>
      <c r="O4" s="4"/>
      <c r="P4" s="270">
        <v>1072.9000000000001</v>
      </c>
      <c r="T4" s="4"/>
      <c r="U4" s="4"/>
      <c r="W4" s="269">
        <v>-26</v>
      </c>
      <c r="Z4" s="4"/>
      <c r="AA4" s="4"/>
      <c r="AB4" s="4"/>
      <c r="AC4" s="4"/>
      <c r="AD4" s="4"/>
      <c r="AE4" s="4"/>
      <c r="AF4" s="4"/>
      <c r="AG4" s="4"/>
      <c r="AH4" s="4"/>
      <c r="AI4" s="4"/>
      <c r="AJ4" s="4"/>
    </row>
    <row r="5" spans="5:37">
      <c r="I5" s="269">
        <v>-25</v>
      </c>
      <c r="J5" s="4"/>
      <c r="L5" s="4"/>
      <c r="M5" s="4"/>
      <c r="N5" s="4"/>
      <c r="O5" s="4"/>
      <c r="P5" s="270">
        <v>1072.7</v>
      </c>
      <c r="T5" s="4"/>
      <c r="U5" s="4"/>
      <c r="W5" s="269">
        <v>-25</v>
      </c>
      <c r="Z5" s="4"/>
      <c r="AA5" s="4"/>
      <c r="AB5" s="4"/>
      <c r="AC5" s="4"/>
      <c r="AD5" s="4"/>
      <c r="AE5" s="4"/>
      <c r="AF5" s="4"/>
      <c r="AG5" s="4"/>
      <c r="AH5" s="4"/>
      <c r="AI5" s="4"/>
      <c r="AJ5" s="4"/>
    </row>
    <row r="6" spans="5:37">
      <c r="I6" s="246">
        <v>-24</v>
      </c>
      <c r="J6" s="248"/>
      <c r="L6" s="248"/>
      <c r="M6" s="248"/>
      <c r="N6" s="248"/>
      <c r="O6" s="248"/>
      <c r="P6" s="248">
        <v>1072.5</v>
      </c>
      <c r="R6" s="248"/>
      <c r="S6" s="248"/>
      <c r="T6" s="248"/>
      <c r="U6" s="248"/>
      <c r="W6" s="246">
        <v>-24</v>
      </c>
      <c r="Y6" s="246">
        <v>-24</v>
      </c>
      <c r="Z6" s="248"/>
      <c r="AA6" s="248"/>
      <c r="AB6" s="248"/>
      <c r="AC6" s="248"/>
      <c r="AD6" s="248"/>
      <c r="AE6" s="248"/>
      <c r="AF6" s="248"/>
      <c r="AG6" s="248"/>
      <c r="AH6" s="248">
        <v>1067.8</v>
      </c>
      <c r="AI6" s="248"/>
      <c r="AJ6" s="248"/>
      <c r="AK6" s="246">
        <v>-24</v>
      </c>
    </row>
    <row r="7" spans="5:37">
      <c r="I7" s="246">
        <v>-23</v>
      </c>
      <c r="J7" s="248"/>
      <c r="L7" s="248"/>
      <c r="M7" s="248"/>
      <c r="N7" s="248"/>
      <c r="O7" s="248"/>
      <c r="P7" s="248">
        <v>1072.3</v>
      </c>
      <c r="R7" s="248"/>
      <c r="S7" s="248"/>
      <c r="T7" s="248"/>
      <c r="U7" s="248"/>
      <c r="W7" s="246">
        <v>-23</v>
      </c>
      <c r="Y7" s="246">
        <v>-23</v>
      </c>
      <c r="Z7" s="248"/>
      <c r="AA7" s="248"/>
      <c r="AB7" s="248"/>
      <c r="AC7" s="248"/>
      <c r="AD7" s="248"/>
      <c r="AE7" s="248"/>
      <c r="AF7" s="248"/>
      <c r="AG7" s="248"/>
      <c r="AH7" s="248">
        <v>1067.8</v>
      </c>
      <c r="AI7" s="248"/>
      <c r="AJ7" s="248"/>
      <c r="AK7" s="246">
        <v>-23</v>
      </c>
    </row>
    <row r="8" spans="5:37">
      <c r="I8" s="246">
        <v>-22</v>
      </c>
      <c r="J8" s="248"/>
      <c r="L8" s="248"/>
      <c r="M8" s="248"/>
      <c r="N8" s="248"/>
      <c r="O8" s="248">
        <v>1064.2</v>
      </c>
      <c r="P8" s="248">
        <v>1072.0999999999999</v>
      </c>
      <c r="R8" s="248"/>
      <c r="S8" s="248"/>
      <c r="T8" s="248"/>
      <c r="U8" s="248"/>
      <c r="W8" s="246">
        <v>-22</v>
      </c>
      <c r="Y8" s="246">
        <v>-22</v>
      </c>
      <c r="Z8" s="248"/>
      <c r="AA8" s="248"/>
      <c r="AB8" s="248"/>
      <c r="AC8" s="248"/>
      <c r="AD8" s="248"/>
      <c r="AE8" s="248"/>
      <c r="AF8" s="248"/>
      <c r="AG8" s="248"/>
      <c r="AH8" s="248">
        <v>1067.5999999999999</v>
      </c>
      <c r="AI8" s="248"/>
      <c r="AJ8" s="248"/>
      <c r="AK8" s="246">
        <v>-22</v>
      </c>
    </row>
    <row r="9" spans="5:37">
      <c r="I9" s="246">
        <v>-21</v>
      </c>
      <c r="J9" s="248"/>
      <c r="L9" s="248"/>
      <c r="M9" s="248"/>
      <c r="N9" s="248"/>
      <c r="O9" s="248">
        <v>1064</v>
      </c>
      <c r="P9" s="248">
        <v>1071.9000000000001</v>
      </c>
      <c r="R9" s="248"/>
      <c r="S9" s="248"/>
      <c r="T9" s="248"/>
      <c r="U9" s="248"/>
      <c r="V9" s="248">
        <v>1057.5999999999999</v>
      </c>
      <c r="W9" s="246">
        <v>-21</v>
      </c>
      <c r="Y9" s="246">
        <v>-21</v>
      </c>
      <c r="Z9" s="248"/>
      <c r="AA9" s="248"/>
      <c r="AB9" s="248"/>
      <c r="AC9" s="248"/>
      <c r="AD9" s="248"/>
      <c r="AE9" s="248"/>
      <c r="AF9" s="248"/>
      <c r="AG9" s="248"/>
      <c r="AH9" s="248">
        <v>1067.4000000000001</v>
      </c>
      <c r="AI9" s="248"/>
      <c r="AJ9" s="248"/>
      <c r="AK9" s="246">
        <v>-21</v>
      </c>
    </row>
    <row r="10" spans="5:37">
      <c r="I10" s="246">
        <v>-20</v>
      </c>
      <c r="J10" s="248"/>
      <c r="L10" s="248"/>
      <c r="M10" s="248"/>
      <c r="N10" s="248"/>
      <c r="O10" s="248">
        <v>1063.8</v>
      </c>
      <c r="P10" s="248">
        <v>1071.7</v>
      </c>
      <c r="R10" s="248"/>
      <c r="S10" s="248"/>
      <c r="T10" s="248"/>
      <c r="U10" s="248"/>
      <c r="V10" s="248">
        <v>1057.0999999999999</v>
      </c>
      <c r="W10" s="246">
        <v>-20</v>
      </c>
      <c r="Y10" s="246">
        <v>-20</v>
      </c>
      <c r="Z10" s="248"/>
      <c r="AA10" s="248"/>
      <c r="AB10" s="248"/>
      <c r="AC10" s="248"/>
      <c r="AD10" s="248"/>
      <c r="AE10" s="248"/>
      <c r="AF10" s="248"/>
      <c r="AG10" s="248">
        <v>1058</v>
      </c>
      <c r="AH10" s="248">
        <v>1067.2</v>
      </c>
      <c r="AI10" s="248"/>
      <c r="AJ10" s="248"/>
      <c r="AK10" s="246">
        <v>-20</v>
      </c>
    </row>
    <row r="11" spans="5:37" ht="15.6">
      <c r="E11" s="249" t="s">
        <v>642</v>
      </c>
      <c r="F11" s="3">
        <f>F35</f>
        <v>1000</v>
      </c>
      <c r="I11" s="246">
        <v>-19</v>
      </c>
      <c r="J11" s="248"/>
      <c r="L11" s="248"/>
      <c r="M11" s="248"/>
      <c r="N11" s="248"/>
      <c r="O11" s="248">
        <v>1063.5</v>
      </c>
      <c r="P11" s="248">
        <v>1071.4000000000001</v>
      </c>
      <c r="R11" s="248"/>
      <c r="S11" s="248"/>
      <c r="T11" s="248"/>
      <c r="U11" s="248"/>
      <c r="V11" s="248">
        <v>1056.5999999999999</v>
      </c>
      <c r="W11" s="246">
        <v>-19</v>
      </c>
      <c r="Y11" s="246">
        <v>-19</v>
      </c>
      <c r="Z11" s="248"/>
      <c r="AA11" s="248"/>
      <c r="AB11" s="248"/>
      <c r="AC11" s="248"/>
      <c r="AD11" s="248"/>
      <c r="AE11" s="248"/>
      <c r="AF11" s="248"/>
      <c r="AG11" s="248">
        <v>1058</v>
      </c>
      <c r="AH11" s="248">
        <v>1066.9000000000001</v>
      </c>
      <c r="AI11" s="248"/>
      <c r="AJ11" s="248"/>
      <c r="AK11" s="246">
        <v>-19</v>
      </c>
    </row>
    <row r="12" spans="5:37" ht="15.6">
      <c r="E12" s="249" t="s">
        <v>649</v>
      </c>
      <c r="F12" s="3">
        <f>INDEX(J4:V180,MATCH(G25,I4:I180,0),MATCH(C25,J3:V3,0))</f>
        <v>999.7</v>
      </c>
      <c r="I12" s="246">
        <v>-18</v>
      </c>
      <c r="J12" s="248"/>
      <c r="L12" s="248"/>
      <c r="M12" s="248"/>
      <c r="N12" s="248"/>
      <c r="O12" s="248">
        <v>1063.3</v>
      </c>
      <c r="P12" s="248">
        <v>1071.0999999999999</v>
      </c>
      <c r="R12" s="248"/>
      <c r="S12" s="248"/>
      <c r="T12" s="248"/>
      <c r="U12" s="248"/>
      <c r="V12" s="248">
        <v>1056.0999999999999</v>
      </c>
      <c r="W12" s="246">
        <v>-18</v>
      </c>
      <c r="Y12" s="246">
        <v>-18</v>
      </c>
      <c r="Z12" s="248"/>
      <c r="AA12" s="248"/>
      <c r="AB12" s="248"/>
      <c r="AC12" s="248"/>
      <c r="AD12" s="248"/>
      <c r="AE12" s="248"/>
      <c r="AF12" s="248"/>
      <c r="AG12" s="248">
        <v>1057.8</v>
      </c>
      <c r="AH12" s="248">
        <v>1066.5999999999999</v>
      </c>
      <c r="AI12" s="248"/>
      <c r="AJ12" s="248"/>
      <c r="AK12" s="246">
        <v>-18</v>
      </c>
    </row>
    <row r="13" spans="5:37" ht="15.6">
      <c r="E13" s="3" t="s">
        <v>645</v>
      </c>
      <c r="F13" s="3">
        <f>1/F11</f>
        <v>1E-3</v>
      </c>
      <c r="I13" s="246">
        <v>-17</v>
      </c>
      <c r="J13" s="248"/>
      <c r="L13" s="248"/>
      <c r="M13" s="248"/>
      <c r="N13" s="248"/>
      <c r="O13" s="248">
        <v>1063.0999999999999</v>
      </c>
      <c r="P13" s="248">
        <v>1070.8</v>
      </c>
      <c r="R13" s="248"/>
      <c r="S13" s="248"/>
      <c r="T13" s="248"/>
      <c r="U13" s="248">
        <v>1051.5</v>
      </c>
      <c r="V13" s="248">
        <v>1055.5999999999999</v>
      </c>
      <c r="W13" s="246">
        <v>-17</v>
      </c>
      <c r="Y13" s="246">
        <v>-17</v>
      </c>
      <c r="Z13" s="248"/>
      <c r="AA13" s="248"/>
      <c r="AB13" s="248"/>
      <c r="AC13" s="248"/>
      <c r="AD13" s="248"/>
      <c r="AE13" s="248"/>
      <c r="AF13" s="248"/>
      <c r="AG13" s="248">
        <v>1057.5999999999999</v>
      </c>
      <c r="AH13" s="248">
        <v>1066.4000000000001</v>
      </c>
      <c r="AI13" s="248"/>
      <c r="AJ13" s="248"/>
      <c r="AK13" s="246">
        <v>-17</v>
      </c>
    </row>
    <row r="14" spans="5:37" ht="15.6">
      <c r="E14" s="3" t="s">
        <v>650</v>
      </c>
      <c r="F14" s="3">
        <f>1/F12</f>
        <v>1.000300090027008E-3</v>
      </c>
      <c r="I14" s="246">
        <v>-16</v>
      </c>
      <c r="J14" s="248"/>
      <c r="L14" s="248"/>
      <c r="M14" s="248"/>
      <c r="N14" s="248">
        <v>1051.9000000000001</v>
      </c>
      <c r="O14" s="248">
        <v>1062.8</v>
      </c>
      <c r="P14" s="248">
        <v>1070.5</v>
      </c>
      <c r="R14" s="248"/>
      <c r="S14" s="248"/>
      <c r="T14" s="248"/>
      <c r="U14" s="248">
        <v>1051.0999999999999</v>
      </c>
      <c r="V14" s="248">
        <v>1055.0999999999999</v>
      </c>
      <c r="W14" s="246">
        <v>-16</v>
      </c>
      <c r="Y14" s="246">
        <v>-16</v>
      </c>
      <c r="Z14" s="248"/>
      <c r="AA14" s="248"/>
      <c r="AB14" s="248"/>
      <c r="AC14" s="248"/>
      <c r="AD14" s="248"/>
      <c r="AE14" s="248"/>
      <c r="AF14" s="248">
        <v>1048</v>
      </c>
      <c r="AG14" s="248">
        <v>1057.4000000000001</v>
      </c>
      <c r="AH14" s="248">
        <v>1066.0999999999999</v>
      </c>
      <c r="AI14" s="248"/>
      <c r="AJ14" s="248"/>
      <c r="AK14" s="246">
        <v>-16</v>
      </c>
    </row>
    <row r="15" spans="5:37">
      <c r="E15" s="250" t="s">
        <v>646</v>
      </c>
      <c r="F15" s="251">
        <f>(F14-F13)</f>
        <v>3.0009002700793694E-7</v>
      </c>
      <c r="I15" s="246">
        <v>-15</v>
      </c>
      <c r="J15" s="248"/>
      <c r="L15" s="248"/>
      <c r="M15" s="248"/>
      <c r="N15" s="248">
        <v>1051.7</v>
      </c>
      <c r="O15" s="248">
        <v>1062.5999999999999</v>
      </c>
      <c r="P15" s="248">
        <v>1070.2</v>
      </c>
      <c r="R15" s="248"/>
      <c r="S15" s="248"/>
      <c r="T15" s="248"/>
      <c r="U15" s="248">
        <v>1050.5999999999999</v>
      </c>
      <c r="V15" s="248">
        <v>1054.5999999999999</v>
      </c>
      <c r="W15" s="246">
        <v>-15</v>
      </c>
      <c r="Y15" s="246">
        <v>-15</v>
      </c>
      <c r="Z15" s="248"/>
      <c r="AA15" s="248"/>
      <c r="AB15" s="248"/>
      <c r="AC15" s="248"/>
      <c r="AD15" s="248"/>
      <c r="AE15" s="248"/>
      <c r="AF15" s="248">
        <v>1048</v>
      </c>
      <c r="AG15" s="248">
        <v>1057.2</v>
      </c>
      <c r="AH15" s="248">
        <v>1065.8</v>
      </c>
      <c r="AI15" s="248"/>
      <c r="AJ15" s="248"/>
      <c r="AK15" s="246">
        <v>-15</v>
      </c>
    </row>
    <row r="16" spans="5:37">
      <c r="E16" s="9" t="s">
        <v>59</v>
      </c>
      <c r="F16" s="3">
        <f>F12*F15</f>
        <v>2.9999999999983458E-4</v>
      </c>
      <c r="I16" s="246">
        <v>-14</v>
      </c>
      <c r="J16" s="248"/>
      <c r="L16" s="248"/>
      <c r="M16" s="248"/>
      <c r="N16" s="248">
        <v>1051.5</v>
      </c>
      <c r="O16" s="248">
        <v>1062.3</v>
      </c>
      <c r="P16" s="248">
        <v>1069.9000000000001</v>
      </c>
      <c r="R16" s="248"/>
      <c r="S16" s="248"/>
      <c r="T16" s="248">
        <v>1045.8</v>
      </c>
      <c r="U16" s="248">
        <v>1050.0999999999999</v>
      </c>
      <c r="V16" s="248">
        <v>1054.0999999999999</v>
      </c>
      <c r="W16" s="246">
        <v>-14</v>
      </c>
      <c r="Y16" s="246">
        <v>-14</v>
      </c>
      <c r="Z16" s="248"/>
      <c r="AA16" s="248"/>
      <c r="AB16" s="248"/>
      <c r="AC16" s="248"/>
      <c r="AD16" s="248"/>
      <c r="AE16" s="248"/>
      <c r="AF16" s="248">
        <v>1048</v>
      </c>
      <c r="AG16" s="248">
        <v>1057</v>
      </c>
      <c r="AH16" s="248">
        <v>1065.5</v>
      </c>
      <c r="AI16" s="248"/>
      <c r="AJ16" s="248"/>
      <c r="AK16" s="246">
        <v>-14</v>
      </c>
    </row>
    <row r="17" spans="1:37">
      <c r="E17" s="9" t="s">
        <v>651</v>
      </c>
      <c r="F17" s="10">
        <f>'NW wg PN-EN-12828'!E66*'1'!F16</f>
        <v>0.14999999999991728</v>
      </c>
      <c r="I17" s="246">
        <v>-13</v>
      </c>
      <c r="J17" s="248"/>
      <c r="L17" s="248"/>
      <c r="M17" s="248"/>
      <c r="N17" s="248">
        <v>1051.3</v>
      </c>
      <c r="O17" s="248">
        <v>1062.0999999999999</v>
      </c>
      <c r="P17" s="248">
        <v>1069.5999999999999</v>
      </c>
      <c r="R17" s="248"/>
      <c r="S17" s="248"/>
      <c r="T17" s="248">
        <v>1045.5999999999999</v>
      </c>
      <c r="U17" s="248">
        <v>1049.5999999999999</v>
      </c>
      <c r="V17" s="248">
        <v>1053.5999999999999</v>
      </c>
      <c r="W17" s="246">
        <v>-13</v>
      </c>
      <c r="Y17" s="246">
        <v>-13</v>
      </c>
      <c r="Z17" s="248"/>
      <c r="AA17" s="248"/>
      <c r="AB17" s="248"/>
      <c r="AC17" s="248"/>
      <c r="AD17" s="248"/>
      <c r="AE17" s="248">
        <v>1039.4000000000001</v>
      </c>
      <c r="AF17" s="248">
        <v>1047.8</v>
      </c>
      <c r="AG17" s="248">
        <v>1056.8</v>
      </c>
      <c r="AH17" s="248">
        <v>1065.2</v>
      </c>
      <c r="AI17" s="248"/>
      <c r="AJ17" s="248"/>
      <c r="AK17" s="246">
        <v>-13</v>
      </c>
    </row>
    <row r="18" spans="1:37">
      <c r="E18" s="9"/>
      <c r="F18" s="15"/>
      <c r="I18" s="246">
        <v>-12</v>
      </c>
      <c r="J18" s="248"/>
      <c r="L18" s="248"/>
      <c r="M18" s="248">
        <v>1043.7</v>
      </c>
      <c r="N18" s="248">
        <v>1051.0999999999999</v>
      </c>
      <c r="O18" s="248">
        <v>1061.8</v>
      </c>
      <c r="P18" s="248">
        <v>1069.3</v>
      </c>
      <c r="R18" s="248"/>
      <c r="S18" s="248"/>
      <c r="T18" s="248">
        <v>1045.0999999999999</v>
      </c>
      <c r="U18" s="248">
        <v>1049.2</v>
      </c>
      <c r="V18" s="248">
        <v>1053.0999999999999</v>
      </c>
      <c r="W18" s="246">
        <v>-12</v>
      </c>
      <c r="Y18" s="246">
        <v>-12</v>
      </c>
      <c r="Z18" s="248"/>
      <c r="AA18" s="248"/>
      <c r="AB18" s="248"/>
      <c r="AC18" s="248"/>
      <c r="AD18" s="248"/>
      <c r="AE18" s="248">
        <v>1039.4000000000001</v>
      </c>
      <c r="AF18" s="248">
        <v>1047.5999999999999</v>
      </c>
      <c r="AG18" s="248">
        <v>1056.5999999999999</v>
      </c>
      <c r="AH18" s="248">
        <v>1065</v>
      </c>
      <c r="AI18" s="248"/>
      <c r="AJ18" s="248"/>
      <c r="AK18" s="246">
        <v>-12</v>
      </c>
    </row>
    <row r="19" spans="1:37" ht="15.6">
      <c r="E19" s="9" t="s">
        <v>152</v>
      </c>
      <c r="F19" s="10">
        <f>'NW wg PN-EN-12828'!E85+'1'!F17</f>
        <v>3.1499999999999173</v>
      </c>
      <c r="I19" s="246">
        <v>-11</v>
      </c>
      <c r="J19" s="248"/>
      <c r="L19" s="248"/>
      <c r="M19" s="248">
        <v>1043.5</v>
      </c>
      <c r="N19" s="248">
        <v>1050.9000000000001</v>
      </c>
      <c r="O19" s="248">
        <v>1061.5999999999999</v>
      </c>
      <c r="P19" s="248">
        <v>1069</v>
      </c>
      <c r="R19" s="248"/>
      <c r="S19" s="248"/>
      <c r="T19" s="248">
        <v>1044.7</v>
      </c>
      <c r="U19" s="248">
        <v>1048.7</v>
      </c>
      <c r="V19" s="248">
        <v>1052.5999999999999</v>
      </c>
      <c r="W19" s="246">
        <v>-11</v>
      </c>
      <c r="Y19" s="246">
        <v>-11</v>
      </c>
      <c r="Z19" s="248"/>
      <c r="AA19" s="248"/>
      <c r="AB19" s="248"/>
      <c r="AC19" s="248"/>
      <c r="AD19" s="248"/>
      <c r="AE19" s="248">
        <v>1039.4000000000001</v>
      </c>
      <c r="AF19" s="248">
        <v>1047.4000000000001</v>
      </c>
      <c r="AG19" s="248">
        <v>1056.4000000000001</v>
      </c>
      <c r="AH19" s="248">
        <v>1064.7</v>
      </c>
      <c r="AI19" s="248"/>
      <c r="AJ19" s="248"/>
      <c r="AK19" s="246">
        <v>-11</v>
      </c>
    </row>
    <row r="20" spans="1:37">
      <c r="I20" s="246">
        <v>-10</v>
      </c>
      <c r="J20" s="248"/>
      <c r="L20" s="248"/>
      <c r="M20" s="248">
        <v>1043.3</v>
      </c>
      <c r="N20" s="248">
        <v>1050.7</v>
      </c>
      <c r="O20" s="248">
        <v>1061.4000000000001</v>
      </c>
      <c r="P20" s="248">
        <v>1068.7</v>
      </c>
      <c r="R20" s="248"/>
      <c r="S20" s="248">
        <v>1039.4000000000001</v>
      </c>
      <c r="T20" s="248">
        <v>1044.3</v>
      </c>
      <c r="U20" s="248">
        <v>1048.2</v>
      </c>
      <c r="V20" s="248">
        <v>1052.0999999999999</v>
      </c>
      <c r="W20" s="246">
        <v>-10</v>
      </c>
      <c r="Y20" s="246">
        <v>-10</v>
      </c>
      <c r="Z20" s="248"/>
      <c r="AA20" s="248"/>
      <c r="AB20" s="248"/>
      <c r="AC20" s="248"/>
      <c r="AD20" s="248">
        <v>1030.9000000000001</v>
      </c>
      <c r="AE20" s="248">
        <v>1039.4000000000001</v>
      </c>
      <c r="AF20" s="248">
        <v>1047.2</v>
      </c>
      <c r="AG20" s="248">
        <v>1056.2</v>
      </c>
      <c r="AH20" s="248">
        <v>1064.4000000000001</v>
      </c>
      <c r="AI20" s="248"/>
      <c r="AJ20" s="248"/>
      <c r="AK20" s="246">
        <v>-10</v>
      </c>
    </row>
    <row r="21" spans="1:37">
      <c r="E21" s="9" t="s">
        <v>652</v>
      </c>
      <c r="F21" s="252">
        <f>(('NW wg PN-EN-12828'!$E$209*('NW wg PN-EN-12828'!$E$210+1))/('NW wg PN-EN-12828'!$E$209-F19))-1</f>
        <v>1.0819778789850338</v>
      </c>
      <c r="I21" s="246">
        <v>-9</v>
      </c>
      <c r="J21" s="248"/>
      <c r="L21" s="248">
        <v>1034.4000000000001</v>
      </c>
      <c r="M21" s="248">
        <v>1043.0999999999999</v>
      </c>
      <c r="N21" s="248">
        <v>1050.5</v>
      </c>
      <c r="O21" s="248">
        <v>1061</v>
      </c>
      <c r="P21" s="248">
        <v>1068.3</v>
      </c>
      <c r="R21" s="248"/>
      <c r="S21" s="248">
        <v>1039</v>
      </c>
      <c r="T21" s="248">
        <v>1043.8</v>
      </c>
      <c r="U21" s="248">
        <v>1047.7</v>
      </c>
      <c r="V21" s="248">
        <v>1051.5999999999999</v>
      </c>
      <c r="W21" s="246">
        <v>-9</v>
      </c>
      <c r="Y21" s="246">
        <v>-9</v>
      </c>
      <c r="Z21" s="248"/>
      <c r="AA21" s="248"/>
      <c r="AB21" s="248"/>
      <c r="AC21" s="248"/>
      <c r="AD21" s="248">
        <v>1030.9000000000001</v>
      </c>
      <c r="AE21" s="248">
        <v>1039.2</v>
      </c>
      <c r="AF21" s="248">
        <v>1047</v>
      </c>
      <c r="AG21" s="248">
        <v>1055.9000000000001</v>
      </c>
      <c r="AH21" s="248">
        <v>1064</v>
      </c>
      <c r="AI21" s="248"/>
      <c r="AJ21" s="248"/>
      <c r="AK21" s="246">
        <v>-9</v>
      </c>
    </row>
    <row r="22" spans="1:37">
      <c r="E22" s="9"/>
      <c r="F22" s="252"/>
      <c r="I22" s="246">
        <v>-8</v>
      </c>
      <c r="J22" s="248"/>
      <c r="L22" s="248">
        <v>1034.2</v>
      </c>
      <c r="M22" s="248">
        <v>1042.9000000000001</v>
      </c>
      <c r="N22" s="248">
        <v>1050.3</v>
      </c>
      <c r="O22" s="248">
        <v>1060.7</v>
      </c>
      <c r="P22" s="248">
        <v>1067.9000000000001</v>
      </c>
      <c r="R22" s="248">
        <v>1033</v>
      </c>
      <c r="S22" s="248">
        <v>1038.5</v>
      </c>
      <c r="T22" s="248">
        <v>1043.3</v>
      </c>
      <c r="U22" s="248">
        <v>1047.2</v>
      </c>
      <c r="V22" s="248">
        <v>1051</v>
      </c>
      <c r="W22" s="246">
        <v>-8</v>
      </c>
      <c r="Y22" s="246">
        <v>-8</v>
      </c>
      <c r="Z22" s="248"/>
      <c r="AA22" s="248"/>
      <c r="AB22" s="248"/>
      <c r="AC22" s="248"/>
      <c r="AD22" s="248">
        <v>1030.9000000000001</v>
      </c>
      <c r="AE22" s="248">
        <v>1039</v>
      </c>
      <c r="AF22" s="248">
        <v>1046.8</v>
      </c>
      <c r="AG22" s="248">
        <v>1055.5999999999999</v>
      </c>
      <c r="AH22" s="248">
        <v>1063.5999999999999</v>
      </c>
      <c r="AI22" s="248"/>
      <c r="AJ22" s="248"/>
      <c r="AK22" s="246">
        <v>-8</v>
      </c>
    </row>
    <row r="23" spans="1:37">
      <c r="I23" s="246">
        <v>-7</v>
      </c>
      <c r="J23" s="248"/>
      <c r="L23" s="248">
        <v>1034</v>
      </c>
      <c r="M23" s="248">
        <v>1042.7</v>
      </c>
      <c r="N23" s="248">
        <v>1050</v>
      </c>
      <c r="O23" s="248">
        <v>1060.3</v>
      </c>
      <c r="P23" s="248">
        <v>1067.5</v>
      </c>
      <c r="R23" s="248">
        <v>1032.7</v>
      </c>
      <c r="S23" s="248">
        <v>1038.0999999999999</v>
      </c>
      <c r="T23" s="248">
        <v>1042.9000000000001</v>
      </c>
      <c r="U23" s="248">
        <v>1046.8</v>
      </c>
      <c r="V23" s="248">
        <v>1050.5</v>
      </c>
      <c r="W23" s="246">
        <v>-7</v>
      </c>
      <c r="Y23" s="246">
        <v>-7</v>
      </c>
      <c r="Z23" s="248"/>
      <c r="AA23" s="248"/>
      <c r="AB23" s="248"/>
      <c r="AC23" s="248">
        <v>1022.6</v>
      </c>
      <c r="AD23" s="248">
        <v>1030.9000000000001</v>
      </c>
      <c r="AE23" s="248">
        <v>1038.8</v>
      </c>
      <c r="AF23" s="248">
        <v>1046.5999999999999</v>
      </c>
      <c r="AG23" s="248">
        <v>1055.3</v>
      </c>
      <c r="AH23" s="248">
        <v>1063.3</v>
      </c>
      <c r="AI23" s="248"/>
      <c r="AJ23" s="248"/>
      <c r="AK23" s="246">
        <v>-7</v>
      </c>
    </row>
    <row r="24" spans="1:37">
      <c r="B24" s="9" t="s">
        <v>643</v>
      </c>
      <c r="C24" s="3" t="s">
        <v>9</v>
      </c>
      <c r="D24" s="3" t="s">
        <v>5</v>
      </c>
      <c r="E24" s="3" t="s">
        <v>10</v>
      </c>
      <c r="F24" s="3" t="s">
        <v>35</v>
      </c>
      <c r="G24" s="3" t="s">
        <v>648</v>
      </c>
      <c r="H24" s="3">
        <v>5</v>
      </c>
      <c r="I24" s="246">
        <v>-6</v>
      </c>
      <c r="J24" s="248"/>
      <c r="L24" s="248">
        <v>1033.8</v>
      </c>
      <c r="M24" s="248">
        <v>1042.5</v>
      </c>
      <c r="N24" s="248">
        <v>1049.8</v>
      </c>
      <c r="O24" s="248">
        <v>1060</v>
      </c>
      <c r="P24" s="248">
        <v>1067.0999999999999</v>
      </c>
      <c r="R24" s="248">
        <v>1032.3</v>
      </c>
      <c r="S24" s="248">
        <v>1037.7</v>
      </c>
      <c r="T24" s="248">
        <v>1042.4000000000001</v>
      </c>
      <c r="U24" s="248">
        <v>1046.3</v>
      </c>
      <c r="V24" s="248">
        <v>1050</v>
      </c>
      <c r="W24" s="246">
        <v>-6</v>
      </c>
      <c r="Y24" s="246">
        <v>-6</v>
      </c>
      <c r="Z24" s="248"/>
      <c r="AA24" s="248"/>
      <c r="AB24" s="248"/>
      <c r="AC24" s="248">
        <v>1022.6</v>
      </c>
      <c r="AD24" s="248">
        <v>1030.7</v>
      </c>
      <c r="AE24" s="248">
        <v>1038.5999999999999</v>
      </c>
      <c r="AF24" s="248">
        <v>1046.4000000000001</v>
      </c>
      <c r="AG24" s="248">
        <v>1055.0999999999999</v>
      </c>
      <c r="AH24" s="248">
        <v>1062.9000000000001</v>
      </c>
      <c r="AI24" s="248"/>
      <c r="AJ24" s="248"/>
      <c r="AK24" s="246">
        <v>-6</v>
      </c>
    </row>
    <row r="25" spans="1:37">
      <c r="B25" s="3">
        <f>'NW wg PN-EN-12828'!K11</f>
        <v>5</v>
      </c>
      <c r="C25" s="3">
        <v>1</v>
      </c>
      <c r="D25" s="3">
        <f>VLOOKUP(C25,A26:C38,3,0)</f>
        <v>0</v>
      </c>
      <c r="E25" s="3">
        <f>'NW wg PN-EN-12828'!K9</f>
        <v>75</v>
      </c>
      <c r="F25" s="3" t="str">
        <f>VLOOKUP(C25,A26:C38,2,0)</f>
        <v>woda</v>
      </c>
      <c r="G25" s="3">
        <f>'NW wg PN-EN-12828'!K13</f>
        <v>10</v>
      </c>
      <c r="I25" s="246">
        <v>-5</v>
      </c>
      <c r="J25" s="248"/>
      <c r="L25" s="248">
        <v>1033.5999999999999</v>
      </c>
      <c r="M25" s="248">
        <v>1042.3</v>
      </c>
      <c r="N25" s="248">
        <v>1049.5999999999999</v>
      </c>
      <c r="O25" s="248">
        <v>1059.7</v>
      </c>
      <c r="P25" s="248">
        <v>1066.7</v>
      </c>
      <c r="R25" s="248">
        <v>1031.9000000000001</v>
      </c>
      <c r="S25" s="248">
        <v>1037.3</v>
      </c>
      <c r="T25" s="248">
        <v>1041.9000000000001</v>
      </c>
      <c r="U25" s="248">
        <v>1045.8</v>
      </c>
      <c r="V25" s="248">
        <v>1049.4000000000001</v>
      </c>
      <c r="W25" s="246">
        <v>-5</v>
      </c>
      <c r="Y25" s="246">
        <v>-5</v>
      </c>
      <c r="Z25" s="248"/>
      <c r="AA25" s="248"/>
      <c r="AB25" s="248">
        <v>1014.9</v>
      </c>
      <c r="AC25" s="248">
        <v>1022.6</v>
      </c>
      <c r="AD25" s="248">
        <v>1030.5</v>
      </c>
      <c r="AE25" s="248">
        <v>1038.4000000000001</v>
      </c>
      <c r="AF25" s="248">
        <v>1046.2</v>
      </c>
      <c r="AG25" s="248">
        <v>1054.8</v>
      </c>
      <c r="AH25" s="248">
        <v>1062.5</v>
      </c>
      <c r="AI25" s="248"/>
      <c r="AJ25" s="248"/>
      <c r="AK25" s="246">
        <v>-5</v>
      </c>
    </row>
    <row r="26" spans="1:37">
      <c r="A26" s="3">
        <v>1</v>
      </c>
      <c r="B26" s="3" t="s">
        <v>6</v>
      </c>
      <c r="C26" s="3">
        <v>0</v>
      </c>
      <c r="I26" s="246">
        <v>-4</v>
      </c>
      <c r="J26" s="248"/>
      <c r="L26" s="248">
        <v>1033.4000000000001</v>
      </c>
      <c r="M26" s="248">
        <v>1042.0999999999999</v>
      </c>
      <c r="N26" s="248">
        <v>1049.4000000000001</v>
      </c>
      <c r="O26" s="248">
        <v>1059.3</v>
      </c>
      <c r="P26" s="248">
        <v>1066.3</v>
      </c>
      <c r="R26" s="248">
        <v>1031.5999999999999</v>
      </c>
      <c r="S26" s="248">
        <v>1036.9000000000001</v>
      </c>
      <c r="T26" s="248">
        <v>1041.5</v>
      </c>
      <c r="U26" s="248">
        <v>1045.3</v>
      </c>
      <c r="V26" s="248">
        <v>1048.9000000000001</v>
      </c>
      <c r="W26" s="246">
        <v>-4</v>
      </c>
      <c r="Y26" s="246">
        <v>-4</v>
      </c>
      <c r="Z26" s="248"/>
      <c r="AA26" s="248"/>
      <c r="AB26" s="248">
        <v>1014.9</v>
      </c>
      <c r="AC26" s="248">
        <v>1022.4</v>
      </c>
      <c r="AD26" s="248">
        <v>1030.3</v>
      </c>
      <c r="AE26" s="248">
        <v>1038.2</v>
      </c>
      <c r="AF26" s="248">
        <v>1046</v>
      </c>
      <c r="AG26" s="248">
        <v>1054.5</v>
      </c>
      <c r="AH26" s="248">
        <v>1062.0999999999999</v>
      </c>
      <c r="AI26" s="248"/>
      <c r="AJ26" s="248"/>
      <c r="AK26" s="246">
        <v>-4</v>
      </c>
    </row>
    <row r="27" spans="1:37">
      <c r="A27" s="3">
        <v>2</v>
      </c>
      <c r="B27" s="474" t="s">
        <v>1015</v>
      </c>
      <c r="C27" s="3">
        <v>15</v>
      </c>
      <c r="I27" s="246">
        <v>-3</v>
      </c>
      <c r="J27" s="248"/>
      <c r="L27" s="248">
        <v>1033.2</v>
      </c>
      <c r="M27" s="248">
        <v>1041.9000000000001</v>
      </c>
      <c r="N27" s="248">
        <v>1049.0999999999999</v>
      </c>
      <c r="O27" s="248">
        <v>1059</v>
      </c>
      <c r="P27" s="248">
        <v>1065.9000000000001</v>
      </c>
      <c r="R27" s="248">
        <v>1031.2</v>
      </c>
      <c r="S27" s="248">
        <v>1036.4000000000001</v>
      </c>
      <c r="T27" s="248">
        <v>1041</v>
      </c>
      <c r="U27" s="248">
        <v>1044.8</v>
      </c>
      <c r="V27" s="248">
        <v>1048.4000000000001</v>
      </c>
      <c r="W27" s="246">
        <v>-3</v>
      </c>
      <c r="Y27" s="246">
        <v>-3</v>
      </c>
      <c r="Z27" s="248"/>
      <c r="AA27" s="248"/>
      <c r="AB27" s="248">
        <v>1014.9</v>
      </c>
      <c r="AC27" s="248">
        <v>1022.2</v>
      </c>
      <c r="AD27" s="248">
        <v>1030.0999999999999</v>
      </c>
      <c r="AE27" s="248">
        <v>1038</v>
      </c>
      <c r="AF27" s="248">
        <v>1045.8</v>
      </c>
      <c r="AG27" s="248">
        <v>1054.2</v>
      </c>
      <c r="AH27" s="248">
        <v>1061.7</v>
      </c>
      <c r="AI27" s="248"/>
      <c r="AJ27" s="248"/>
      <c r="AK27" s="246">
        <v>-3</v>
      </c>
    </row>
    <row r="28" spans="1:37">
      <c r="A28" s="3">
        <v>3</v>
      </c>
      <c r="B28" s="3" t="s">
        <v>672</v>
      </c>
      <c r="C28" s="3">
        <v>20</v>
      </c>
      <c r="I28" s="246">
        <v>-2</v>
      </c>
      <c r="J28" s="248"/>
      <c r="L28" s="248">
        <v>1033</v>
      </c>
      <c r="M28" s="248">
        <v>1041.7</v>
      </c>
      <c r="N28" s="248">
        <v>1048.9000000000001</v>
      </c>
      <c r="O28" s="248">
        <v>1058.5999999999999</v>
      </c>
      <c r="P28" s="248">
        <v>1065.5</v>
      </c>
      <c r="R28" s="248">
        <v>1030.8</v>
      </c>
      <c r="S28" s="248">
        <v>1036</v>
      </c>
      <c r="T28" s="248">
        <v>1040.5999999999999</v>
      </c>
      <c r="U28" s="248">
        <v>1044.3</v>
      </c>
      <c r="V28" s="248">
        <v>1047.9000000000001</v>
      </c>
      <c r="W28" s="246">
        <v>-2</v>
      </c>
      <c r="Y28" s="246">
        <v>-2</v>
      </c>
      <c r="Z28" s="248"/>
      <c r="AA28" s="248">
        <v>1007.5</v>
      </c>
      <c r="AB28" s="248">
        <v>1014.7</v>
      </c>
      <c r="AC28" s="248">
        <v>1022</v>
      </c>
      <c r="AD28" s="248">
        <v>1029.9000000000001</v>
      </c>
      <c r="AE28" s="248">
        <v>1037.8</v>
      </c>
      <c r="AF28" s="248">
        <v>1045.5999999999999</v>
      </c>
      <c r="AG28" s="248">
        <v>1053.9000000000001</v>
      </c>
      <c r="AH28" s="248">
        <v>1061.4000000000001</v>
      </c>
      <c r="AI28" s="248"/>
      <c r="AJ28" s="248"/>
      <c r="AK28" s="246">
        <v>-2</v>
      </c>
    </row>
    <row r="29" spans="1:37">
      <c r="A29" s="3">
        <v>4</v>
      </c>
      <c r="B29" s="3" t="s">
        <v>671</v>
      </c>
      <c r="C29" s="3">
        <v>25</v>
      </c>
      <c r="I29" s="246">
        <v>-1</v>
      </c>
      <c r="J29" s="248"/>
      <c r="L29" s="248">
        <v>1032.8</v>
      </c>
      <c r="M29" s="248">
        <v>1041.5</v>
      </c>
      <c r="N29" s="248">
        <v>1048.7</v>
      </c>
      <c r="O29" s="248">
        <v>1058.3</v>
      </c>
      <c r="P29" s="248">
        <v>1065.0999999999999</v>
      </c>
      <c r="R29" s="248">
        <v>1030.4000000000001</v>
      </c>
      <c r="S29" s="248">
        <v>1035.5999999999999</v>
      </c>
      <c r="T29" s="248">
        <v>1040.0999999999999</v>
      </c>
      <c r="U29" s="248">
        <v>1043.8</v>
      </c>
      <c r="V29" s="248">
        <v>1047.3</v>
      </c>
      <c r="W29" s="246">
        <v>-1</v>
      </c>
      <c r="Y29" s="246">
        <v>-1</v>
      </c>
      <c r="Z29" s="248"/>
      <c r="AA29" s="248">
        <v>1007.3</v>
      </c>
      <c r="AB29" s="248">
        <v>1014.5</v>
      </c>
      <c r="AC29" s="248">
        <v>1021.8</v>
      </c>
      <c r="AD29" s="248">
        <v>1029.7</v>
      </c>
      <c r="AE29" s="248">
        <v>1037.5999999999999</v>
      </c>
      <c r="AF29" s="248">
        <v>1045.4000000000001</v>
      </c>
      <c r="AG29" s="248">
        <v>1053.5999999999999</v>
      </c>
      <c r="AH29" s="248">
        <v>1061</v>
      </c>
      <c r="AI29" s="248"/>
      <c r="AJ29" s="248"/>
      <c r="AK29" s="246">
        <v>-1</v>
      </c>
    </row>
    <row r="30" spans="1:37">
      <c r="A30" s="3">
        <v>5</v>
      </c>
      <c r="B30" s="3" t="s">
        <v>670</v>
      </c>
      <c r="C30" s="3">
        <v>30</v>
      </c>
      <c r="E30" s="9" t="s">
        <v>158</v>
      </c>
      <c r="F30" s="3">
        <v>36</v>
      </c>
      <c r="I30" s="246">
        <v>0</v>
      </c>
      <c r="J30" s="248">
        <v>999.9</v>
      </c>
      <c r="L30" s="248">
        <v>1032.5999999999999</v>
      </c>
      <c r="M30" s="248">
        <v>1041.3</v>
      </c>
      <c r="N30" s="248">
        <v>1048.5</v>
      </c>
      <c r="O30" s="248">
        <v>1057.9000000000001</v>
      </c>
      <c r="P30" s="248">
        <v>1064.7</v>
      </c>
      <c r="R30" s="248">
        <v>1030</v>
      </c>
      <c r="S30" s="248">
        <v>1035.2</v>
      </c>
      <c r="T30" s="248">
        <v>1039.5999999999999</v>
      </c>
      <c r="U30" s="248">
        <v>1043.3</v>
      </c>
      <c r="V30" s="248">
        <v>1046.8</v>
      </c>
      <c r="W30" s="246">
        <v>0</v>
      </c>
      <c r="Y30" s="246">
        <v>0</v>
      </c>
      <c r="Z30" s="248">
        <v>999.9</v>
      </c>
      <c r="AA30" s="248">
        <v>1007.1</v>
      </c>
      <c r="AB30" s="248">
        <v>1014.3</v>
      </c>
      <c r="AC30" s="248">
        <v>1021.6</v>
      </c>
      <c r="AD30" s="248">
        <v>1029.5</v>
      </c>
      <c r="AE30" s="248">
        <v>1037.4000000000001</v>
      </c>
      <c r="AF30" s="248">
        <v>1045.2</v>
      </c>
      <c r="AG30" s="248">
        <v>1053.4000000000001</v>
      </c>
      <c r="AH30" s="248">
        <v>1060.5999999999999</v>
      </c>
      <c r="AI30" s="248"/>
      <c r="AJ30" s="248"/>
      <c r="AK30" s="246">
        <v>0</v>
      </c>
    </row>
    <row r="31" spans="1:37">
      <c r="A31" s="3">
        <v>6</v>
      </c>
      <c r="B31" s="3" t="s">
        <v>669</v>
      </c>
      <c r="C31" s="3">
        <v>35</v>
      </c>
      <c r="E31" s="9" t="s">
        <v>157</v>
      </c>
      <c r="F31" s="15">
        <f>F30/10</f>
        <v>3.6</v>
      </c>
      <c r="I31" s="5">
        <v>1</v>
      </c>
      <c r="J31" s="247">
        <v>999.9</v>
      </c>
      <c r="L31" s="247">
        <v>1032.4000000000001</v>
      </c>
      <c r="M31" s="248">
        <v>1041</v>
      </c>
      <c r="N31" s="247">
        <v>1048.0999999999999</v>
      </c>
      <c r="O31" s="248">
        <v>1057.5</v>
      </c>
      <c r="P31" s="247">
        <v>1064.2</v>
      </c>
      <c r="R31" s="248">
        <v>1029.5999999999999</v>
      </c>
      <c r="S31" s="248">
        <v>1034.7</v>
      </c>
      <c r="T31" s="247">
        <v>1039.0999999999999</v>
      </c>
      <c r="U31" s="248">
        <v>1042.7</v>
      </c>
      <c r="V31" s="248">
        <v>1046.2</v>
      </c>
      <c r="W31" s="5">
        <v>1</v>
      </c>
      <c r="Y31" s="5">
        <v>1</v>
      </c>
      <c r="Z31" s="247">
        <v>999.9</v>
      </c>
      <c r="AA31" s="247">
        <v>1007</v>
      </c>
      <c r="AB31" s="248">
        <v>1014.2</v>
      </c>
      <c r="AC31" s="247">
        <v>1021.5</v>
      </c>
      <c r="AD31" s="248">
        <v>1029.3</v>
      </c>
      <c r="AE31" s="247">
        <v>1037.0999999999999</v>
      </c>
      <c r="AF31" s="248">
        <v>1044.9000000000001</v>
      </c>
      <c r="AG31" s="247">
        <v>1053</v>
      </c>
      <c r="AH31" s="248">
        <v>1060.2</v>
      </c>
      <c r="AI31" s="247"/>
      <c r="AJ31" s="248"/>
      <c r="AK31" s="8">
        <f>Y31</f>
        <v>1</v>
      </c>
    </row>
    <row r="32" spans="1:37" ht="15.6">
      <c r="A32" s="3">
        <v>7</v>
      </c>
      <c r="B32" s="3" t="s">
        <v>668</v>
      </c>
      <c r="C32" s="3">
        <v>40</v>
      </c>
      <c r="E32" s="1" t="s">
        <v>61</v>
      </c>
      <c r="F32" s="15">
        <f>'NW wg PN-EN-12828'!E209-(('NW wg PN-EN-12828'!E209*('NW wg PN-EN-12828'!E210+1))/('NW wg PN-EN-12828'!E211+1))</f>
        <v>3.1499999999999346</v>
      </c>
      <c r="I32" s="5">
        <v>2</v>
      </c>
      <c r="J32" s="247">
        <v>999.9</v>
      </c>
      <c r="L32" s="247">
        <v>1032.3</v>
      </c>
      <c r="M32" s="248">
        <v>1040.8</v>
      </c>
      <c r="N32" s="247">
        <v>1047.8</v>
      </c>
      <c r="O32" s="248">
        <v>1057.0999999999999</v>
      </c>
      <c r="P32" s="247">
        <v>1063.8</v>
      </c>
      <c r="R32" s="247">
        <v>1029.0999999999999</v>
      </c>
      <c r="S32" s="248">
        <v>1034.3</v>
      </c>
      <c r="T32" s="247">
        <v>1038.5999999999999</v>
      </c>
      <c r="U32" s="248">
        <v>1042.2</v>
      </c>
      <c r="V32" s="248">
        <v>1045.7</v>
      </c>
      <c r="W32" s="5">
        <v>2</v>
      </c>
      <c r="Y32" s="5">
        <v>2</v>
      </c>
      <c r="Z32" s="247">
        <v>999.9</v>
      </c>
      <c r="AA32" s="247">
        <v>1007</v>
      </c>
      <c r="AB32" s="248">
        <v>1014.1</v>
      </c>
      <c r="AC32" s="247">
        <v>1021.4</v>
      </c>
      <c r="AD32" s="248">
        <v>1029.0999999999999</v>
      </c>
      <c r="AE32" s="247">
        <v>1036.9000000000001</v>
      </c>
      <c r="AF32" s="248">
        <v>1044.5999999999999</v>
      </c>
      <c r="AG32" s="247">
        <v>1052.5999999999999</v>
      </c>
      <c r="AH32" s="248">
        <v>1059.8</v>
      </c>
      <c r="AI32" s="247"/>
      <c r="AJ32" s="248"/>
      <c r="AK32" s="8">
        <f t="shared" ref="AK32:AK95" si="0">Y32</f>
        <v>2</v>
      </c>
    </row>
    <row r="33" spans="1:37">
      <c r="A33" s="3">
        <v>8</v>
      </c>
      <c r="B33" s="474" t="s">
        <v>1016</v>
      </c>
      <c r="C33" s="3">
        <v>15</v>
      </c>
      <c r="E33" s="9" t="s">
        <v>217</v>
      </c>
      <c r="F33" s="31">
        <f>0.7*('NW wg PN-EN-12828'!E171)^0.5</f>
        <v>2.5166658287746064</v>
      </c>
      <c r="I33" s="5">
        <v>3</v>
      </c>
      <c r="J33" s="247">
        <v>1000</v>
      </c>
      <c r="L33" s="247">
        <v>1032.0999999999999</v>
      </c>
      <c r="M33" s="248">
        <v>1040.5</v>
      </c>
      <c r="N33" s="247">
        <v>1047.5</v>
      </c>
      <c r="O33" s="248">
        <v>1056.7</v>
      </c>
      <c r="P33" s="247">
        <v>1063.4000000000001</v>
      </c>
      <c r="R33" s="247">
        <v>1028.7</v>
      </c>
      <c r="S33" s="248">
        <v>1033.8</v>
      </c>
      <c r="T33" s="247">
        <v>1038.0999999999999</v>
      </c>
      <c r="U33" s="248">
        <v>1041.7</v>
      </c>
      <c r="V33" s="248">
        <v>1045.0999999999999</v>
      </c>
      <c r="W33" s="5">
        <v>3</v>
      </c>
      <c r="Y33" s="5">
        <v>3</v>
      </c>
      <c r="Z33" s="247">
        <v>1000</v>
      </c>
      <c r="AA33" s="247">
        <v>1006.9</v>
      </c>
      <c r="AB33" s="248">
        <v>1014</v>
      </c>
      <c r="AC33" s="247">
        <v>1021.2</v>
      </c>
      <c r="AD33" s="248">
        <v>1029</v>
      </c>
      <c r="AE33" s="247">
        <v>1036.7</v>
      </c>
      <c r="AF33" s="248">
        <v>1044.3</v>
      </c>
      <c r="AG33" s="247">
        <v>1052.2</v>
      </c>
      <c r="AH33" s="248">
        <v>1059.4000000000001</v>
      </c>
      <c r="AI33" s="247"/>
      <c r="AJ33" s="248"/>
      <c r="AK33" s="8">
        <f t="shared" si="0"/>
        <v>3</v>
      </c>
    </row>
    <row r="34" spans="1:37" ht="15.6">
      <c r="A34" s="3">
        <v>9</v>
      </c>
      <c r="B34" s="3" t="s">
        <v>673</v>
      </c>
      <c r="C34" s="3">
        <v>20</v>
      </c>
      <c r="E34" s="249" t="s">
        <v>641</v>
      </c>
      <c r="F34" s="3">
        <f>INDEX(J4:V180,MATCH(E25,I4:I180,0),MATCH(C25,J3:V3,0))</f>
        <v>974.8</v>
      </c>
      <c r="I34" s="5">
        <v>4</v>
      </c>
      <c r="J34" s="247">
        <v>1000</v>
      </c>
      <c r="L34" s="247">
        <v>1031.9000000000001</v>
      </c>
      <c r="M34" s="248">
        <v>1040.3</v>
      </c>
      <c r="N34" s="247">
        <v>1047.0999999999999</v>
      </c>
      <c r="O34" s="248">
        <v>1056.3</v>
      </c>
      <c r="P34" s="247">
        <v>1062.9000000000001</v>
      </c>
      <c r="R34" s="247">
        <v>1028.3</v>
      </c>
      <c r="S34" s="248">
        <v>1033.3</v>
      </c>
      <c r="T34" s="247">
        <v>1037.5999999999999</v>
      </c>
      <c r="U34" s="248">
        <v>1041.2</v>
      </c>
      <c r="V34" s="248">
        <v>1044.5999999999999</v>
      </c>
      <c r="W34" s="5">
        <v>4</v>
      </c>
      <c r="Y34" s="5">
        <v>4</v>
      </c>
      <c r="Z34" s="247">
        <v>1000</v>
      </c>
      <c r="AA34" s="247">
        <v>1006.9</v>
      </c>
      <c r="AB34" s="248">
        <v>1013.9</v>
      </c>
      <c r="AC34" s="247">
        <v>1021.1</v>
      </c>
      <c r="AD34" s="248">
        <v>1028.8</v>
      </c>
      <c r="AE34" s="247">
        <v>1036.5</v>
      </c>
      <c r="AF34" s="248">
        <v>1044</v>
      </c>
      <c r="AG34" s="247">
        <v>1051.8</v>
      </c>
      <c r="AH34" s="248">
        <v>1059</v>
      </c>
      <c r="AI34" s="247"/>
      <c r="AJ34" s="248"/>
      <c r="AK34" s="8">
        <f t="shared" si="0"/>
        <v>4</v>
      </c>
    </row>
    <row r="35" spans="1:37" ht="15.6">
      <c r="A35" s="3">
        <v>10</v>
      </c>
      <c r="B35" s="3" t="s">
        <v>674</v>
      </c>
      <c r="C35" s="3">
        <v>25</v>
      </c>
      <c r="E35" s="249" t="s">
        <v>642</v>
      </c>
      <c r="F35" s="3">
        <f>INDEX(J4:V180,MATCH(B25,I4:I180,0),MATCH(C25,J3:V3,0))</f>
        <v>1000</v>
      </c>
      <c r="I35" s="5">
        <v>5</v>
      </c>
      <c r="J35" s="247">
        <v>1000</v>
      </c>
      <c r="L35" s="247">
        <v>1031.7</v>
      </c>
      <c r="M35" s="248">
        <v>1040</v>
      </c>
      <c r="N35" s="247">
        <v>1046.8</v>
      </c>
      <c r="O35" s="248">
        <v>1055.9000000000001</v>
      </c>
      <c r="P35" s="247">
        <v>1062.5</v>
      </c>
      <c r="R35" s="247">
        <v>1027.9000000000001</v>
      </c>
      <c r="S35" s="248">
        <v>1032.9000000000001</v>
      </c>
      <c r="T35" s="247">
        <v>1037.0999999999999</v>
      </c>
      <c r="U35" s="248">
        <v>1040.5999999999999</v>
      </c>
      <c r="V35" s="248">
        <v>1044</v>
      </c>
      <c r="W35" s="5">
        <v>5</v>
      </c>
      <c r="Y35" s="5">
        <v>5</v>
      </c>
      <c r="Z35" s="247">
        <v>1000</v>
      </c>
      <c r="AA35" s="247">
        <v>1006.8</v>
      </c>
      <c r="AB35" s="248">
        <v>1013.9</v>
      </c>
      <c r="AC35" s="247">
        <v>1021</v>
      </c>
      <c r="AD35" s="248">
        <v>1028.7</v>
      </c>
      <c r="AE35" s="247">
        <v>1036.3</v>
      </c>
      <c r="AF35" s="248">
        <v>1043.8</v>
      </c>
      <c r="AG35" s="247">
        <v>1051.5</v>
      </c>
      <c r="AH35" s="248">
        <v>1058.5999999999999</v>
      </c>
      <c r="AI35" s="247"/>
      <c r="AJ35" s="248"/>
      <c r="AK35" s="8">
        <f t="shared" si="0"/>
        <v>5</v>
      </c>
    </row>
    <row r="36" spans="1:37" ht="15.6">
      <c r="A36" s="3">
        <v>11</v>
      </c>
      <c r="B36" s="3" t="s">
        <v>675</v>
      </c>
      <c r="C36" s="3">
        <v>30</v>
      </c>
      <c r="E36" s="3" t="s">
        <v>644</v>
      </c>
      <c r="F36" s="3">
        <f>1/F34</f>
        <v>1.0258514567090685E-3</v>
      </c>
      <c r="I36" s="5">
        <v>6</v>
      </c>
      <c r="J36" s="247">
        <v>999.9</v>
      </c>
      <c r="L36" s="247">
        <v>1031.5</v>
      </c>
      <c r="M36" s="248">
        <v>1039.7</v>
      </c>
      <c r="N36" s="247">
        <v>1046.5</v>
      </c>
      <c r="O36" s="248">
        <v>1055.5</v>
      </c>
      <c r="P36" s="247">
        <v>1062.0999999999999</v>
      </c>
      <c r="R36" s="247">
        <v>1027.4000000000001</v>
      </c>
      <c r="S36" s="248">
        <v>1032.4000000000001</v>
      </c>
      <c r="T36" s="247">
        <v>1036.5999999999999</v>
      </c>
      <c r="U36" s="248">
        <v>1040.0999999999999</v>
      </c>
      <c r="V36" s="248">
        <v>1043.5</v>
      </c>
      <c r="W36" s="5">
        <v>6</v>
      </c>
      <c r="Y36" s="5">
        <v>6</v>
      </c>
      <c r="Z36" s="247">
        <v>999.9</v>
      </c>
      <c r="AA36" s="247">
        <v>1006.8</v>
      </c>
      <c r="AB36" s="248">
        <v>1013.8</v>
      </c>
      <c r="AC36" s="247">
        <v>1020.9</v>
      </c>
      <c r="AD36" s="248">
        <v>1028.5</v>
      </c>
      <c r="AE36" s="247">
        <v>1036</v>
      </c>
      <c r="AF36" s="248">
        <v>1043.5</v>
      </c>
      <c r="AG36" s="247">
        <v>1051.0999999999999</v>
      </c>
      <c r="AH36" s="248">
        <v>1058.2</v>
      </c>
      <c r="AI36" s="247"/>
      <c r="AJ36" s="248"/>
      <c r="AK36" s="8">
        <f t="shared" si="0"/>
        <v>6</v>
      </c>
    </row>
    <row r="37" spans="1:37" ht="15.6">
      <c r="A37" s="3">
        <v>12</v>
      </c>
      <c r="B37" s="3" t="s">
        <v>676</v>
      </c>
      <c r="C37" s="3">
        <v>35</v>
      </c>
      <c r="E37" s="3" t="s">
        <v>645</v>
      </c>
      <c r="F37" s="3">
        <f>1/F35</f>
        <v>1E-3</v>
      </c>
      <c r="I37" s="5">
        <v>7</v>
      </c>
      <c r="J37" s="247">
        <v>999.9</v>
      </c>
      <c r="L37" s="247">
        <v>1031.3</v>
      </c>
      <c r="M37" s="248">
        <v>1039.5</v>
      </c>
      <c r="N37" s="247">
        <v>1046.2</v>
      </c>
      <c r="O37" s="248">
        <v>1055.0999999999999</v>
      </c>
      <c r="P37" s="247">
        <v>1061.5999999999999</v>
      </c>
      <c r="R37" s="247">
        <v>1027</v>
      </c>
      <c r="S37" s="248">
        <v>1031.9000000000001</v>
      </c>
      <c r="T37" s="247">
        <v>1036.0999999999999</v>
      </c>
      <c r="U37" s="248">
        <v>1039.5999999999999</v>
      </c>
      <c r="V37" s="248">
        <v>1042.9000000000001</v>
      </c>
      <c r="W37" s="5">
        <v>7</v>
      </c>
      <c r="Y37" s="5">
        <v>7</v>
      </c>
      <c r="Z37" s="247">
        <v>999.9</v>
      </c>
      <c r="AA37" s="247">
        <v>1006.7</v>
      </c>
      <c r="AB37" s="248">
        <v>1013.7</v>
      </c>
      <c r="AC37" s="247">
        <v>1020.8</v>
      </c>
      <c r="AD37" s="248">
        <v>1028.3</v>
      </c>
      <c r="AE37" s="247">
        <v>1035.8</v>
      </c>
      <c r="AF37" s="248">
        <v>1043.2</v>
      </c>
      <c r="AG37" s="247">
        <v>1050.7</v>
      </c>
      <c r="AH37" s="248">
        <v>1057.8</v>
      </c>
      <c r="AI37" s="247"/>
      <c r="AJ37" s="248"/>
      <c r="AK37" s="8">
        <f t="shared" si="0"/>
        <v>7</v>
      </c>
    </row>
    <row r="38" spans="1:37">
      <c r="A38" s="3">
        <v>13</v>
      </c>
      <c r="B38" s="3" t="s">
        <v>677</v>
      </c>
      <c r="C38" s="3">
        <v>40</v>
      </c>
      <c r="E38" s="250" t="s">
        <v>646</v>
      </c>
      <c r="F38" s="251">
        <f>ABS(F36-F37)</f>
        <v>2.5851456709068479E-5</v>
      </c>
      <c r="I38" s="5">
        <v>8</v>
      </c>
      <c r="J38" s="247">
        <v>999.8</v>
      </c>
      <c r="L38" s="247">
        <v>1031.2</v>
      </c>
      <c r="M38" s="248">
        <v>1039.2</v>
      </c>
      <c r="N38" s="247">
        <v>1045.8</v>
      </c>
      <c r="O38" s="248">
        <v>1054.7</v>
      </c>
      <c r="P38" s="247">
        <v>1061.2</v>
      </c>
      <c r="R38" s="247">
        <v>1026.5999999999999</v>
      </c>
      <c r="S38" s="248">
        <v>1031.5</v>
      </c>
      <c r="T38" s="247">
        <v>1035.5999999999999</v>
      </c>
      <c r="U38" s="248">
        <v>1039.0999999999999</v>
      </c>
      <c r="V38" s="248">
        <v>1042.4000000000001</v>
      </c>
      <c r="W38" s="5">
        <v>8</v>
      </c>
      <c r="Y38" s="5">
        <v>8</v>
      </c>
      <c r="Z38" s="247">
        <v>999.8</v>
      </c>
      <c r="AA38" s="247">
        <v>1006.7</v>
      </c>
      <c r="AB38" s="248">
        <v>1013.6</v>
      </c>
      <c r="AC38" s="247">
        <v>1020.7</v>
      </c>
      <c r="AD38" s="248">
        <v>1028.2</v>
      </c>
      <c r="AE38" s="247">
        <v>1035.5999999999999</v>
      </c>
      <c r="AF38" s="248">
        <v>1042.9000000000001</v>
      </c>
      <c r="AG38" s="247">
        <v>1050.3</v>
      </c>
      <c r="AH38" s="248">
        <v>1057.4000000000001</v>
      </c>
      <c r="AI38" s="247"/>
      <c r="AJ38" s="248"/>
      <c r="AK38" s="8">
        <f t="shared" si="0"/>
        <v>8</v>
      </c>
    </row>
    <row r="39" spans="1:37">
      <c r="E39" s="9" t="s">
        <v>59</v>
      </c>
      <c r="F39" s="3">
        <f>F35*F38</f>
        <v>2.5851456709068479E-2</v>
      </c>
      <c r="I39" s="5">
        <v>9</v>
      </c>
      <c r="J39" s="247">
        <v>999.8</v>
      </c>
      <c r="L39" s="247">
        <v>1031</v>
      </c>
      <c r="M39" s="248">
        <v>1039</v>
      </c>
      <c r="N39" s="247">
        <v>1045.5</v>
      </c>
      <c r="O39" s="248">
        <v>1054.3</v>
      </c>
      <c r="P39" s="247">
        <v>1060.8</v>
      </c>
      <c r="R39" s="247">
        <v>1026.2</v>
      </c>
      <c r="S39" s="248">
        <v>1031</v>
      </c>
      <c r="T39" s="247">
        <v>1035.0999999999999</v>
      </c>
      <c r="U39" s="248">
        <v>1038.5</v>
      </c>
      <c r="V39" s="248">
        <v>1041.8</v>
      </c>
      <c r="W39" s="5">
        <v>9</v>
      </c>
      <c r="Y39" s="5">
        <v>9</v>
      </c>
      <c r="Z39" s="247">
        <v>999.8</v>
      </c>
      <c r="AA39" s="247">
        <v>1006.6</v>
      </c>
      <c r="AB39" s="248">
        <v>1013.6</v>
      </c>
      <c r="AC39" s="247">
        <v>1020.6</v>
      </c>
      <c r="AD39" s="248">
        <v>1028</v>
      </c>
      <c r="AE39" s="247">
        <v>1035.4000000000001</v>
      </c>
      <c r="AF39" s="248">
        <v>1042.5999999999999</v>
      </c>
      <c r="AG39" s="247">
        <v>1049.9000000000001</v>
      </c>
      <c r="AH39" s="248">
        <v>1057</v>
      </c>
      <c r="AI39" s="247"/>
      <c r="AJ39" s="248"/>
      <c r="AK39" s="8">
        <f t="shared" si="0"/>
        <v>9</v>
      </c>
    </row>
    <row r="40" spans="1:37">
      <c r="B40" s="9" t="s">
        <v>16</v>
      </c>
      <c r="C40" s="3">
        <v>30</v>
      </c>
      <c r="I40" s="5">
        <v>10</v>
      </c>
      <c r="J40" s="247">
        <v>999.7</v>
      </c>
      <c r="L40" s="247">
        <v>1030.8</v>
      </c>
      <c r="M40" s="248">
        <v>1038.7</v>
      </c>
      <c r="N40" s="247">
        <v>1045.2</v>
      </c>
      <c r="O40" s="248">
        <v>1053.9000000000001</v>
      </c>
      <c r="P40" s="247">
        <v>1060.3</v>
      </c>
      <c r="R40" s="247">
        <v>1025.7</v>
      </c>
      <c r="S40" s="248">
        <v>1030.5</v>
      </c>
      <c r="T40" s="247">
        <v>1034.7</v>
      </c>
      <c r="U40" s="248">
        <v>1038</v>
      </c>
      <c r="V40" s="248">
        <v>1041.2</v>
      </c>
      <c r="W40" s="5">
        <v>10</v>
      </c>
      <c r="Y40" s="5">
        <v>10</v>
      </c>
      <c r="Z40" s="247">
        <v>999.7</v>
      </c>
      <c r="AA40" s="247">
        <v>1006.6</v>
      </c>
      <c r="AB40" s="248">
        <v>1013.5</v>
      </c>
      <c r="AC40" s="247">
        <v>1020.5</v>
      </c>
      <c r="AD40" s="248">
        <v>1027.8</v>
      </c>
      <c r="AE40" s="247">
        <v>1035.0999999999999</v>
      </c>
      <c r="AF40" s="248">
        <v>1042.3</v>
      </c>
      <c r="AG40" s="247">
        <v>1049.5</v>
      </c>
      <c r="AH40" s="248">
        <v>1056.5999999999999</v>
      </c>
      <c r="AI40" s="247"/>
      <c r="AJ40" s="248"/>
      <c r="AK40" s="8">
        <f t="shared" si="0"/>
        <v>10</v>
      </c>
    </row>
    <row r="41" spans="1:37">
      <c r="I41" s="5">
        <v>11</v>
      </c>
      <c r="J41" s="247">
        <v>999.6</v>
      </c>
      <c r="L41" s="247">
        <v>1030.5</v>
      </c>
      <c r="M41" s="248">
        <v>1038.4000000000001</v>
      </c>
      <c r="N41" s="247">
        <v>1044.8</v>
      </c>
      <c r="O41" s="248">
        <v>1053.5</v>
      </c>
      <c r="P41" s="247">
        <v>1059.9000000000001</v>
      </c>
      <c r="R41" s="247">
        <v>1025.3</v>
      </c>
      <c r="S41" s="248">
        <v>1030</v>
      </c>
      <c r="T41" s="247">
        <v>1034.0999999999999</v>
      </c>
      <c r="U41" s="248">
        <v>1037.4000000000001</v>
      </c>
      <c r="V41" s="248">
        <v>1040.7</v>
      </c>
      <c r="W41" s="5">
        <v>11</v>
      </c>
      <c r="Y41" s="5">
        <v>11</v>
      </c>
      <c r="Z41" s="247">
        <v>999.6</v>
      </c>
      <c r="AA41" s="247">
        <v>1006.4</v>
      </c>
      <c r="AB41" s="248">
        <v>1013.3</v>
      </c>
      <c r="AC41" s="247">
        <v>1020.3</v>
      </c>
      <c r="AD41" s="248">
        <v>1027.5999999999999</v>
      </c>
      <c r="AE41" s="247">
        <v>1034.8</v>
      </c>
      <c r="AF41" s="248">
        <v>1041.9000000000001</v>
      </c>
      <c r="AG41" s="247">
        <v>1049.0999999999999</v>
      </c>
      <c r="AH41" s="248">
        <v>1056.2</v>
      </c>
      <c r="AI41" s="247"/>
      <c r="AJ41" s="248"/>
      <c r="AK41" s="8">
        <f t="shared" si="0"/>
        <v>11</v>
      </c>
    </row>
    <row r="42" spans="1:37">
      <c r="I42" s="5">
        <v>12</v>
      </c>
      <c r="J42" s="247">
        <v>999.4</v>
      </c>
      <c r="L42" s="247">
        <v>1030.2</v>
      </c>
      <c r="M42" s="248">
        <v>1038</v>
      </c>
      <c r="N42" s="247">
        <v>1044.4000000000001</v>
      </c>
      <c r="O42" s="248">
        <v>1053.0999999999999</v>
      </c>
      <c r="P42" s="247">
        <v>1059.5</v>
      </c>
      <c r="R42" s="247">
        <v>1024.8</v>
      </c>
      <c r="S42" s="248">
        <v>1029.5</v>
      </c>
      <c r="T42" s="247">
        <v>1033.5999999999999</v>
      </c>
      <c r="U42" s="248">
        <v>1036.9000000000001</v>
      </c>
      <c r="V42" s="248">
        <v>1040.0999999999999</v>
      </c>
      <c r="W42" s="5">
        <v>12</v>
      </c>
      <c r="Y42" s="5">
        <v>12</v>
      </c>
      <c r="Z42" s="247">
        <v>999.4</v>
      </c>
      <c r="AA42" s="247">
        <v>1006.3</v>
      </c>
      <c r="AB42" s="248">
        <v>1013.1</v>
      </c>
      <c r="AC42" s="247">
        <v>1020.1</v>
      </c>
      <c r="AD42" s="248">
        <v>1027.3</v>
      </c>
      <c r="AE42" s="247">
        <v>1034.5</v>
      </c>
      <c r="AF42" s="248">
        <v>1041.5</v>
      </c>
      <c r="AG42" s="247">
        <v>1048.7</v>
      </c>
      <c r="AH42" s="248">
        <v>1055.8</v>
      </c>
      <c r="AI42" s="247"/>
      <c r="AJ42" s="248"/>
      <c r="AK42" s="8">
        <f t="shared" si="0"/>
        <v>12</v>
      </c>
    </row>
    <row r="43" spans="1:37">
      <c r="I43" s="5">
        <v>13</v>
      </c>
      <c r="J43" s="247">
        <v>999.3</v>
      </c>
      <c r="L43" s="247">
        <v>1029.9000000000001</v>
      </c>
      <c r="M43" s="248">
        <v>1037.5999999999999</v>
      </c>
      <c r="N43" s="247">
        <v>1044</v>
      </c>
      <c r="O43" s="248">
        <v>1052.7</v>
      </c>
      <c r="P43" s="247">
        <v>1059</v>
      </c>
      <c r="R43" s="247">
        <v>1024.4000000000001</v>
      </c>
      <c r="S43" s="248">
        <v>1029</v>
      </c>
      <c r="T43" s="247">
        <v>1033</v>
      </c>
      <c r="U43" s="248">
        <v>1036.3</v>
      </c>
      <c r="V43" s="248">
        <v>1039.5</v>
      </c>
      <c r="W43" s="5">
        <v>13</v>
      </c>
      <c r="Y43" s="5">
        <v>13</v>
      </c>
      <c r="Z43" s="247">
        <v>999.3</v>
      </c>
      <c r="AA43" s="247">
        <v>1006.1</v>
      </c>
      <c r="AB43" s="248">
        <v>1012.9</v>
      </c>
      <c r="AC43" s="247">
        <v>1019.8</v>
      </c>
      <c r="AD43" s="248">
        <v>1027.0999999999999</v>
      </c>
      <c r="AE43" s="247">
        <v>1034.2</v>
      </c>
      <c r="AF43" s="248">
        <v>1041.0999999999999</v>
      </c>
      <c r="AG43" s="247">
        <v>1048.3</v>
      </c>
      <c r="AH43" s="248">
        <v>1055.4000000000001</v>
      </c>
      <c r="AI43" s="247"/>
      <c r="AJ43" s="248"/>
      <c r="AK43" s="8">
        <f t="shared" si="0"/>
        <v>13</v>
      </c>
    </row>
    <row r="44" spans="1:37">
      <c r="B44" s="9" t="s">
        <v>17</v>
      </c>
      <c r="C44" s="10">
        <f>IF(D44&gt;E44,D44,E44)</f>
        <v>2</v>
      </c>
      <c r="D44" s="10">
        <f>IF('NW wg PN-EN-12828'!K19&lt;38,'NW wg PN-EN-12828'!K19/10+1.3,('NW wg PN-EN-12828'!K19/10+1)/0.9)</f>
        <v>2</v>
      </c>
      <c r="E44" s="10">
        <f>IF('NW wg PN-EN-12828'!K21&gt;5,('NW wg PN-EN-12828'!E99+0.1*'NW wg PN-EN-12828'!K21)+0.5,'NW wg PN-EN-12828'!E99+1)</f>
        <v>2</v>
      </c>
      <c r="I44" s="5">
        <v>14</v>
      </c>
      <c r="J44" s="247">
        <v>999.1</v>
      </c>
      <c r="L44" s="247">
        <v>1029.7</v>
      </c>
      <c r="M44" s="248">
        <v>1037.3</v>
      </c>
      <c r="N44" s="247">
        <v>1043.5999999999999</v>
      </c>
      <c r="O44" s="248">
        <v>1052.3</v>
      </c>
      <c r="P44" s="247">
        <v>1058.5999999999999</v>
      </c>
      <c r="R44" s="247">
        <v>1023.9</v>
      </c>
      <c r="S44" s="248">
        <v>1028.5</v>
      </c>
      <c r="T44" s="247">
        <v>1032.5</v>
      </c>
      <c r="U44" s="248">
        <v>1035.8</v>
      </c>
      <c r="V44" s="248">
        <v>1038.9000000000001</v>
      </c>
      <c r="W44" s="5">
        <v>14</v>
      </c>
      <c r="Y44" s="5">
        <v>14</v>
      </c>
      <c r="Z44" s="247">
        <v>999.1</v>
      </c>
      <c r="AA44" s="247">
        <v>1005.9</v>
      </c>
      <c r="AB44" s="248">
        <v>1012.7</v>
      </c>
      <c r="AC44" s="247">
        <v>1019.6</v>
      </c>
      <c r="AD44" s="248">
        <v>1026.8</v>
      </c>
      <c r="AE44" s="247">
        <v>1033.9000000000001</v>
      </c>
      <c r="AF44" s="248">
        <v>1040.7</v>
      </c>
      <c r="AG44" s="247">
        <v>1047.9000000000001</v>
      </c>
      <c r="AH44" s="248">
        <v>1055</v>
      </c>
      <c r="AI44" s="247"/>
      <c r="AJ44" s="248"/>
      <c r="AK44" s="8">
        <f t="shared" si="0"/>
        <v>14</v>
      </c>
    </row>
    <row r="45" spans="1:37">
      <c r="C45" s="3">
        <f>IF(C46,1,0)</f>
        <v>0</v>
      </c>
      <c r="I45" s="5">
        <v>15</v>
      </c>
      <c r="J45" s="247">
        <v>999</v>
      </c>
      <c r="L45" s="247">
        <v>1029.4000000000001</v>
      </c>
      <c r="M45" s="248">
        <v>1036.9000000000001</v>
      </c>
      <c r="N45" s="247">
        <v>1043.2</v>
      </c>
      <c r="O45" s="248">
        <v>1051.9000000000001</v>
      </c>
      <c r="P45" s="247">
        <v>1058.2</v>
      </c>
      <c r="R45" s="247">
        <v>1023.4</v>
      </c>
      <c r="S45" s="248">
        <v>1028</v>
      </c>
      <c r="T45" s="247">
        <v>1032</v>
      </c>
      <c r="U45" s="248">
        <v>1035.2</v>
      </c>
      <c r="V45" s="248">
        <v>1038.3</v>
      </c>
      <c r="W45" s="5">
        <v>15</v>
      </c>
      <c r="Y45" s="5">
        <v>15</v>
      </c>
      <c r="Z45" s="247">
        <v>999</v>
      </c>
      <c r="AA45" s="247">
        <v>1005.8</v>
      </c>
      <c r="AB45" s="248">
        <v>1012.6</v>
      </c>
      <c r="AC45" s="247">
        <v>1019.4</v>
      </c>
      <c r="AD45" s="248">
        <v>1026.5</v>
      </c>
      <c r="AE45" s="247">
        <v>1033.5</v>
      </c>
      <c r="AF45" s="248">
        <v>1040.3</v>
      </c>
      <c r="AG45" s="247">
        <v>1047.5</v>
      </c>
      <c r="AH45" s="248">
        <v>1054.5999999999999</v>
      </c>
      <c r="AI45" s="247"/>
      <c r="AJ45" s="248"/>
      <c r="AK45" s="8">
        <f t="shared" si="0"/>
        <v>15</v>
      </c>
    </row>
    <row r="46" spans="1:37">
      <c r="B46" s="9" t="s">
        <v>19</v>
      </c>
      <c r="C46" s="26" t="b">
        <v>0</v>
      </c>
      <c r="D46" s="3">
        <f>IF(C45=1,5,0)</f>
        <v>0</v>
      </c>
      <c r="I46" s="5">
        <v>16</v>
      </c>
      <c r="J46" s="247">
        <v>998.8</v>
      </c>
      <c r="L46" s="247">
        <v>1029.0999999999999</v>
      </c>
      <c r="M46" s="248">
        <v>1036.5999999999999</v>
      </c>
      <c r="N46" s="247">
        <v>1042.8</v>
      </c>
      <c r="O46" s="248">
        <v>1051.5</v>
      </c>
      <c r="P46" s="247">
        <v>1057.7</v>
      </c>
      <c r="R46" s="247">
        <v>1023</v>
      </c>
      <c r="S46" s="248">
        <v>1027.5</v>
      </c>
      <c r="T46" s="247">
        <v>1031.4000000000001</v>
      </c>
      <c r="U46" s="248">
        <v>1034.5999999999999</v>
      </c>
      <c r="V46" s="248">
        <v>1037.7</v>
      </c>
      <c r="W46" s="5">
        <v>16</v>
      </c>
      <c r="Y46" s="5">
        <v>16</v>
      </c>
      <c r="Z46" s="247">
        <v>998.8</v>
      </c>
      <c r="AA46" s="247">
        <v>1005.6</v>
      </c>
      <c r="AB46" s="248">
        <v>1012.4</v>
      </c>
      <c r="AC46" s="247">
        <v>1019.2</v>
      </c>
      <c r="AD46" s="248">
        <v>1026.3</v>
      </c>
      <c r="AE46" s="247">
        <v>1033.2</v>
      </c>
      <c r="AF46" s="248">
        <v>1039.9000000000001</v>
      </c>
      <c r="AG46" s="247">
        <v>1047.0999999999999</v>
      </c>
      <c r="AH46" s="248">
        <v>1054.2</v>
      </c>
      <c r="AI46" s="247"/>
      <c r="AJ46" s="248"/>
      <c r="AK46" s="8">
        <f t="shared" si="0"/>
        <v>16</v>
      </c>
    </row>
    <row r="47" spans="1:37">
      <c r="I47" s="5">
        <v>17</v>
      </c>
      <c r="J47" s="247">
        <v>998.7</v>
      </c>
      <c r="L47" s="247">
        <v>1028.8</v>
      </c>
      <c r="M47" s="248">
        <v>1036.2</v>
      </c>
      <c r="N47" s="247">
        <v>1042.4000000000001</v>
      </c>
      <c r="O47" s="248">
        <v>1051.0999999999999</v>
      </c>
      <c r="P47" s="247">
        <v>1057.3</v>
      </c>
      <c r="R47" s="247">
        <v>1022.5</v>
      </c>
      <c r="S47" s="248">
        <v>1027</v>
      </c>
      <c r="T47" s="247">
        <v>1030.9000000000001</v>
      </c>
      <c r="U47" s="248">
        <v>1034.0999999999999</v>
      </c>
      <c r="V47" s="248">
        <v>1037.0999999999999</v>
      </c>
      <c r="W47" s="5">
        <v>17</v>
      </c>
      <c r="Y47" s="5">
        <v>17</v>
      </c>
      <c r="Z47" s="247">
        <v>998.7</v>
      </c>
      <c r="AA47" s="247">
        <v>1005.4</v>
      </c>
      <c r="AB47" s="248">
        <v>1012.2</v>
      </c>
      <c r="AC47" s="247">
        <v>1019</v>
      </c>
      <c r="AD47" s="248">
        <v>1026</v>
      </c>
      <c r="AE47" s="247">
        <v>1032.9000000000001</v>
      </c>
      <c r="AF47" s="248">
        <v>1039.5</v>
      </c>
      <c r="AG47" s="247">
        <v>1046.7</v>
      </c>
      <c r="AH47" s="248">
        <v>1053.8</v>
      </c>
      <c r="AI47" s="247"/>
      <c r="AJ47" s="248"/>
      <c r="AK47" s="8">
        <f t="shared" si="0"/>
        <v>17</v>
      </c>
    </row>
    <row r="48" spans="1:37">
      <c r="B48" s="9" t="s">
        <v>29</v>
      </c>
      <c r="C48" s="13">
        <f>F39</f>
        <v>2.5851456709068479E-2</v>
      </c>
      <c r="E48" s="9" t="s">
        <v>4</v>
      </c>
      <c r="F48" s="3">
        <f>VLOOKUP('1'!B52,'1'!A54:F99,3,0)</f>
        <v>80</v>
      </c>
      <c r="I48" s="5">
        <v>18</v>
      </c>
      <c r="J48" s="247">
        <v>998.5</v>
      </c>
      <c r="L48" s="247">
        <v>1028.5</v>
      </c>
      <c r="M48" s="248">
        <v>1035.9000000000001</v>
      </c>
      <c r="N48" s="247">
        <v>1042</v>
      </c>
      <c r="O48" s="248">
        <v>1050.7</v>
      </c>
      <c r="P48" s="247">
        <v>1056.9000000000001</v>
      </c>
      <c r="R48" s="247">
        <v>1022</v>
      </c>
      <c r="S48" s="248">
        <v>1026.5</v>
      </c>
      <c r="T48" s="247">
        <v>1030.4000000000001</v>
      </c>
      <c r="U48" s="248">
        <v>1033.5</v>
      </c>
      <c r="V48" s="248">
        <v>1036.5</v>
      </c>
      <c r="W48" s="5">
        <v>18</v>
      </c>
      <c r="Y48" s="5">
        <v>18</v>
      </c>
      <c r="Z48" s="247">
        <v>998.5</v>
      </c>
      <c r="AA48" s="247">
        <v>1005.3</v>
      </c>
      <c r="AB48" s="248">
        <v>1012</v>
      </c>
      <c r="AC48" s="247">
        <v>1018.8</v>
      </c>
      <c r="AD48" s="248">
        <v>1025.7</v>
      </c>
      <c r="AE48" s="247">
        <v>1032.5999999999999</v>
      </c>
      <c r="AF48" s="248">
        <v>1039.0999999999999</v>
      </c>
      <c r="AG48" s="247">
        <v>1046.3</v>
      </c>
      <c r="AH48" s="248">
        <v>1053.4000000000001</v>
      </c>
      <c r="AI48" s="247"/>
      <c r="AJ48" s="248"/>
      <c r="AK48" s="8">
        <f t="shared" si="0"/>
        <v>18</v>
      </c>
    </row>
    <row r="49" spans="1:37" ht="15.6">
      <c r="B49" s="1" t="s">
        <v>39</v>
      </c>
      <c r="C49" s="15">
        <f>'NW wg PN-EN-12828'!E82*'NW wg PN-EN-12828'!E81/100</f>
        <v>2.5</v>
      </c>
      <c r="E49" s="9" t="s">
        <v>138</v>
      </c>
      <c r="F49" s="3">
        <f>VLOOKUP('1'!B52,'1'!A54:F99,4,0)</f>
        <v>3</v>
      </c>
      <c r="I49" s="5">
        <v>19</v>
      </c>
      <c r="J49" s="247">
        <v>998.4</v>
      </c>
      <c r="L49" s="247">
        <v>1028.2</v>
      </c>
      <c r="M49" s="248">
        <v>1035.5</v>
      </c>
      <c r="N49" s="247">
        <v>1041.5999999999999</v>
      </c>
      <c r="O49" s="248">
        <v>1050.3</v>
      </c>
      <c r="P49" s="247">
        <v>1056.4000000000001</v>
      </c>
      <c r="R49" s="247">
        <v>1021.6</v>
      </c>
      <c r="S49" s="248">
        <v>1026</v>
      </c>
      <c r="T49" s="247">
        <v>1029.8</v>
      </c>
      <c r="U49" s="248">
        <v>1032.9000000000001</v>
      </c>
      <c r="V49" s="248">
        <v>1035.9000000000001</v>
      </c>
      <c r="W49" s="5">
        <v>19</v>
      </c>
      <c r="Y49" s="5">
        <v>19</v>
      </c>
      <c r="Z49" s="247">
        <v>998.4</v>
      </c>
      <c r="AA49" s="247">
        <v>1005.1</v>
      </c>
      <c r="AB49" s="248">
        <v>1011.8</v>
      </c>
      <c r="AC49" s="247">
        <v>1018.6</v>
      </c>
      <c r="AD49" s="248">
        <v>1025.5</v>
      </c>
      <c r="AE49" s="247">
        <v>1032.3</v>
      </c>
      <c r="AF49" s="248">
        <v>1038.8</v>
      </c>
      <c r="AG49" s="247">
        <v>1045.9000000000001</v>
      </c>
      <c r="AH49" s="248">
        <v>1053</v>
      </c>
      <c r="AI49" s="247"/>
      <c r="AJ49" s="248"/>
      <c r="AK49" s="8">
        <f t="shared" si="0"/>
        <v>19</v>
      </c>
    </row>
    <row r="50" spans="1:37" ht="15.6">
      <c r="B50" s="1" t="s">
        <v>47</v>
      </c>
      <c r="C50" s="3" t="e">
        <f>INDEX(J184:T234,MATCH(E25,I184:I234,0),MATCH(D25,J183:T183,0))</f>
        <v>#N/A</v>
      </c>
      <c r="E50" s="9" t="s">
        <v>144</v>
      </c>
      <c r="F50" s="3">
        <f>VLOOKUP('1'!B52,'1'!A54:G99,7,0)</f>
        <v>12.7</v>
      </c>
      <c r="I50" s="5">
        <v>20</v>
      </c>
      <c r="J50" s="248">
        <v>998.2</v>
      </c>
      <c r="L50" s="247">
        <v>1027.9000000000001</v>
      </c>
      <c r="M50" s="248">
        <v>1035.0999999999999</v>
      </c>
      <c r="N50" s="247">
        <v>1041.2</v>
      </c>
      <c r="O50" s="248">
        <v>1049.9000000000001</v>
      </c>
      <c r="P50" s="247">
        <v>1056</v>
      </c>
      <c r="R50" s="247">
        <v>1021.1</v>
      </c>
      <c r="S50" s="248">
        <v>1025.5999999999999</v>
      </c>
      <c r="T50" s="247">
        <v>1029.3</v>
      </c>
      <c r="U50" s="248">
        <v>1032.4000000000001</v>
      </c>
      <c r="V50" s="248">
        <v>1035.4000000000001</v>
      </c>
      <c r="W50" s="5">
        <v>20</v>
      </c>
      <c r="Y50" s="5">
        <v>20</v>
      </c>
      <c r="Z50" s="248">
        <v>998.2</v>
      </c>
      <c r="AA50" s="247">
        <v>1004.9</v>
      </c>
      <c r="AB50" s="248">
        <v>1011.6</v>
      </c>
      <c r="AC50" s="247">
        <v>1018.4</v>
      </c>
      <c r="AD50" s="248">
        <v>1025.2</v>
      </c>
      <c r="AE50" s="247">
        <v>1031.9000000000001</v>
      </c>
      <c r="AF50" s="248">
        <v>1038.4000000000001</v>
      </c>
      <c r="AG50" s="247">
        <v>1045.5</v>
      </c>
      <c r="AH50" s="248">
        <v>1052.5999999999999</v>
      </c>
      <c r="AI50" s="247"/>
      <c r="AJ50" s="248"/>
      <c r="AK50" s="8">
        <f t="shared" si="0"/>
        <v>20</v>
      </c>
    </row>
    <row r="51" spans="1:37">
      <c r="I51" s="5">
        <v>21</v>
      </c>
      <c r="J51" s="248">
        <v>998</v>
      </c>
      <c r="L51" s="247">
        <v>1027.5999999999999</v>
      </c>
      <c r="M51" s="248">
        <v>1034.8</v>
      </c>
      <c r="N51" s="247">
        <v>1040.8</v>
      </c>
      <c r="O51" s="248">
        <v>1049.5</v>
      </c>
      <c r="P51" s="247">
        <v>1055.5</v>
      </c>
      <c r="R51" s="247">
        <v>1020.6</v>
      </c>
      <c r="S51" s="248">
        <v>1025</v>
      </c>
      <c r="T51" s="247">
        <v>1028.7</v>
      </c>
      <c r="U51" s="248">
        <v>1031.8</v>
      </c>
      <c r="V51" s="248">
        <v>1034.7</v>
      </c>
      <c r="W51" s="5">
        <v>21</v>
      </c>
      <c r="Y51" s="5">
        <v>21</v>
      </c>
      <c r="Z51" s="248">
        <v>998</v>
      </c>
      <c r="AA51" s="247">
        <v>1004.6</v>
      </c>
      <c r="AB51" s="248">
        <v>1011.3</v>
      </c>
      <c r="AC51" s="247">
        <v>1018</v>
      </c>
      <c r="AD51" s="248">
        <v>1024.9000000000001</v>
      </c>
      <c r="AE51" s="247">
        <v>1031.5999999999999</v>
      </c>
      <c r="AF51" s="248">
        <v>1038</v>
      </c>
      <c r="AG51" s="247">
        <v>1045.0999999999999</v>
      </c>
      <c r="AH51" s="248">
        <v>1052.0999999999999</v>
      </c>
      <c r="AI51" s="247"/>
      <c r="AJ51" s="248"/>
      <c r="AK51" s="8">
        <f t="shared" si="0"/>
        <v>21</v>
      </c>
    </row>
    <row r="52" spans="1:37">
      <c r="B52" s="27">
        <v>7</v>
      </c>
      <c r="C52" s="27"/>
      <c r="D52" s="27"/>
      <c r="E52" s="27"/>
      <c r="F52" s="27"/>
      <c r="I52" s="5">
        <v>22</v>
      </c>
      <c r="J52" s="248">
        <v>997.7</v>
      </c>
      <c r="L52" s="247">
        <v>1027.2</v>
      </c>
      <c r="M52" s="248">
        <v>1034.4000000000001</v>
      </c>
      <c r="N52" s="247">
        <v>1040.4000000000001</v>
      </c>
      <c r="O52" s="248">
        <v>1049</v>
      </c>
      <c r="P52" s="247">
        <v>1055</v>
      </c>
      <c r="R52" s="247">
        <v>1020.1</v>
      </c>
      <c r="S52" s="248">
        <v>1024.5</v>
      </c>
      <c r="T52" s="247">
        <v>1028.2</v>
      </c>
      <c r="U52" s="248">
        <v>1031.2</v>
      </c>
      <c r="V52" s="248">
        <v>1034.0999999999999</v>
      </c>
      <c r="W52" s="5">
        <v>22</v>
      </c>
      <c r="Y52" s="5">
        <v>22</v>
      </c>
      <c r="Z52" s="248">
        <v>997.7</v>
      </c>
      <c r="AA52" s="247">
        <v>1004.3</v>
      </c>
      <c r="AB52" s="248">
        <v>1011</v>
      </c>
      <c r="AC52" s="247">
        <v>1017.7</v>
      </c>
      <c r="AD52" s="248">
        <v>1024.5</v>
      </c>
      <c r="AE52" s="247">
        <v>1031.2</v>
      </c>
      <c r="AF52" s="248">
        <v>1037.5999999999999</v>
      </c>
      <c r="AG52" s="247">
        <v>1044.7</v>
      </c>
      <c r="AH52" s="248">
        <v>1051.5999999999999</v>
      </c>
      <c r="AI52" s="247"/>
      <c r="AJ52" s="248"/>
      <c r="AK52" s="8">
        <f t="shared" si="0"/>
        <v>22</v>
      </c>
    </row>
    <row r="53" spans="1:37">
      <c r="B53" s="27"/>
      <c r="C53" s="27" t="s">
        <v>125</v>
      </c>
      <c r="D53" s="27" t="s">
        <v>126</v>
      </c>
      <c r="E53" s="27" t="s">
        <v>127</v>
      </c>
      <c r="F53" s="27" t="s">
        <v>128</v>
      </c>
      <c r="G53" s="27" t="s">
        <v>143</v>
      </c>
      <c r="H53" s="27"/>
      <c r="I53" s="5">
        <v>23</v>
      </c>
      <c r="J53" s="248">
        <v>997.5</v>
      </c>
      <c r="L53" s="247">
        <v>1026.9000000000001</v>
      </c>
      <c r="M53" s="248">
        <v>1034</v>
      </c>
      <c r="N53" s="247">
        <v>1040</v>
      </c>
      <c r="O53" s="248">
        <v>1048.5</v>
      </c>
      <c r="P53" s="247">
        <v>1054.5</v>
      </c>
      <c r="R53" s="247">
        <v>1019.6</v>
      </c>
      <c r="S53" s="248">
        <v>1023.9</v>
      </c>
      <c r="T53" s="247">
        <v>1027.5999999999999</v>
      </c>
      <c r="U53" s="248">
        <v>1030.5999999999999</v>
      </c>
      <c r="V53" s="248">
        <v>1033.5</v>
      </c>
      <c r="W53" s="5">
        <v>23</v>
      </c>
      <c r="Y53" s="5">
        <v>23</v>
      </c>
      <c r="Z53" s="248">
        <v>997.5</v>
      </c>
      <c r="AA53" s="247">
        <v>1004</v>
      </c>
      <c r="AB53" s="248">
        <v>1010.7</v>
      </c>
      <c r="AC53" s="247">
        <v>1017.4</v>
      </c>
      <c r="AD53" s="248">
        <v>1024.2</v>
      </c>
      <c r="AE53" s="247">
        <v>1030.8</v>
      </c>
      <c r="AF53" s="248">
        <v>1037.2</v>
      </c>
      <c r="AG53" s="247">
        <v>1044.2</v>
      </c>
      <c r="AH53" s="248">
        <v>1051.0999999999999</v>
      </c>
      <c r="AI53" s="247"/>
      <c r="AJ53" s="248"/>
      <c r="AK53" s="8">
        <f t="shared" si="0"/>
        <v>23</v>
      </c>
    </row>
    <row r="54" spans="1:37">
      <c r="A54" s="27">
        <v>1</v>
      </c>
      <c r="B54" s="28" t="s">
        <v>83</v>
      </c>
      <c r="C54" s="27">
        <v>8</v>
      </c>
      <c r="D54" s="27">
        <v>3</v>
      </c>
      <c r="E54" s="27">
        <v>1</v>
      </c>
      <c r="F54" s="29">
        <v>7101000</v>
      </c>
      <c r="G54" s="27">
        <v>3.5</v>
      </c>
      <c r="H54" s="27"/>
      <c r="I54" s="5">
        <v>24</v>
      </c>
      <c r="J54" s="248">
        <v>997.2</v>
      </c>
      <c r="L54" s="247">
        <v>1026.5</v>
      </c>
      <c r="M54" s="248">
        <v>1033.5999999999999</v>
      </c>
      <c r="N54" s="247">
        <v>1039.5999999999999</v>
      </c>
      <c r="O54" s="248">
        <v>1048.0999999999999</v>
      </c>
      <c r="P54" s="247">
        <v>1053.9000000000001</v>
      </c>
      <c r="R54" s="247">
        <v>1019.1</v>
      </c>
      <c r="S54" s="248">
        <v>1023.4</v>
      </c>
      <c r="T54" s="247">
        <v>1027</v>
      </c>
      <c r="U54" s="248">
        <v>1030</v>
      </c>
      <c r="V54" s="248">
        <v>1032.8</v>
      </c>
      <c r="W54" s="5">
        <v>24</v>
      </c>
      <c r="Y54" s="5">
        <v>24</v>
      </c>
      <c r="Z54" s="248">
        <v>997.2</v>
      </c>
      <c r="AA54" s="247">
        <v>1003.7</v>
      </c>
      <c r="AB54" s="248">
        <v>1010.4</v>
      </c>
      <c r="AC54" s="247">
        <v>1017</v>
      </c>
      <c r="AD54" s="248">
        <v>1023.8</v>
      </c>
      <c r="AE54" s="247">
        <v>1030.4000000000001</v>
      </c>
      <c r="AF54" s="248">
        <v>1036.8</v>
      </c>
      <c r="AG54" s="247">
        <v>1043.8</v>
      </c>
      <c r="AH54" s="248">
        <v>1050.5999999999999</v>
      </c>
      <c r="AI54" s="247"/>
      <c r="AJ54" s="248"/>
      <c r="AK54" s="8">
        <f t="shared" si="0"/>
        <v>24</v>
      </c>
    </row>
    <row r="55" spans="1:37">
      <c r="A55" s="27">
        <v>2</v>
      </c>
      <c r="B55" s="28" t="s">
        <v>77</v>
      </c>
      <c r="C55" s="27">
        <v>12</v>
      </c>
      <c r="D55" s="27">
        <v>3</v>
      </c>
      <c r="E55" s="27">
        <v>1</v>
      </c>
      <c r="F55" s="29">
        <v>7101001</v>
      </c>
      <c r="G55" s="27">
        <v>3.7</v>
      </c>
      <c r="H55" s="27"/>
      <c r="I55" s="5">
        <v>25</v>
      </c>
      <c r="J55" s="248">
        <v>997</v>
      </c>
      <c r="L55" s="247">
        <v>1026.0999999999999</v>
      </c>
      <c r="M55" s="248">
        <v>1033.3</v>
      </c>
      <c r="N55" s="247">
        <v>1039.2</v>
      </c>
      <c r="O55" s="248">
        <v>1047.5999999999999</v>
      </c>
      <c r="P55" s="247">
        <v>1053.4000000000001</v>
      </c>
      <c r="R55" s="247">
        <v>1018.6</v>
      </c>
      <c r="S55" s="248">
        <v>1022.8</v>
      </c>
      <c r="T55" s="247">
        <v>1026.5</v>
      </c>
      <c r="U55" s="248">
        <v>1029.4000000000001</v>
      </c>
      <c r="V55" s="248">
        <v>1032.2</v>
      </c>
      <c r="W55" s="5">
        <v>25</v>
      </c>
      <c r="Y55" s="5">
        <v>25</v>
      </c>
      <c r="Z55" s="248">
        <v>997</v>
      </c>
      <c r="AA55" s="247">
        <v>1003.4</v>
      </c>
      <c r="AB55" s="248">
        <v>1010</v>
      </c>
      <c r="AC55" s="247">
        <v>1016.7</v>
      </c>
      <c r="AD55" s="248">
        <v>1023.4</v>
      </c>
      <c r="AE55" s="247">
        <v>1030.0999999999999</v>
      </c>
      <c r="AF55" s="248">
        <v>1036.4000000000001</v>
      </c>
      <c r="AG55" s="247">
        <v>1043.4000000000001</v>
      </c>
      <c r="AH55" s="248">
        <v>1050.2</v>
      </c>
      <c r="AI55" s="247"/>
      <c r="AJ55" s="248"/>
      <c r="AK55" s="8">
        <f t="shared" si="0"/>
        <v>25</v>
      </c>
    </row>
    <row r="56" spans="1:37">
      <c r="A56" s="27">
        <v>3</v>
      </c>
      <c r="B56" s="28" t="s">
        <v>78</v>
      </c>
      <c r="C56" s="27">
        <v>18</v>
      </c>
      <c r="D56" s="27">
        <v>3</v>
      </c>
      <c r="E56" s="27">
        <v>1</v>
      </c>
      <c r="F56" s="29">
        <v>7101002</v>
      </c>
      <c r="G56" s="27">
        <v>4.0999999999999996</v>
      </c>
      <c r="H56" s="27"/>
      <c r="I56" s="5">
        <v>26</v>
      </c>
      <c r="J56" s="248">
        <v>996.7</v>
      </c>
      <c r="L56" s="247">
        <v>1025.8</v>
      </c>
      <c r="M56" s="248">
        <v>1032.9000000000001</v>
      </c>
      <c r="N56" s="247">
        <v>1038.8</v>
      </c>
      <c r="O56" s="248">
        <v>1047.0999999999999</v>
      </c>
      <c r="P56" s="247">
        <v>1052.9000000000001</v>
      </c>
      <c r="R56" s="247">
        <v>1018.1</v>
      </c>
      <c r="S56" s="248">
        <v>1022.3</v>
      </c>
      <c r="T56" s="247">
        <v>1025.9000000000001</v>
      </c>
      <c r="U56" s="248">
        <v>1028.8</v>
      </c>
      <c r="V56" s="248">
        <v>1031.5999999999999</v>
      </c>
      <c r="W56" s="5">
        <v>26</v>
      </c>
      <c r="Y56" s="5">
        <v>26</v>
      </c>
      <c r="Z56" s="248">
        <v>996.7</v>
      </c>
      <c r="AA56" s="247">
        <v>1003.1</v>
      </c>
      <c r="AB56" s="248">
        <v>1009.7</v>
      </c>
      <c r="AC56" s="247">
        <v>1016.4</v>
      </c>
      <c r="AD56" s="248">
        <v>1023.1</v>
      </c>
      <c r="AE56" s="247">
        <v>1029.7</v>
      </c>
      <c r="AF56" s="248">
        <v>1036.0999999999999</v>
      </c>
      <c r="AG56" s="247">
        <v>1042.9000000000001</v>
      </c>
      <c r="AH56" s="248">
        <v>1049.7</v>
      </c>
      <c r="AI56" s="247"/>
      <c r="AJ56" s="248"/>
      <c r="AK56" s="8">
        <f t="shared" si="0"/>
        <v>26</v>
      </c>
    </row>
    <row r="57" spans="1:37">
      <c r="A57" s="27">
        <v>4</v>
      </c>
      <c r="B57" s="28" t="s">
        <v>79</v>
      </c>
      <c r="C57" s="27">
        <v>25</v>
      </c>
      <c r="D57" s="27">
        <v>3</v>
      </c>
      <c r="E57" s="27">
        <v>1</v>
      </c>
      <c r="F57" s="29">
        <v>7101003</v>
      </c>
      <c r="G57" s="27">
        <v>5</v>
      </c>
      <c r="H57" s="27"/>
      <c r="I57" s="5">
        <v>27</v>
      </c>
      <c r="J57" s="248">
        <v>996.5</v>
      </c>
      <c r="L57" s="247">
        <v>1025.4000000000001</v>
      </c>
      <c r="M57" s="248">
        <v>1032.5</v>
      </c>
      <c r="N57" s="247">
        <v>1038.4000000000001</v>
      </c>
      <c r="O57" s="248">
        <v>1046.5999999999999</v>
      </c>
      <c r="P57" s="247">
        <v>1052.4000000000001</v>
      </c>
      <c r="R57" s="247">
        <v>1017.6</v>
      </c>
      <c r="S57" s="248">
        <v>1021.7</v>
      </c>
      <c r="T57" s="247">
        <v>1025.3</v>
      </c>
      <c r="U57" s="248">
        <v>1028.2</v>
      </c>
      <c r="V57" s="248">
        <v>1031</v>
      </c>
      <c r="W57" s="5">
        <v>27</v>
      </c>
      <c r="Y57" s="5">
        <v>27</v>
      </c>
      <c r="Z57" s="248">
        <v>996.5</v>
      </c>
      <c r="AA57" s="247">
        <v>1002.8</v>
      </c>
      <c r="AB57" s="248">
        <v>1009.4</v>
      </c>
      <c r="AC57" s="247">
        <v>1016.1</v>
      </c>
      <c r="AD57" s="248">
        <v>1022.7</v>
      </c>
      <c r="AE57" s="247">
        <v>1029.3</v>
      </c>
      <c r="AF57" s="248">
        <v>1035.7</v>
      </c>
      <c r="AG57" s="247">
        <v>1042.5</v>
      </c>
      <c r="AH57" s="248">
        <v>1049.2</v>
      </c>
      <c r="AI57" s="247"/>
      <c r="AJ57" s="248"/>
      <c r="AK57" s="8">
        <f t="shared" si="0"/>
        <v>27</v>
      </c>
    </row>
    <row r="58" spans="1:37">
      <c r="A58" s="27">
        <v>5</v>
      </c>
      <c r="B58" s="28" t="s">
        <v>80</v>
      </c>
      <c r="C58" s="27">
        <v>35</v>
      </c>
      <c r="D58" s="27">
        <v>3</v>
      </c>
      <c r="E58" s="27">
        <v>1</v>
      </c>
      <c r="F58" s="29">
        <v>7101004</v>
      </c>
      <c r="G58" s="27">
        <v>6.4</v>
      </c>
      <c r="H58" s="27"/>
      <c r="I58" s="5">
        <v>28</v>
      </c>
      <c r="J58" s="248">
        <v>996.2</v>
      </c>
      <c r="L58" s="247">
        <v>1025</v>
      </c>
      <c r="M58" s="248">
        <v>1032.0999999999999</v>
      </c>
      <c r="N58" s="247">
        <v>1038</v>
      </c>
      <c r="O58" s="248">
        <v>1046.2</v>
      </c>
      <c r="P58" s="247">
        <v>1051.9000000000001</v>
      </c>
      <c r="R58" s="247">
        <v>1017.1</v>
      </c>
      <c r="S58" s="248">
        <v>1021.2</v>
      </c>
      <c r="T58" s="247">
        <v>1024.7</v>
      </c>
      <c r="U58" s="248">
        <v>1027.5999999999999</v>
      </c>
      <c r="V58" s="248">
        <v>1030.3</v>
      </c>
      <c r="W58" s="5">
        <v>28</v>
      </c>
      <c r="Y58" s="5">
        <v>28</v>
      </c>
      <c r="Z58" s="248">
        <v>996.2</v>
      </c>
      <c r="AA58" s="247">
        <v>1002.4</v>
      </c>
      <c r="AB58" s="248">
        <v>1009.1</v>
      </c>
      <c r="AC58" s="247">
        <v>1015.7</v>
      </c>
      <c r="AD58" s="248">
        <v>1022.4</v>
      </c>
      <c r="AE58" s="247">
        <v>1028.9000000000001</v>
      </c>
      <c r="AF58" s="248">
        <v>1035.3</v>
      </c>
      <c r="AG58" s="247">
        <v>1042</v>
      </c>
      <c r="AH58" s="248">
        <v>1048.7</v>
      </c>
      <c r="AI58" s="247"/>
      <c r="AJ58" s="248"/>
      <c r="AK58" s="8">
        <f t="shared" si="0"/>
        <v>28</v>
      </c>
    </row>
    <row r="59" spans="1:37">
      <c r="A59" s="27">
        <v>6</v>
      </c>
      <c r="B59" s="28" t="s">
        <v>81</v>
      </c>
      <c r="C59" s="27">
        <v>50</v>
      </c>
      <c r="D59" s="27">
        <v>3</v>
      </c>
      <c r="E59" s="27">
        <v>1.5</v>
      </c>
      <c r="F59" s="29">
        <v>7101005</v>
      </c>
      <c r="G59" s="27">
        <v>8</v>
      </c>
      <c r="H59" s="27"/>
      <c r="I59" s="5">
        <v>29</v>
      </c>
      <c r="J59" s="248">
        <v>996</v>
      </c>
      <c r="L59" s="247">
        <v>1024.7</v>
      </c>
      <c r="M59" s="248">
        <v>1031.7</v>
      </c>
      <c r="N59" s="247">
        <v>1037.5999999999999</v>
      </c>
      <c r="O59" s="248">
        <v>1045.7</v>
      </c>
      <c r="P59" s="247">
        <v>1051.4000000000001</v>
      </c>
      <c r="R59" s="247">
        <v>1016.6</v>
      </c>
      <c r="S59" s="248">
        <v>1020.6</v>
      </c>
      <c r="T59" s="247">
        <v>1024.2</v>
      </c>
      <c r="U59" s="248">
        <v>1027</v>
      </c>
      <c r="V59" s="248">
        <v>1029.7</v>
      </c>
      <c r="W59" s="5">
        <v>29</v>
      </c>
      <c r="Y59" s="5">
        <v>29</v>
      </c>
      <c r="Z59" s="248">
        <v>996</v>
      </c>
      <c r="AA59" s="247">
        <v>1002.1</v>
      </c>
      <c r="AB59" s="248">
        <v>1008.8</v>
      </c>
      <c r="AC59" s="247">
        <v>1015.4</v>
      </c>
      <c r="AD59" s="248">
        <v>1022</v>
      </c>
      <c r="AE59" s="247">
        <v>1028.5999999999999</v>
      </c>
      <c r="AF59" s="248">
        <v>1034.9000000000001</v>
      </c>
      <c r="AG59" s="247">
        <v>1041.5999999999999</v>
      </c>
      <c r="AH59" s="248">
        <v>1048.2</v>
      </c>
      <c r="AI59" s="247"/>
      <c r="AJ59" s="248"/>
      <c r="AK59" s="8">
        <f t="shared" si="0"/>
        <v>29</v>
      </c>
    </row>
    <row r="60" spans="1:37">
      <c r="A60" s="27">
        <v>7</v>
      </c>
      <c r="B60" s="28" t="s">
        <v>82</v>
      </c>
      <c r="C60" s="27">
        <v>80</v>
      </c>
      <c r="D60" s="27">
        <v>3</v>
      </c>
      <c r="E60" s="27">
        <v>1.5</v>
      </c>
      <c r="F60" s="29">
        <v>7101006</v>
      </c>
      <c r="G60" s="27">
        <v>12.7</v>
      </c>
      <c r="H60" s="27"/>
      <c r="I60" s="5">
        <v>30</v>
      </c>
      <c r="J60" s="248">
        <v>995.7</v>
      </c>
      <c r="L60" s="247">
        <v>1024.3</v>
      </c>
      <c r="M60" s="248">
        <v>1031.4000000000001</v>
      </c>
      <c r="N60" s="247">
        <v>1037.2</v>
      </c>
      <c r="O60" s="248">
        <v>1045.2</v>
      </c>
      <c r="P60" s="247">
        <v>1050.9000000000001</v>
      </c>
      <c r="R60" s="247">
        <v>1016.1</v>
      </c>
      <c r="S60" s="248">
        <v>1020.1</v>
      </c>
      <c r="T60" s="247">
        <v>1023.6</v>
      </c>
      <c r="U60" s="248">
        <v>1026.4000000000001</v>
      </c>
      <c r="V60" s="248">
        <v>1029.0999999999999</v>
      </c>
      <c r="W60" s="5">
        <v>30</v>
      </c>
      <c r="Y60" s="5">
        <v>30</v>
      </c>
      <c r="Z60" s="248">
        <v>995.7</v>
      </c>
      <c r="AA60" s="247">
        <v>1001.8</v>
      </c>
      <c r="AB60" s="248">
        <v>1008.5</v>
      </c>
      <c r="AC60" s="247">
        <v>1015.1</v>
      </c>
      <c r="AD60" s="248">
        <v>1021.7</v>
      </c>
      <c r="AE60" s="247">
        <v>1028.2</v>
      </c>
      <c r="AF60" s="248">
        <v>1034.5</v>
      </c>
      <c r="AG60" s="247">
        <v>1041.2</v>
      </c>
      <c r="AH60" s="248">
        <v>1047.7</v>
      </c>
      <c r="AI60" s="247"/>
      <c r="AJ60" s="248"/>
      <c r="AK60" s="8">
        <f t="shared" si="0"/>
        <v>30</v>
      </c>
    </row>
    <row r="61" spans="1:37">
      <c r="A61" s="27">
        <v>8</v>
      </c>
      <c r="B61" s="28" t="s">
        <v>84</v>
      </c>
      <c r="C61" s="27">
        <v>8</v>
      </c>
      <c r="D61" s="27">
        <v>10</v>
      </c>
      <c r="E61" s="27">
        <v>4</v>
      </c>
      <c r="F61" s="29">
        <v>7103000</v>
      </c>
      <c r="G61" s="27">
        <v>4</v>
      </c>
      <c r="H61" s="27"/>
      <c r="I61" s="5">
        <v>31</v>
      </c>
      <c r="J61" s="248">
        <v>995.4</v>
      </c>
      <c r="L61" s="247">
        <v>1024</v>
      </c>
      <c r="M61" s="248">
        <v>1031</v>
      </c>
      <c r="N61" s="247">
        <v>1036.8</v>
      </c>
      <c r="O61" s="248">
        <v>1044.8</v>
      </c>
      <c r="P61" s="247">
        <v>1050.4000000000001</v>
      </c>
      <c r="R61" s="247">
        <v>1015.5</v>
      </c>
      <c r="S61" s="248">
        <v>1019.5</v>
      </c>
      <c r="T61" s="247">
        <v>1023</v>
      </c>
      <c r="U61" s="248">
        <v>1025.8</v>
      </c>
      <c r="V61" s="248">
        <v>1028.4000000000001</v>
      </c>
      <c r="W61" s="5">
        <v>31</v>
      </c>
      <c r="Y61" s="5">
        <v>31</v>
      </c>
      <c r="Z61" s="248">
        <v>995.4</v>
      </c>
      <c r="AA61" s="247">
        <v>1001.5</v>
      </c>
      <c r="AB61" s="248">
        <v>1008.1</v>
      </c>
      <c r="AC61" s="247">
        <v>1014.7</v>
      </c>
      <c r="AD61" s="248">
        <v>1021.3</v>
      </c>
      <c r="AE61" s="247">
        <v>1027.8</v>
      </c>
      <c r="AF61" s="248">
        <v>1034.0999999999999</v>
      </c>
      <c r="AG61" s="247">
        <v>1040.7</v>
      </c>
      <c r="AH61" s="248">
        <v>1047.2</v>
      </c>
      <c r="AI61" s="247"/>
      <c r="AJ61" s="248"/>
      <c r="AK61" s="8">
        <f t="shared" si="0"/>
        <v>31</v>
      </c>
    </row>
    <row r="62" spans="1:37">
      <c r="A62" s="27">
        <v>9</v>
      </c>
      <c r="B62" s="28" t="s">
        <v>85</v>
      </c>
      <c r="C62" s="27">
        <v>12</v>
      </c>
      <c r="D62" s="27">
        <v>10</v>
      </c>
      <c r="E62" s="27">
        <v>4</v>
      </c>
      <c r="F62" s="29">
        <v>7103001</v>
      </c>
      <c r="G62" s="27">
        <v>5.0999999999999996</v>
      </c>
      <c r="H62" s="27"/>
      <c r="I62" s="5">
        <v>32</v>
      </c>
      <c r="J62" s="248">
        <v>995</v>
      </c>
      <c r="L62" s="247">
        <v>1023.6</v>
      </c>
      <c r="M62" s="248">
        <v>1030.5999999999999</v>
      </c>
      <c r="N62" s="247">
        <v>1036.3</v>
      </c>
      <c r="O62" s="248">
        <v>1044.3</v>
      </c>
      <c r="P62" s="247">
        <v>1049.8</v>
      </c>
      <c r="R62" s="247">
        <v>1015</v>
      </c>
      <c r="S62" s="248">
        <v>1018.9</v>
      </c>
      <c r="T62" s="247">
        <v>1022.4</v>
      </c>
      <c r="U62" s="248">
        <v>1025.2</v>
      </c>
      <c r="V62" s="248">
        <v>1027.8</v>
      </c>
      <c r="W62" s="5">
        <v>32</v>
      </c>
      <c r="Y62" s="5">
        <v>32</v>
      </c>
      <c r="Z62" s="248">
        <v>995</v>
      </c>
      <c r="AA62" s="247">
        <v>1001.2</v>
      </c>
      <c r="AB62" s="248">
        <v>1007.8</v>
      </c>
      <c r="AC62" s="247">
        <v>1014.4</v>
      </c>
      <c r="AD62" s="248">
        <v>1021</v>
      </c>
      <c r="AE62" s="247">
        <v>1027.5</v>
      </c>
      <c r="AF62" s="248">
        <v>1033.8</v>
      </c>
      <c r="AG62" s="247">
        <v>1040.3</v>
      </c>
      <c r="AH62" s="248">
        <v>1046.7</v>
      </c>
      <c r="AI62" s="247"/>
      <c r="AJ62" s="248"/>
      <c r="AK62" s="8">
        <f t="shared" si="0"/>
        <v>32</v>
      </c>
    </row>
    <row r="63" spans="1:37">
      <c r="A63" s="27">
        <v>10</v>
      </c>
      <c r="B63" s="28" t="s">
        <v>86</v>
      </c>
      <c r="C63" s="27">
        <v>18</v>
      </c>
      <c r="D63" s="27">
        <v>10</v>
      </c>
      <c r="E63" s="27">
        <v>4</v>
      </c>
      <c r="F63" s="29">
        <v>7103002</v>
      </c>
      <c r="G63" s="27">
        <v>6.5</v>
      </c>
      <c r="H63" s="27"/>
      <c r="I63" s="5">
        <v>33</v>
      </c>
      <c r="J63" s="248">
        <v>994.7</v>
      </c>
      <c r="L63" s="247">
        <v>1023.2</v>
      </c>
      <c r="M63" s="248">
        <v>1030.2</v>
      </c>
      <c r="N63" s="247">
        <v>1035.9000000000001</v>
      </c>
      <c r="O63" s="248">
        <v>1043.8</v>
      </c>
      <c r="P63" s="247">
        <v>1049.3</v>
      </c>
      <c r="R63" s="247">
        <v>1014.4</v>
      </c>
      <c r="S63" s="248">
        <v>1018.4</v>
      </c>
      <c r="T63" s="247">
        <v>1021.8</v>
      </c>
      <c r="U63" s="248">
        <v>1024.5</v>
      </c>
      <c r="V63" s="248">
        <v>1027.0999999999999</v>
      </c>
      <c r="W63" s="5">
        <v>33</v>
      </c>
      <c r="Y63" s="5">
        <v>33</v>
      </c>
      <c r="Z63" s="248">
        <v>994.7</v>
      </c>
      <c r="AA63" s="247">
        <v>1000.9</v>
      </c>
      <c r="AB63" s="248">
        <v>1007.5</v>
      </c>
      <c r="AC63" s="247">
        <v>1014.1</v>
      </c>
      <c r="AD63" s="248">
        <v>1020.6</v>
      </c>
      <c r="AE63" s="247">
        <v>1027.0999999999999</v>
      </c>
      <c r="AF63" s="248">
        <v>1033.4000000000001</v>
      </c>
      <c r="AG63" s="247">
        <v>1039.8</v>
      </c>
      <c r="AH63" s="248">
        <v>1046.2</v>
      </c>
      <c r="AI63" s="247"/>
      <c r="AJ63" s="248"/>
      <c r="AK63" s="8">
        <f t="shared" si="0"/>
        <v>33</v>
      </c>
    </row>
    <row r="64" spans="1:37">
      <c r="A64" s="27">
        <v>11</v>
      </c>
      <c r="B64" s="28" t="s">
        <v>87</v>
      </c>
      <c r="C64" s="27">
        <v>25</v>
      </c>
      <c r="D64" s="27">
        <v>10</v>
      </c>
      <c r="E64" s="27">
        <v>4</v>
      </c>
      <c r="F64" s="29">
        <v>7103003</v>
      </c>
      <c r="G64" s="27">
        <v>8</v>
      </c>
      <c r="H64" s="27"/>
      <c r="I64" s="5">
        <v>34</v>
      </c>
      <c r="J64" s="248">
        <v>994.3</v>
      </c>
      <c r="L64" s="247">
        <v>1022.9</v>
      </c>
      <c r="M64" s="248">
        <v>1029.8</v>
      </c>
      <c r="N64" s="247">
        <v>1035.5</v>
      </c>
      <c r="O64" s="248">
        <v>1043.3</v>
      </c>
      <c r="P64" s="247">
        <v>1048.8</v>
      </c>
      <c r="R64" s="247">
        <v>1013.9</v>
      </c>
      <c r="S64" s="248">
        <v>1017.8</v>
      </c>
      <c r="T64" s="247">
        <v>1021.2</v>
      </c>
      <c r="U64" s="248">
        <v>1023.9</v>
      </c>
      <c r="V64" s="248">
        <v>1026.4000000000001</v>
      </c>
      <c r="W64" s="5">
        <v>34</v>
      </c>
      <c r="Y64" s="5">
        <v>34</v>
      </c>
      <c r="Z64" s="248">
        <v>994.3</v>
      </c>
      <c r="AA64" s="247">
        <v>1000.6</v>
      </c>
      <c r="AB64" s="248">
        <v>1007.2</v>
      </c>
      <c r="AC64" s="247">
        <v>1013.8</v>
      </c>
      <c r="AD64" s="248">
        <v>1020.3</v>
      </c>
      <c r="AE64" s="247">
        <v>1026.7</v>
      </c>
      <c r="AF64" s="248">
        <v>1033</v>
      </c>
      <c r="AG64" s="247">
        <v>1039.4000000000001</v>
      </c>
      <c r="AH64" s="248">
        <v>1045.7</v>
      </c>
      <c r="AI64" s="247"/>
      <c r="AJ64" s="248"/>
      <c r="AK64" s="8">
        <f t="shared" si="0"/>
        <v>34</v>
      </c>
    </row>
    <row r="65" spans="1:37">
      <c r="A65" s="27">
        <v>12</v>
      </c>
      <c r="B65" s="28" t="s">
        <v>88</v>
      </c>
      <c r="C65" s="27">
        <v>35</v>
      </c>
      <c r="D65" s="27">
        <v>10</v>
      </c>
      <c r="E65" s="27">
        <v>4</v>
      </c>
      <c r="F65" s="29">
        <v>7103004</v>
      </c>
      <c r="G65" s="27">
        <v>9.6999999999999993</v>
      </c>
      <c r="H65" s="27"/>
      <c r="I65" s="5">
        <v>35</v>
      </c>
      <c r="J65" s="248">
        <v>994</v>
      </c>
      <c r="L65" s="247">
        <v>1022.5</v>
      </c>
      <c r="M65" s="248">
        <v>1029.5</v>
      </c>
      <c r="N65" s="247">
        <v>1035.0999999999999</v>
      </c>
      <c r="O65" s="248">
        <v>1042.9000000000001</v>
      </c>
      <c r="P65" s="247">
        <v>1048.3</v>
      </c>
      <c r="R65" s="247">
        <v>1013.4</v>
      </c>
      <c r="S65" s="248">
        <v>1017.2</v>
      </c>
      <c r="T65" s="247">
        <v>1020.6</v>
      </c>
      <c r="U65" s="248">
        <v>1023.3</v>
      </c>
      <c r="V65" s="248">
        <v>1025.8</v>
      </c>
      <c r="W65" s="5">
        <v>35</v>
      </c>
      <c r="Y65" s="5">
        <v>35</v>
      </c>
      <c r="Z65" s="248">
        <v>994</v>
      </c>
      <c r="AA65" s="247">
        <v>1000.3</v>
      </c>
      <c r="AB65" s="248">
        <v>1006.9</v>
      </c>
      <c r="AC65" s="247">
        <v>1013.4</v>
      </c>
      <c r="AD65" s="248">
        <v>1019.9</v>
      </c>
      <c r="AE65" s="247">
        <v>1026.3</v>
      </c>
      <c r="AF65" s="248">
        <v>1032.5999999999999</v>
      </c>
      <c r="AG65" s="247">
        <v>1039</v>
      </c>
      <c r="AH65" s="248">
        <v>1045.3</v>
      </c>
      <c r="AI65" s="247"/>
      <c r="AJ65" s="248"/>
      <c r="AK65" s="8">
        <f t="shared" si="0"/>
        <v>35</v>
      </c>
    </row>
    <row r="66" spans="1:37">
      <c r="A66" s="27">
        <v>13</v>
      </c>
      <c r="B66" s="28" t="s">
        <v>89</v>
      </c>
      <c r="C66" s="27">
        <v>50</v>
      </c>
      <c r="D66" s="27">
        <v>10</v>
      </c>
      <c r="E66" s="27">
        <v>4</v>
      </c>
      <c r="F66" s="29">
        <v>7103005</v>
      </c>
      <c r="G66" s="27">
        <v>12</v>
      </c>
      <c r="H66" s="27"/>
      <c r="I66" s="5">
        <v>36</v>
      </c>
      <c r="J66" s="248">
        <v>993.6</v>
      </c>
      <c r="L66" s="247">
        <v>1022.1</v>
      </c>
      <c r="M66" s="248">
        <v>1029.0999999999999</v>
      </c>
      <c r="N66" s="247">
        <v>1034.7</v>
      </c>
      <c r="O66" s="248">
        <v>1042.4000000000001</v>
      </c>
      <c r="P66" s="247">
        <v>1047.8</v>
      </c>
      <c r="R66" s="247">
        <v>1012.8</v>
      </c>
      <c r="S66" s="248">
        <v>1016.6</v>
      </c>
      <c r="T66" s="247">
        <v>1020</v>
      </c>
      <c r="U66" s="248">
        <v>1022.6</v>
      </c>
      <c r="V66" s="248">
        <v>1025.0999999999999</v>
      </c>
      <c r="W66" s="5">
        <v>36</v>
      </c>
      <c r="Y66" s="5">
        <v>36</v>
      </c>
      <c r="Z66" s="248">
        <v>993.6</v>
      </c>
      <c r="AA66" s="247">
        <v>1000</v>
      </c>
      <c r="AB66" s="248">
        <v>1006.5</v>
      </c>
      <c r="AC66" s="247">
        <v>1013.1</v>
      </c>
      <c r="AD66" s="248">
        <v>1019.6</v>
      </c>
      <c r="AE66" s="247">
        <v>1026</v>
      </c>
      <c r="AF66" s="248">
        <v>1032.2</v>
      </c>
      <c r="AG66" s="247">
        <v>1038.5</v>
      </c>
      <c r="AH66" s="248">
        <v>1044.8</v>
      </c>
      <c r="AI66" s="247"/>
      <c r="AJ66" s="248"/>
      <c r="AK66" s="8">
        <f t="shared" si="0"/>
        <v>36</v>
      </c>
    </row>
    <row r="67" spans="1:37">
      <c r="A67" s="27">
        <v>14</v>
      </c>
      <c r="B67" s="28" t="s">
        <v>90</v>
      </c>
      <c r="C67" s="27">
        <v>80</v>
      </c>
      <c r="D67" s="27">
        <v>10</v>
      </c>
      <c r="E67" s="27">
        <v>4</v>
      </c>
      <c r="F67" s="29">
        <v>7103006</v>
      </c>
      <c r="G67" s="27">
        <v>16</v>
      </c>
      <c r="H67" s="27"/>
      <c r="I67" s="5">
        <v>37</v>
      </c>
      <c r="J67" s="248">
        <v>993.3</v>
      </c>
      <c r="L67" s="247">
        <v>1021.8</v>
      </c>
      <c r="M67" s="248">
        <v>1028.7</v>
      </c>
      <c r="N67" s="247">
        <v>1034.3</v>
      </c>
      <c r="O67" s="248">
        <v>1041.9000000000001</v>
      </c>
      <c r="P67" s="247">
        <v>1047.3</v>
      </c>
      <c r="R67" s="247">
        <v>1012.3</v>
      </c>
      <c r="S67" s="248">
        <v>1016.1</v>
      </c>
      <c r="T67" s="247">
        <v>1019.3</v>
      </c>
      <c r="U67" s="248">
        <v>1022</v>
      </c>
      <c r="V67" s="248">
        <v>1024.5</v>
      </c>
      <c r="W67" s="5">
        <v>37</v>
      </c>
      <c r="Y67" s="5">
        <v>37</v>
      </c>
      <c r="Z67" s="248">
        <v>993.3</v>
      </c>
      <c r="AA67" s="247">
        <v>999.7</v>
      </c>
      <c r="AB67" s="248">
        <v>1006.2</v>
      </c>
      <c r="AC67" s="247">
        <v>1012.8</v>
      </c>
      <c r="AD67" s="248">
        <v>1019.2</v>
      </c>
      <c r="AE67" s="247">
        <v>1025.5999999999999</v>
      </c>
      <c r="AF67" s="248">
        <v>1031.8</v>
      </c>
      <c r="AG67" s="247">
        <v>1038.0999999999999</v>
      </c>
      <c r="AH67" s="248">
        <v>1044.3</v>
      </c>
      <c r="AI67" s="247"/>
      <c r="AJ67" s="248"/>
      <c r="AK67" s="8">
        <f t="shared" si="0"/>
        <v>37</v>
      </c>
    </row>
    <row r="68" spans="1:37">
      <c r="A68" s="27">
        <v>15</v>
      </c>
      <c r="B68" s="28" t="s">
        <v>94</v>
      </c>
      <c r="C68" s="27">
        <v>140</v>
      </c>
      <c r="D68" s="27">
        <v>3</v>
      </c>
      <c r="E68" s="27">
        <v>1.5</v>
      </c>
      <c r="F68" s="27">
        <v>7101008</v>
      </c>
      <c r="G68" s="27">
        <v>26</v>
      </c>
      <c r="H68" s="27"/>
      <c r="I68" s="5">
        <v>38</v>
      </c>
      <c r="J68" s="248">
        <v>992.9</v>
      </c>
      <c r="L68" s="247">
        <v>1021.4</v>
      </c>
      <c r="M68" s="248">
        <v>1028.3</v>
      </c>
      <c r="N68" s="247">
        <v>1033.9000000000001</v>
      </c>
      <c r="O68" s="248">
        <v>1041.5</v>
      </c>
      <c r="P68" s="247">
        <v>1046.8</v>
      </c>
      <c r="R68" s="247">
        <v>1011.7</v>
      </c>
      <c r="S68" s="248">
        <v>1015.5</v>
      </c>
      <c r="T68" s="247">
        <v>1018.7</v>
      </c>
      <c r="U68" s="248">
        <v>1021.4</v>
      </c>
      <c r="V68" s="248">
        <v>1023.8</v>
      </c>
      <c r="W68" s="5">
        <v>38</v>
      </c>
      <c r="Y68" s="5">
        <v>38</v>
      </c>
      <c r="Z68" s="248">
        <v>992.9</v>
      </c>
      <c r="AA68" s="247">
        <v>999.4</v>
      </c>
      <c r="AB68" s="248">
        <v>1005.9</v>
      </c>
      <c r="AC68" s="247">
        <v>1012.4</v>
      </c>
      <c r="AD68" s="248">
        <v>1018.8</v>
      </c>
      <c r="AE68" s="247">
        <v>1025.2</v>
      </c>
      <c r="AF68" s="248">
        <v>1031.4000000000001</v>
      </c>
      <c r="AG68" s="247">
        <v>1037.7</v>
      </c>
      <c r="AH68" s="248">
        <v>1043.8</v>
      </c>
      <c r="AI68" s="247"/>
      <c r="AJ68" s="248"/>
      <c r="AK68" s="8">
        <f t="shared" si="0"/>
        <v>38</v>
      </c>
    </row>
    <row r="69" spans="1:37">
      <c r="A69" s="27">
        <v>16</v>
      </c>
      <c r="B69" s="28" t="s">
        <v>91</v>
      </c>
      <c r="C69" s="27">
        <v>200</v>
      </c>
      <c r="D69" s="27">
        <v>3</v>
      </c>
      <c r="E69" s="27">
        <v>1.5</v>
      </c>
      <c r="F69" s="27">
        <v>7101010</v>
      </c>
      <c r="G69" s="27">
        <v>30</v>
      </c>
      <c r="H69" s="27"/>
      <c r="I69" s="5">
        <v>39</v>
      </c>
      <c r="J69" s="248">
        <v>992.6</v>
      </c>
      <c r="L69" s="247">
        <v>1021.1</v>
      </c>
      <c r="M69" s="248">
        <v>1028</v>
      </c>
      <c r="N69" s="247">
        <v>1033.5</v>
      </c>
      <c r="O69" s="248">
        <v>1041</v>
      </c>
      <c r="P69" s="247">
        <v>1046.2</v>
      </c>
      <c r="R69" s="247">
        <v>1011.2</v>
      </c>
      <c r="S69" s="248">
        <v>1014.9</v>
      </c>
      <c r="T69" s="247">
        <v>1018.1</v>
      </c>
      <c r="U69" s="248">
        <v>1020.7</v>
      </c>
      <c r="V69" s="248">
        <v>1023.2</v>
      </c>
      <c r="W69" s="5">
        <v>39</v>
      </c>
      <c r="Y69" s="5">
        <v>39</v>
      </c>
      <c r="Z69" s="248">
        <v>992.6</v>
      </c>
      <c r="AA69" s="247">
        <v>999</v>
      </c>
      <c r="AB69" s="248">
        <v>1005.6</v>
      </c>
      <c r="AC69" s="247">
        <v>1012.1</v>
      </c>
      <c r="AD69" s="248">
        <v>1018.5</v>
      </c>
      <c r="AE69" s="247">
        <v>1024.8</v>
      </c>
      <c r="AF69" s="248">
        <v>1031.0999999999999</v>
      </c>
      <c r="AG69" s="247">
        <v>1037.2</v>
      </c>
      <c r="AH69" s="248">
        <v>1043.3</v>
      </c>
      <c r="AI69" s="247"/>
      <c r="AJ69" s="248"/>
      <c r="AK69" s="8">
        <f t="shared" si="0"/>
        <v>39</v>
      </c>
    </row>
    <row r="70" spans="1:37">
      <c r="A70" s="27">
        <v>17</v>
      </c>
      <c r="B70" s="28" t="s">
        <v>95</v>
      </c>
      <c r="C70" s="27">
        <v>300</v>
      </c>
      <c r="D70" s="27">
        <v>3</v>
      </c>
      <c r="E70" s="27">
        <v>1.5</v>
      </c>
      <c r="F70" s="27">
        <v>7101011</v>
      </c>
      <c r="G70" s="27">
        <v>37</v>
      </c>
      <c r="H70" s="27"/>
      <c r="I70" s="5">
        <v>40</v>
      </c>
      <c r="J70" s="248">
        <v>992.2</v>
      </c>
      <c r="L70" s="247">
        <v>1020.7</v>
      </c>
      <c r="M70" s="248">
        <v>1027.5999999999999</v>
      </c>
      <c r="N70" s="247">
        <v>1033.0999999999999</v>
      </c>
      <c r="O70" s="248">
        <v>1040.5</v>
      </c>
      <c r="P70" s="247">
        <v>1045.7</v>
      </c>
      <c r="R70" s="247">
        <v>1010.6</v>
      </c>
      <c r="S70" s="248">
        <v>1014.3</v>
      </c>
      <c r="T70" s="247">
        <v>1017.5</v>
      </c>
      <c r="U70" s="248">
        <v>1020.1</v>
      </c>
      <c r="V70" s="248">
        <v>1022.5</v>
      </c>
      <c r="W70" s="5">
        <v>40</v>
      </c>
      <c r="Y70" s="5">
        <v>40</v>
      </c>
      <c r="Z70" s="248">
        <v>992.2</v>
      </c>
      <c r="AA70" s="247">
        <v>998.7</v>
      </c>
      <c r="AB70" s="248">
        <v>1005.3</v>
      </c>
      <c r="AC70" s="247">
        <v>1011.8</v>
      </c>
      <c r="AD70" s="248">
        <v>1018.1</v>
      </c>
      <c r="AE70" s="247">
        <v>1024.5</v>
      </c>
      <c r="AF70" s="248">
        <v>1030.7</v>
      </c>
      <c r="AG70" s="247">
        <v>1036.8</v>
      </c>
      <c r="AH70" s="248">
        <v>1042.8</v>
      </c>
      <c r="AI70" s="247"/>
      <c r="AJ70" s="248"/>
      <c r="AK70" s="8">
        <f t="shared" si="0"/>
        <v>40</v>
      </c>
    </row>
    <row r="71" spans="1:37">
      <c r="A71" s="27">
        <v>18</v>
      </c>
      <c r="B71" s="28" t="s">
        <v>96</v>
      </c>
      <c r="C71" s="27">
        <v>400</v>
      </c>
      <c r="D71" s="27">
        <v>3</v>
      </c>
      <c r="E71" s="27">
        <v>1.5</v>
      </c>
      <c r="F71" s="27">
        <v>7101012</v>
      </c>
      <c r="G71" s="27">
        <v>54</v>
      </c>
      <c r="H71" s="27"/>
      <c r="I71" s="5">
        <v>41</v>
      </c>
      <c r="J71" s="248">
        <v>991.8</v>
      </c>
      <c r="L71" s="247">
        <v>1020.2</v>
      </c>
      <c r="M71" s="248">
        <v>1027</v>
      </c>
      <c r="N71" s="247">
        <v>1032.5999999999999</v>
      </c>
      <c r="O71" s="248">
        <v>1039.9000000000001</v>
      </c>
      <c r="P71" s="247">
        <v>1045.0999999999999</v>
      </c>
      <c r="R71" s="247">
        <v>1010</v>
      </c>
      <c r="S71" s="248">
        <v>1013.7</v>
      </c>
      <c r="T71" s="247">
        <v>1016.9</v>
      </c>
      <c r="U71" s="248">
        <v>1019.4</v>
      </c>
      <c r="V71" s="248">
        <v>1021.8</v>
      </c>
      <c r="W71" s="5">
        <v>41</v>
      </c>
      <c r="Y71" s="5">
        <v>41</v>
      </c>
      <c r="Z71" s="248">
        <v>991.8</v>
      </c>
      <c r="AA71" s="247">
        <v>998.3</v>
      </c>
      <c r="AB71" s="248">
        <v>1004.8</v>
      </c>
      <c r="AC71" s="247">
        <v>1011.3</v>
      </c>
      <c r="AD71" s="248">
        <v>1017.6</v>
      </c>
      <c r="AE71" s="247">
        <v>1023.9</v>
      </c>
      <c r="AF71" s="248">
        <v>1030.0999999999999</v>
      </c>
      <c r="AG71" s="247">
        <v>1036.2</v>
      </c>
      <c r="AH71" s="248">
        <v>1042.2</v>
      </c>
      <c r="AI71" s="247"/>
      <c r="AJ71" s="248"/>
      <c r="AK71" s="8">
        <f t="shared" si="0"/>
        <v>41</v>
      </c>
    </row>
    <row r="72" spans="1:37">
      <c r="A72" s="27">
        <v>19</v>
      </c>
      <c r="B72" s="28" t="s">
        <v>97</v>
      </c>
      <c r="C72" s="27">
        <v>500</v>
      </c>
      <c r="D72" s="27">
        <v>3</v>
      </c>
      <c r="E72" s="27">
        <v>1.5</v>
      </c>
      <c r="F72" s="27">
        <v>7101013</v>
      </c>
      <c r="G72" s="27">
        <v>63</v>
      </c>
      <c r="H72" s="27"/>
      <c r="I72" s="5">
        <v>42</v>
      </c>
      <c r="J72" s="248">
        <v>991.4</v>
      </c>
      <c r="L72" s="247">
        <v>1019.6</v>
      </c>
      <c r="M72" s="248">
        <v>1026.5</v>
      </c>
      <c r="N72" s="247">
        <v>1032</v>
      </c>
      <c r="O72" s="248">
        <v>1039.3</v>
      </c>
      <c r="P72" s="247">
        <v>1044.5</v>
      </c>
      <c r="R72" s="247">
        <v>1009.5</v>
      </c>
      <c r="S72" s="248">
        <v>1013.1</v>
      </c>
      <c r="T72" s="247">
        <v>1016.2</v>
      </c>
      <c r="U72" s="248">
        <v>1018.8</v>
      </c>
      <c r="V72" s="248">
        <v>1021.1</v>
      </c>
      <c r="W72" s="5">
        <v>42</v>
      </c>
      <c r="Y72" s="5">
        <v>42</v>
      </c>
      <c r="Z72" s="248">
        <v>991.4</v>
      </c>
      <c r="AA72" s="247">
        <v>997.8</v>
      </c>
      <c r="AB72" s="248">
        <v>1004.3</v>
      </c>
      <c r="AC72" s="247">
        <v>1010.8</v>
      </c>
      <c r="AD72" s="248">
        <v>1017.1</v>
      </c>
      <c r="AE72" s="247">
        <v>1023.4</v>
      </c>
      <c r="AF72" s="248">
        <v>1029.5999999999999</v>
      </c>
      <c r="AG72" s="247">
        <v>1035.5999999999999</v>
      </c>
      <c r="AH72" s="248">
        <v>1041.5999999999999</v>
      </c>
      <c r="AI72" s="247"/>
      <c r="AJ72" s="248"/>
      <c r="AK72" s="8">
        <f t="shared" si="0"/>
        <v>42</v>
      </c>
    </row>
    <row r="73" spans="1:37">
      <c r="A73" s="27">
        <v>20</v>
      </c>
      <c r="B73" s="28" t="s">
        <v>98</v>
      </c>
      <c r="C73" s="27">
        <v>600</v>
      </c>
      <c r="D73" s="27">
        <v>3</v>
      </c>
      <c r="E73" s="27">
        <v>1.5</v>
      </c>
      <c r="F73" s="27">
        <v>7101014</v>
      </c>
      <c r="G73" s="27">
        <v>70</v>
      </c>
      <c r="H73" s="27"/>
      <c r="I73" s="5">
        <v>43</v>
      </c>
      <c r="J73" s="248">
        <v>991</v>
      </c>
      <c r="L73" s="247">
        <v>1019.1</v>
      </c>
      <c r="M73" s="248">
        <v>1025.9000000000001</v>
      </c>
      <c r="N73" s="247">
        <v>1031.4000000000001</v>
      </c>
      <c r="O73" s="248">
        <v>1038.7</v>
      </c>
      <c r="P73" s="247">
        <v>1043.9000000000001</v>
      </c>
      <c r="R73" s="247">
        <v>1008.9</v>
      </c>
      <c r="S73" s="248">
        <v>1012.5</v>
      </c>
      <c r="T73" s="247">
        <v>1015.6</v>
      </c>
      <c r="U73" s="248">
        <v>1018.1</v>
      </c>
      <c r="V73" s="248">
        <v>1020.5</v>
      </c>
      <c r="W73" s="5">
        <v>43</v>
      </c>
      <c r="Y73" s="5">
        <v>43</v>
      </c>
      <c r="Z73" s="248">
        <v>991</v>
      </c>
      <c r="AA73" s="247">
        <v>997.4</v>
      </c>
      <c r="AB73" s="248">
        <v>1003.8</v>
      </c>
      <c r="AC73" s="247">
        <v>1010.3</v>
      </c>
      <c r="AD73" s="248">
        <v>1016.6</v>
      </c>
      <c r="AE73" s="247">
        <v>1022.8</v>
      </c>
      <c r="AF73" s="248">
        <v>1029</v>
      </c>
      <c r="AG73" s="247">
        <v>1035</v>
      </c>
      <c r="AH73" s="248">
        <v>1041</v>
      </c>
      <c r="AI73" s="247"/>
      <c r="AJ73" s="248"/>
      <c r="AK73" s="8">
        <f t="shared" si="0"/>
        <v>43</v>
      </c>
    </row>
    <row r="74" spans="1:37">
      <c r="A74" s="27">
        <v>21</v>
      </c>
      <c r="B74" s="28" t="s">
        <v>99</v>
      </c>
      <c r="C74" s="27">
        <v>800</v>
      </c>
      <c r="D74" s="27">
        <v>3</v>
      </c>
      <c r="E74" s="27">
        <v>1.5</v>
      </c>
      <c r="F74" s="27">
        <v>7101015</v>
      </c>
      <c r="G74" s="27">
        <v>91</v>
      </c>
      <c r="H74" s="27"/>
      <c r="I74" s="5">
        <v>44</v>
      </c>
      <c r="J74" s="248">
        <v>990.6</v>
      </c>
      <c r="L74" s="247">
        <v>1018.6</v>
      </c>
      <c r="M74" s="248">
        <v>1025.4000000000001</v>
      </c>
      <c r="N74" s="247">
        <v>1030.9000000000001</v>
      </c>
      <c r="O74" s="248">
        <v>1038.0999999999999</v>
      </c>
      <c r="P74" s="247">
        <v>1043.3</v>
      </c>
      <c r="R74" s="247">
        <v>1008.3</v>
      </c>
      <c r="S74" s="248">
        <v>1011.9</v>
      </c>
      <c r="T74" s="247">
        <v>1014.9</v>
      </c>
      <c r="U74" s="248">
        <v>1017.4</v>
      </c>
      <c r="V74" s="248">
        <v>1019.8</v>
      </c>
      <c r="W74" s="5">
        <v>44</v>
      </c>
      <c r="Y74" s="5">
        <v>44</v>
      </c>
      <c r="Z74" s="248">
        <v>990.6</v>
      </c>
      <c r="AA74" s="247">
        <v>996.9</v>
      </c>
      <c r="AB74" s="248">
        <v>1003.4</v>
      </c>
      <c r="AC74" s="247">
        <v>1009.8</v>
      </c>
      <c r="AD74" s="248">
        <v>1016</v>
      </c>
      <c r="AE74" s="247">
        <v>1022.3</v>
      </c>
      <c r="AF74" s="248">
        <v>1028.4000000000001</v>
      </c>
      <c r="AG74" s="247">
        <v>1034.4000000000001</v>
      </c>
      <c r="AH74" s="248">
        <v>1040.4000000000001</v>
      </c>
      <c r="AI74" s="247"/>
      <c r="AJ74" s="248"/>
      <c r="AK74" s="8">
        <f t="shared" si="0"/>
        <v>44</v>
      </c>
    </row>
    <row r="75" spans="1:37">
      <c r="A75" s="27">
        <v>22</v>
      </c>
      <c r="B75" s="28" t="s">
        <v>100</v>
      </c>
      <c r="C75" s="27">
        <v>140</v>
      </c>
      <c r="D75" s="27">
        <v>6</v>
      </c>
      <c r="E75" s="27">
        <v>3.5</v>
      </c>
      <c r="F75" s="27">
        <v>7102008</v>
      </c>
      <c r="G75" s="27">
        <v>30</v>
      </c>
      <c r="H75" s="27"/>
      <c r="I75" s="5">
        <v>45</v>
      </c>
      <c r="J75" s="248">
        <v>990.2</v>
      </c>
      <c r="L75" s="247">
        <v>1018</v>
      </c>
      <c r="M75" s="248">
        <v>1024.8</v>
      </c>
      <c r="N75" s="247">
        <v>1030.3</v>
      </c>
      <c r="O75" s="248">
        <v>1037.5</v>
      </c>
      <c r="P75" s="247">
        <v>1042.7</v>
      </c>
      <c r="R75" s="247">
        <v>1007.7</v>
      </c>
      <c r="S75" s="248">
        <v>1011.3</v>
      </c>
      <c r="T75" s="247">
        <v>1014.3</v>
      </c>
      <c r="U75" s="248">
        <v>1016.8</v>
      </c>
      <c r="V75" s="248">
        <v>1019.1</v>
      </c>
      <c r="W75" s="5">
        <v>45</v>
      </c>
      <c r="Y75" s="5">
        <v>45</v>
      </c>
      <c r="Z75" s="248">
        <v>990.2</v>
      </c>
      <c r="AA75" s="247">
        <v>996.5</v>
      </c>
      <c r="AB75" s="248">
        <v>1002.9</v>
      </c>
      <c r="AC75" s="247">
        <v>1009.3</v>
      </c>
      <c r="AD75" s="248">
        <v>1015.5</v>
      </c>
      <c r="AE75" s="247">
        <v>1021.7</v>
      </c>
      <c r="AF75" s="248">
        <v>1027.9000000000001</v>
      </c>
      <c r="AG75" s="247">
        <v>1033.9000000000001</v>
      </c>
      <c r="AH75" s="248">
        <v>1039.8</v>
      </c>
      <c r="AI75" s="247"/>
      <c r="AJ75" s="248"/>
      <c r="AK75" s="8">
        <f t="shared" si="0"/>
        <v>45</v>
      </c>
    </row>
    <row r="76" spans="1:37">
      <c r="A76" s="27">
        <v>23</v>
      </c>
      <c r="B76" s="28" t="s">
        <v>92</v>
      </c>
      <c r="C76" s="27">
        <v>200</v>
      </c>
      <c r="D76" s="27">
        <v>6</v>
      </c>
      <c r="E76" s="27">
        <v>3.5</v>
      </c>
      <c r="F76" s="27">
        <v>7102009</v>
      </c>
      <c r="G76" s="27">
        <v>35</v>
      </c>
      <c r="H76" s="27"/>
      <c r="I76" s="5">
        <v>46</v>
      </c>
      <c r="J76" s="248">
        <v>989.8</v>
      </c>
      <c r="L76" s="247">
        <v>1017.5</v>
      </c>
      <c r="M76" s="248">
        <v>1024.3</v>
      </c>
      <c r="N76" s="247">
        <v>1029.7</v>
      </c>
      <c r="O76" s="248">
        <v>1036.9000000000001</v>
      </c>
      <c r="P76" s="247">
        <v>1042.0999999999999</v>
      </c>
      <c r="R76" s="247">
        <v>1007.1</v>
      </c>
      <c r="S76" s="248">
        <v>1010.6</v>
      </c>
      <c r="T76" s="247">
        <v>1013.6</v>
      </c>
      <c r="U76" s="248">
        <v>1016.1</v>
      </c>
      <c r="V76" s="248">
        <v>1018.4</v>
      </c>
      <c r="W76" s="5">
        <v>46</v>
      </c>
      <c r="Y76" s="5">
        <v>46</v>
      </c>
      <c r="Z76" s="248">
        <v>989.8</v>
      </c>
      <c r="AA76" s="247">
        <v>996</v>
      </c>
      <c r="AB76" s="248">
        <v>1002.4</v>
      </c>
      <c r="AC76" s="247">
        <v>1008.7</v>
      </c>
      <c r="AD76" s="248">
        <v>1015</v>
      </c>
      <c r="AE76" s="247">
        <v>1021.2</v>
      </c>
      <c r="AF76" s="248">
        <v>1027.3</v>
      </c>
      <c r="AG76" s="247">
        <v>1033.3</v>
      </c>
      <c r="AH76" s="248">
        <v>1039.2</v>
      </c>
      <c r="AI76" s="247"/>
      <c r="AJ76" s="248"/>
      <c r="AK76" s="8">
        <f t="shared" si="0"/>
        <v>46</v>
      </c>
    </row>
    <row r="77" spans="1:37">
      <c r="A77" s="27">
        <v>24</v>
      </c>
      <c r="B77" s="28" t="s">
        <v>101</v>
      </c>
      <c r="C77" s="27">
        <v>300</v>
      </c>
      <c r="D77" s="27">
        <v>6</v>
      </c>
      <c r="E77" s="27">
        <v>3.5</v>
      </c>
      <c r="F77" s="27">
        <v>7102010</v>
      </c>
      <c r="G77" s="27">
        <v>43</v>
      </c>
      <c r="H77" s="27"/>
      <c r="I77" s="5">
        <v>47</v>
      </c>
      <c r="J77" s="248">
        <v>989.4</v>
      </c>
      <c r="L77" s="247">
        <v>1017</v>
      </c>
      <c r="M77" s="248">
        <v>1023.7</v>
      </c>
      <c r="N77" s="247">
        <v>1029.2</v>
      </c>
      <c r="O77" s="248">
        <v>1036.3</v>
      </c>
      <c r="P77" s="247">
        <v>1041.4000000000001</v>
      </c>
      <c r="R77" s="247">
        <v>1006.5</v>
      </c>
      <c r="S77" s="248">
        <v>1010</v>
      </c>
      <c r="T77" s="247">
        <v>1013</v>
      </c>
      <c r="U77" s="248">
        <v>1015.4</v>
      </c>
      <c r="V77" s="248">
        <v>1017.7</v>
      </c>
      <c r="W77" s="5">
        <v>47</v>
      </c>
      <c r="Y77" s="5">
        <v>47</v>
      </c>
      <c r="Z77" s="248">
        <v>989.4</v>
      </c>
      <c r="AA77" s="247">
        <v>995.6</v>
      </c>
      <c r="AB77" s="248">
        <v>1001.9</v>
      </c>
      <c r="AC77" s="247">
        <v>1008.2</v>
      </c>
      <c r="AD77" s="248">
        <v>1014.5</v>
      </c>
      <c r="AE77" s="247">
        <v>1020.7</v>
      </c>
      <c r="AF77" s="248">
        <v>1026.8</v>
      </c>
      <c r="AG77" s="247">
        <v>1032.7</v>
      </c>
      <c r="AH77" s="248">
        <v>1038.5999999999999</v>
      </c>
      <c r="AI77" s="247"/>
      <c r="AJ77" s="248"/>
      <c r="AK77" s="8">
        <f t="shared" si="0"/>
        <v>47</v>
      </c>
    </row>
    <row r="78" spans="1:37">
      <c r="A78" s="27">
        <v>25</v>
      </c>
      <c r="B78" s="28" t="s">
        <v>102</v>
      </c>
      <c r="C78" s="27">
        <v>400</v>
      </c>
      <c r="D78" s="27">
        <v>6</v>
      </c>
      <c r="E78" s="27">
        <v>3.5</v>
      </c>
      <c r="F78" s="27">
        <v>7102011</v>
      </c>
      <c r="G78" s="27">
        <v>62</v>
      </c>
      <c r="H78" s="27"/>
      <c r="I78" s="5">
        <v>48</v>
      </c>
      <c r="J78" s="248">
        <v>988.9</v>
      </c>
      <c r="L78" s="247">
        <v>1016.4</v>
      </c>
      <c r="M78" s="248">
        <v>1023.2</v>
      </c>
      <c r="N78" s="247">
        <v>1028.5999999999999</v>
      </c>
      <c r="O78" s="248">
        <v>1035.7</v>
      </c>
      <c r="P78" s="247">
        <v>1040.8</v>
      </c>
      <c r="R78" s="247">
        <v>1006</v>
      </c>
      <c r="S78" s="248">
        <v>1009.4</v>
      </c>
      <c r="T78" s="247">
        <v>1012.3</v>
      </c>
      <c r="U78" s="248">
        <v>1014.7</v>
      </c>
      <c r="V78" s="248">
        <v>1017</v>
      </c>
      <c r="W78" s="5">
        <v>48</v>
      </c>
      <c r="Y78" s="5">
        <v>48</v>
      </c>
      <c r="Z78" s="248">
        <v>988.9</v>
      </c>
      <c r="AA78" s="247">
        <v>995.1</v>
      </c>
      <c r="AB78" s="248">
        <v>1001.5</v>
      </c>
      <c r="AC78" s="247">
        <v>1007.7</v>
      </c>
      <c r="AD78" s="248">
        <v>1013.9</v>
      </c>
      <c r="AE78" s="247">
        <v>1020.1</v>
      </c>
      <c r="AF78" s="248">
        <v>1026.2</v>
      </c>
      <c r="AG78" s="247">
        <v>1032.0999999999999</v>
      </c>
      <c r="AH78" s="248">
        <v>1038</v>
      </c>
      <c r="AI78" s="247"/>
      <c r="AJ78" s="248"/>
      <c r="AK78" s="8">
        <f t="shared" si="0"/>
        <v>48</v>
      </c>
    </row>
    <row r="79" spans="1:37">
      <c r="A79" s="27">
        <v>26</v>
      </c>
      <c r="B79" s="28" t="s">
        <v>103</v>
      </c>
      <c r="C79" s="27">
        <v>500</v>
      </c>
      <c r="D79" s="27">
        <v>6</v>
      </c>
      <c r="E79" s="27">
        <v>3.5</v>
      </c>
      <c r="F79" s="27">
        <v>7102012</v>
      </c>
      <c r="G79" s="27">
        <v>73</v>
      </c>
      <c r="H79" s="27"/>
      <c r="I79" s="5">
        <v>49</v>
      </c>
      <c r="J79" s="248">
        <v>988.5</v>
      </c>
      <c r="L79" s="247">
        <v>1015.9</v>
      </c>
      <c r="M79" s="248">
        <v>1022.6</v>
      </c>
      <c r="N79" s="247">
        <v>1028</v>
      </c>
      <c r="O79" s="248">
        <v>1035.0999999999999</v>
      </c>
      <c r="P79" s="247">
        <v>1040.2</v>
      </c>
      <c r="R79" s="247">
        <v>1005.4</v>
      </c>
      <c r="S79" s="248">
        <v>1008.8</v>
      </c>
      <c r="T79" s="247">
        <v>1011.7</v>
      </c>
      <c r="U79" s="248">
        <v>1014.1</v>
      </c>
      <c r="V79" s="248">
        <v>1016.3</v>
      </c>
      <c r="W79" s="5">
        <v>49</v>
      </c>
      <c r="Y79" s="5">
        <v>49</v>
      </c>
      <c r="Z79" s="248">
        <v>988.5</v>
      </c>
      <c r="AA79" s="247">
        <v>994.7</v>
      </c>
      <c r="AB79" s="248">
        <v>1001</v>
      </c>
      <c r="AC79" s="247">
        <v>1007.2</v>
      </c>
      <c r="AD79" s="248">
        <v>1013.4</v>
      </c>
      <c r="AE79" s="247">
        <v>1019.6</v>
      </c>
      <c r="AF79" s="248">
        <v>1025.7</v>
      </c>
      <c r="AG79" s="247">
        <v>1031.5</v>
      </c>
      <c r="AH79" s="248">
        <v>1037.3</v>
      </c>
      <c r="AI79" s="247"/>
      <c r="AJ79" s="248"/>
      <c r="AK79" s="8">
        <f t="shared" si="0"/>
        <v>49</v>
      </c>
    </row>
    <row r="80" spans="1:37">
      <c r="A80" s="27">
        <v>27</v>
      </c>
      <c r="B80" s="28" t="s">
        <v>104</v>
      </c>
      <c r="C80" s="27">
        <v>600</v>
      </c>
      <c r="D80" s="27">
        <v>6</v>
      </c>
      <c r="E80" s="27">
        <v>3.5</v>
      </c>
      <c r="F80" s="27">
        <v>7102013</v>
      </c>
      <c r="G80" s="27">
        <v>81</v>
      </c>
      <c r="H80" s="27"/>
      <c r="I80" s="5">
        <v>50</v>
      </c>
      <c r="J80" s="248">
        <v>988</v>
      </c>
      <c r="L80" s="247">
        <v>1015.4</v>
      </c>
      <c r="M80" s="248">
        <v>1022.1</v>
      </c>
      <c r="N80" s="247">
        <v>1027.4000000000001</v>
      </c>
      <c r="O80" s="248">
        <v>1034.5</v>
      </c>
      <c r="P80" s="247">
        <v>1039.5999999999999</v>
      </c>
      <c r="R80" s="247">
        <v>1004.8</v>
      </c>
      <c r="S80" s="248">
        <v>1008.2</v>
      </c>
      <c r="T80" s="247">
        <v>1011.1</v>
      </c>
      <c r="U80" s="248">
        <v>1013.4</v>
      </c>
      <c r="V80" s="248">
        <v>1015.7</v>
      </c>
      <c r="W80" s="5">
        <v>50</v>
      </c>
      <c r="Y80" s="5">
        <v>50</v>
      </c>
      <c r="Z80" s="248">
        <v>988</v>
      </c>
      <c r="AA80" s="247">
        <v>994.3</v>
      </c>
      <c r="AB80" s="248">
        <v>1000.5</v>
      </c>
      <c r="AC80" s="247">
        <v>1006.7</v>
      </c>
      <c r="AD80" s="248">
        <v>1012.9</v>
      </c>
      <c r="AE80" s="247">
        <v>1019</v>
      </c>
      <c r="AF80" s="248">
        <v>1025.0999999999999</v>
      </c>
      <c r="AG80" s="247">
        <v>1030.9000000000001</v>
      </c>
      <c r="AH80" s="248">
        <v>1036.7</v>
      </c>
      <c r="AI80" s="247"/>
      <c r="AJ80" s="248"/>
      <c r="AK80" s="8">
        <f t="shared" si="0"/>
        <v>50</v>
      </c>
    </row>
    <row r="81" spans="1:37">
      <c r="A81" s="27">
        <v>28</v>
      </c>
      <c r="B81" s="28" t="s">
        <v>105</v>
      </c>
      <c r="C81" s="27">
        <v>800</v>
      </c>
      <c r="D81" s="27">
        <v>6</v>
      </c>
      <c r="E81" s="27">
        <v>3.5</v>
      </c>
      <c r="F81" s="27">
        <v>7102014</v>
      </c>
      <c r="G81" s="27">
        <v>105</v>
      </c>
      <c r="H81" s="27"/>
      <c r="I81" s="5">
        <v>51</v>
      </c>
      <c r="J81" s="248">
        <v>987.6</v>
      </c>
      <c r="L81" s="247">
        <v>1014.8</v>
      </c>
      <c r="M81" s="248">
        <v>1021.5</v>
      </c>
      <c r="N81" s="247">
        <v>1026.8</v>
      </c>
      <c r="O81" s="248">
        <v>1033.9000000000001</v>
      </c>
      <c r="P81" s="247">
        <v>1039</v>
      </c>
      <c r="R81" s="247">
        <v>1004.2</v>
      </c>
      <c r="S81" s="248">
        <v>1007.5</v>
      </c>
      <c r="T81" s="247">
        <v>1010.4</v>
      </c>
      <c r="U81" s="248">
        <v>1012.7</v>
      </c>
      <c r="V81" s="248">
        <v>1014.9</v>
      </c>
      <c r="W81" s="5">
        <v>51</v>
      </c>
      <c r="Y81" s="5">
        <v>51</v>
      </c>
      <c r="Z81" s="248">
        <v>987.6</v>
      </c>
      <c r="AA81" s="247">
        <v>993.7</v>
      </c>
      <c r="AB81" s="248">
        <v>1000</v>
      </c>
      <c r="AC81" s="247">
        <v>1006.2</v>
      </c>
      <c r="AD81" s="248">
        <v>1012.3</v>
      </c>
      <c r="AE81" s="247">
        <v>1018.4</v>
      </c>
      <c r="AF81" s="248">
        <v>1024.5</v>
      </c>
      <c r="AG81" s="247">
        <v>1030.3</v>
      </c>
      <c r="AH81" s="248">
        <v>1036.0999999999999</v>
      </c>
      <c r="AI81" s="247"/>
      <c r="AJ81" s="248"/>
      <c r="AK81" s="8">
        <f t="shared" si="0"/>
        <v>51</v>
      </c>
    </row>
    <row r="82" spans="1:37">
      <c r="A82" s="27">
        <v>29</v>
      </c>
      <c r="B82" s="28" t="s">
        <v>106</v>
      </c>
      <c r="C82" s="27">
        <v>140</v>
      </c>
      <c r="D82" s="27">
        <v>10</v>
      </c>
      <c r="E82" s="27">
        <v>4</v>
      </c>
      <c r="F82" s="27">
        <v>7103007</v>
      </c>
      <c r="G82" s="27">
        <v>34</v>
      </c>
      <c r="H82" s="27"/>
      <c r="I82" s="5">
        <v>52</v>
      </c>
      <c r="J82" s="248">
        <v>987.1</v>
      </c>
      <c r="L82" s="247">
        <v>1014.2</v>
      </c>
      <c r="M82" s="248">
        <v>1020.9</v>
      </c>
      <c r="N82" s="247">
        <v>1026.2</v>
      </c>
      <c r="O82" s="248">
        <v>1033.3</v>
      </c>
      <c r="P82" s="247">
        <v>1038.3</v>
      </c>
      <c r="R82" s="247">
        <v>1003.6</v>
      </c>
      <c r="S82" s="248">
        <v>1006.9</v>
      </c>
      <c r="T82" s="247">
        <v>1009.7</v>
      </c>
      <c r="U82" s="248">
        <v>1012</v>
      </c>
      <c r="V82" s="248">
        <v>1014.2</v>
      </c>
      <c r="W82" s="5">
        <v>52</v>
      </c>
      <c r="Y82" s="5">
        <v>52</v>
      </c>
      <c r="Z82" s="248">
        <v>987.1</v>
      </c>
      <c r="AA82" s="247">
        <v>993.2</v>
      </c>
      <c r="AB82" s="248">
        <v>999.5</v>
      </c>
      <c r="AC82" s="247">
        <v>1005.6</v>
      </c>
      <c r="AD82" s="248">
        <v>1011.8</v>
      </c>
      <c r="AE82" s="247">
        <v>1017.8</v>
      </c>
      <c r="AF82" s="248">
        <v>1023.9</v>
      </c>
      <c r="AG82" s="247">
        <v>1029.7</v>
      </c>
      <c r="AH82" s="248">
        <v>1035.5</v>
      </c>
      <c r="AI82" s="247"/>
      <c r="AJ82" s="248"/>
      <c r="AK82" s="8">
        <f t="shared" si="0"/>
        <v>52</v>
      </c>
    </row>
    <row r="83" spans="1:37">
      <c r="A83" s="27">
        <v>30</v>
      </c>
      <c r="B83" s="28" t="s">
        <v>93</v>
      </c>
      <c r="C83" s="27">
        <v>200</v>
      </c>
      <c r="D83" s="27">
        <v>10</v>
      </c>
      <c r="E83" s="27">
        <v>4</v>
      </c>
      <c r="F83" s="27">
        <v>7103008</v>
      </c>
      <c r="G83" s="27">
        <v>42</v>
      </c>
      <c r="H83" s="27"/>
      <c r="I83" s="5">
        <v>53</v>
      </c>
      <c r="J83" s="248">
        <v>986.6</v>
      </c>
      <c r="L83" s="247">
        <v>1013.6</v>
      </c>
      <c r="M83" s="248">
        <v>1020.3</v>
      </c>
      <c r="N83" s="247">
        <v>1025.5999999999999</v>
      </c>
      <c r="O83" s="248">
        <v>1032.7</v>
      </c>
      <c r="P83" s="247">
        <v>1037.7</v>
      </c>
      <c r="R83" s="247">
        <v>1002.9</v>
      </c>
      <c r="S83" s="248">
        <v>1006.2</v>
      </c>
      <c r="T83" s="247">
        <v>1009</v>
      </c>
      <c r="U83" s="248">
        <v>1011.3</v>
      </c>
      <c r="V83" s="248">
        <v>1013.5</v>
      </c>
      <c r="W83" s="5">
        <v>53</v>
      </c>
      <c r="Y83" s="5">
        <v>53</v>
      </c>
      <c r="Z83" s="248">
        <v>986.6</v>
      </c>
      <c r="AA83" s="247">
        <v>992.7</v>
      </c>
      <c r="AB83" s="248">
        <v>998.9</v>
      </c>
      <c r="AC83" s="247">
        <v>1005.1</v>
      </c>
      <c r="AD83" s="248">
        <v>1011.2</v>
      </c>
      <c r="AE83" s="247">
        <v>1017.3</v>
      </c>
      <c r="AF83" s="248">
        <v>1023.3</v>
      </c>
      <c r="AG83" s="247">
        <v>1029.0999999999999</v>
      </c>
      <c r="AH83" s="248">
        <v>1034.8</v>
      </c>
      <c r="AI83" s="247"/>
      <c r="AJ83" s="248"/>
      <c r="AK83" s="8">
        <f t="shared" si="0"/>
        <v>53</v>
      </c>
    </row>
    <row r="84" spans="1:37">
      <c r="A84" s="27">
        <v>31</v>
      </c>
      <c r="B84" s="28" t="s">
        <v>107</v>
      </c>
      <c r="C84" s="27">
        <v>300</v>
      </c>
      <c r="D84" s="27">
        <v>10</v>
      </c>
      <c r="E84" s="27">
        <v>4</v>
      </c>
      <c r="F84" s="27">
        <v>7103009</v>
      </c>
      <c r="G84" s="27">
        <v>66</v>
      </c>
      <c r="H84" s="27"/>
      <c r="I84" s="5">
        <v>54</v>
      </c>
      <c r="J84" s="248">
        <v>986.2</v>
      </c>
      <c r="L84" s="247">
        <v>1013.1</v>
      </c>
      <c r="M84" s="248">
        <v>1019.7</v>
      </c>
      <c r="N84" s="247">
        <v>1025</v>
      </c>
      <c r="O84" s="248">
        <v>1032</v>
      </c>
      <c r="P84" s="247">
        <v>1037</v>
      </c>
      <c r="R84" s="247">
        <v>1002.3</v>
      </c>
      <c r="S84" s="248">
        <v>1005.6</v>
      </c>
      <c r="T84" s="247">
        <v>1008.4</v>
      </c>
      <c r="U84" s="248">
        <v>1010.6</v>
      </c>
      <c r="V84" s="248">
        <v>1012.8</v>
      </c>
      <c r="W84" s="5">
        <v>54</v>
      </c>
      <c r="Y84" s="5">
        <v>54</v>
      </c>
      <c r="Z84" s="248">
        <v>986.2</v>
      </c>
      <c r="AA84" s="247">
        <v>992.2</v>
      </c>
      <c r="AB84" s="248">
        <v>998.4</v>
      </c>
      <c r="AC84" s="247">
        <v>1004.6</v>
      </c>
      <c r="AD84" s="248">
        <v>1010.6</v>
      </c>
      <c r="AE84" s="247">
        <v>1016.7</v>
      </c>
      <c r="AF84" s="248">
        <v>1022.7</v>
      </c>
      <c r="AG84" s="247">
        <v>1028.5</v>
      </c>
      <c r="AH84" s="248">
        <v>1034.2</v>
      </c>
      <c r="AI84" s="247"/>
      <c r="AJ84" s="248"/>
      <c r="AK84" s="8">
        <f t="shared" si="0"/>
        <v>54</v>
      </c>
    </row>
    <row r="85" spans="1:37">
      <c r="A85" s="27">
        <v>32</v>
      </c>
      <c r="B85" s="28" t="s">
        <v>108</v>
      </c>
      <c r="C85" s="27">
        <v>400</v>
      </c>
      <c r="D85" s="27">
        <v>10</v>
      </c>
      <c r="E85" s="27">
        <v>4</v>
      </c>
      <c r="F85" s="27">
        <v>7103010</v>
      </c>
      <c r="G85" s="27">
        <v>75</v>
      </c>
      <c r="H85" s="27"/>
      <c r="I85" s="5">
        <v>55</v>
      </c>
      <c r="J85" s="248">
        <v>985.7</v>
      </c>
      <c r="L85" s="247">
        <v>1012.5</v>
      </c>
      <c r="M85" s="248">
        <v>1019.1</v>
      </c>
      <c r="N85" s="247">
        <v>1024.4000000000001</v>
      </c>
      <c r="O85" s="248">
        <v>1031.4000000000001</v>
      </c>
      <c r="P85" s="247">
        <v>1036.4000000000001</v>
      </c>
      <c r="R85" s="247">
        <v>1001.7</v>
      </c>
      <c r="S85" s="248">
        <v>1005</v>
      </c>
      <c r="T85" s="247">
        <v>1007.7</v>
      </c>
      <c r="U85" s="248">
        <v>1009.9</v>
      </c>
      <c r="V85" s="248">
        <v>1012.1</v>
      </c>
      <c r="W85" s="5">
        <v>55</v>
      </c>
      <c r="Y85" s="5">
        <v>55</v>
      </c>
      <c r="Z85" s="248">
        <v>985.7</v>
      </c>
      <c r="AA85" s="247">
        <v>991.7</v>
      </c>
      <c r="AB85" s="248">
        <v>997.9</v>
      </c>
      <c r="AC85" s="247">
        <v>1004</v>
      </c>
      <c r="AD85" s="248">
        <v>1010.1</v>
      </c>
      <c r="AE85" s="247">
        <v>1016.1</v>
      </c>
      <c r="AF85" s="248">
        <v>1022.1</v>
      </c>
      <c r="AG85" s="247">
        <v>1027.8</v>
      </c>
      <c r="AH85" s="248">
        <v>1033.5999999999999</v>
      </c>
      <c r="AI85" s="247"/>
      <c r="AJ85" s="248"/>
      <c r="AK85" s="8">
        <f t="shared" si="0"/>
        <v>55</v>
      </c>
    </row>
    <row r="86" spans="1:37">
      <c r="A86" s="27">
        <v>33</v>
      </c>
      <c r="B86" s="28" t="s">
        <v>109</v>
      </c>
      <c r="C86" s="27">
        <v>500</v>
      </c>
      <c r="D86" s="27">
        <v>10</v>
      </c>
      <c r="E86" s="27">
        <v>4</v>
      </c>
      <c r="F86" s="27">
        <v>7103011</v>
      </c>
      <c r="G86" s="27">
        <v>103</v>
      </c>
      <c r="H86" s="27"/>
      <c r="I86" s="5">
        <v>56</v>
      </c>
      <c r="J86" s="248">
        <v>985.2</v>
      </c>
      <c r="L86" s="247">
        <v>1011.9</v>
      </c>
      <c r="M86" s="248">
        <v>1018.5</v>
      </c>
      <c r="N86" s="247">
        <v>1023.8</v>
      </c>
      <c r="O86" s="248">
        <v>1030.8</v>
      </c>
      <c r="P86" s="247">
        <v>1035.7</v>
      </c>
      <c r="R86" s="247">
        <v>1001.1</v>
      </c>
      <c r="S86" s="248">
        <v>1004.3</v>
      </c>
      <c r="T86" s="247">
        <v>1007</v>
      </c>
      <c r="U86" s="248">
        <v>1009.3</v>
      </c>
      <c r="V86" s="248">
        <v>1011.4</v>
      </c>
      <c r="W86" s="5">
        <v>56</v>
      </c>
      <c r="Y86" s="5">
        <v>56</v>
      </c>
      <c r="Z86" s="248">
        <v>985.2</v>
      </c>
      <c r="AA86" s="247">
        <v>991.2</v>
      </c>
      <c r="AB86" s="248">
        <v>997.4</v>
      </c>
      <c r="AC86" s="247">
        <v>1003.5</v>
      </c>
      <c r="AD86" s="248">
        <v>1009.5</v>
      </c>
      <c r="AE86" s="247">
        <v>1015.5</v>
      </c>
      <c r="AF86" s="248">
        <v>1021.4</v>
      </c>
      <c r="AG86" s="247">
        <v>1027.2</v>
      </c>
      <c r="AH86" s="248">
        <v>1032.9000000000001</v>
      </c>
      <c r="AI86" s="247"/>
      <c r="AJ86" s="248"/>
      <c r="AK86" s="8">
        <f t="shared" si="0"/>
        <v>56</v>
      </c>
    </row>
    <row r="87" spans="1:37">
      <c r="A87" s="27">
        <v>34</v>
      </c>
      <c r="B87" s="28" t="s">
        <v>110</v>
      </c>
      <c r="C87" s="27">
        <v>600</v>
      </c>
      <c r="D87" s="27">
        <v>10</v>
      </c>
      <c r="E87" s="27">
        <v>4</v>
      </c>
      <c r="F87" s="27">
        <v>7103012</v>
      </c>
      <c r="G87" s="27">
        <v>113</v>
      </c>
      <c r="H87" s="27"/>
      <c r="I87" s="5">
        <v>57</v>
      </c>
      <c r="J87" s="248">
        <v>984.7</v>
      </c>
      <c r="L87" s="247">
        <v>1011.3</v>
      </c>
      <c r="M87" s="248">
        <v>1017.9</v>
      </c>
      <c r="N87" s="247">
        <v>1023.2</v>
      </c>
      <c r="O87" s="248">
        <v>1030.0999999999999</v>
      </c>
      <c r="P87" s="247">
        <v>1035.0999999999999</v>
      </c>
      <c r="R87" s="247">
        <v>1000.5</v>
      </c>
      <c r="S87" s="248">
        <v>1003.7</v>
      </c>
      <c r="T87" s="247">
        <v>1006.4</v>
      </c>
      <c r="U87" s="248">
        <v>1008.6</v>
      </c>
      <c r="V87" s="248">
        <v>1010.7</v>
      </c>
      <c r="W87" s="5">
        <v>57</v>
      </c>
      <c r="Y87" s="5">
        <v>57</v>
      </c>
      <c r="Z87" s="248">
        <v>984.7</v>
      </c>
      <c r="AA87" s="247">
        <v>990.7</v>
      </c>
      <c r="AB87" s="248">
        <v>996.8</v>
      </c>
      <c r="AC87" s="247">
        <v>1002.9</v>
      </c>
      <c r="AD87" s="248">
        <v>1008.9</v>
      </c>
      <c r="AE87" s="247">
        <v>1014.9</v>
      </c>
      <c r="AF87" s="248">
        <v>1020.8</v>
      </c>
      <c r="AG87" s="247">
        <v>1026.5999999999999</v>
      </c>
      <c r="AH87" s="248">
        <v>1032.3</v>
      </c>
      <c r="AI87" s="247"/>
      <c r="AJ87" s="248"/>
      <c r="AK87" s="8">
        <f t="shared" si="0"/>
        <v>57</v>
      </c>
    </row>
    <row r="88" spans="1:37">
      <c r="A88" s="27">
        <v>35</v>
      </c>
      <c r="B88" s="28" t="s">
        <v>112</v>
      </c>
      <c r="C88" s="27">
        <v>1000</v>
      </c>
      <c r="D88" s="27">
        <v>6</v>
      </c>
      <c r="E88" s="27">
        <v>3.5</v>
      </c>
      <c r="F88" s="27">
        <v>7102015</v>
      </c>
      <c r="G88" s="27">
        <v>290</v>
      </c>
      <c r="H88" s="27"/>
      <c r="I88" s="5">
        <v>58</v>
      </c>
      <c r="J88" s="248">
        <v>984.2</v>
      </c>
      <c r="L88" s="247">
        <v>1010.8</v>
      </c>
      <c r="M88" s="248">
        <v>1017.3</v>
      </c>
      <c r="N88" s="247">
        <v>1022.5</v>
      </c>
      <c r="O88" s="248">
        <v>1029.5</v>
      </c>
      <c r="P88" s="247">
        <v>1034.4000000000001</v>
      </c>
      <c r="R88" s="247">
        <v>999.8</v>
      </c>
      <c r="S88" s="248">
        <v>1003</v>
      </c>
      <c r="T88" s="247">
        <v>1005.7</v>
      </c>
      <c r="U88" s="248">
        <v>1007.9</v>
      </c>
      <c r="V88" s="248">
        <v>1009.9</v>
      </c>
      <c r="W88" s="5">
        <v>58</v>
      </c>
      <c r="Y88" s="5">
        <v>58</v>
      </c>
      <c r="Z88" s="248">
        <v>984.2</v>
      </c>
      <c r="AA88" s="247">
        <v>990.2</v>
      </c>
      <c r="AB88" s="248">
        <v>996.3</v>
      </c>
      <c r="AC88" s="247">
        <v>1002.4</v>
      </c>
      <c r="AD88" s="248">
        <v>1008.4</v>
      </c>
      <c r="AE88" s="247">
        <v>1014.3</v>
      </c>
      <c r="AF88" s="248">
        <v>1020.2</v>
      </c>
      <c r="AG88" s="247">
        <v>1026</v>
      </c>
      <c r="AH88" s="248">
        <v>1031.7</v>
      </c>
      <c r="AI88" s="247"/>
      <c r="AJ88" s="248"/>
      <c r="AK88" s="8">
        <f t="shared" si="0"/>
        <v>58</v>
      </c>
    </row>
    <row r="89" spans="1:37">
      <c r="A89" s="27">
        <v>36</v>
      </c>
      <c r="B89" s="28" t="s">
        <v>113</v>
      </c>
      <c r="C89" s="27">
        <v>1500</v>
      </c>
      <c r="D89" s="27">
        <v>6</v>
      </c>
      <c r="E89" s="27">
        <v>3.5</v>
      </c>
      <c r="F89" s="27">
        <v>7102016</v>
      </c>
      <c r="G89" s="27">
        <v>400</v>
      </c>
      <c r="H89" s="27"/>
      <c r="I89" s="5">
        <v>59</v>
      </c>
      <c r="J89" s="248">
        <v>983.7</v>
      </c>
      <c r="L89" s="247">
        <v>1010.2</v>
      </c>
      <c r="M89" s="248">
        <v>1016.7</v>
      </c>
      <c r="N89" s="247">
        <v>1021.9</v>
      </c>
      <c r="O89" s="248">
        <v>1028.9000000000001</v>
      </c>
      <c r="P89" s="247">
        <v>1033.8</v>
      </c>
      <c r="R89" s="247">
        <v>999.2</v>
      </c>
      <c r="S89" s="248">
        <v>1002.4</v>
      </c>
      <c r="T89" s="247">
        <v>1005</v>
      </c>
      <c r="U89" s="248">
        <v>1007.2</v>
      </c>
      <c r="V89" s="248">
        <v>1009.2</v>
      </c>
      <c r="W89" s="5">
        <v>59</v>
      </c>
      <c r="Y89" s="5">
        <v>59</v>
      </c>
      <c r="Z89" s="248">
        <v>983.7</v>
      </c>
      <c r="AA89" s="247">
        <v>989.7</v>
      </c>
      <c r="AB89" s="248">
        <v>995.8</v>
      </c>
      <c r="AC89" s="247">
        <v>1001.8</v>
      </c>
      <c r="AD89" s="248">
        <v>1007.8</v>
      </c>
      <c r="AE89" s="247">
        <v>1013.7</v>
      </c>
      <c r="AF89" s="248">
        <v>1019.6</v>
      </c>
      <c r="AG89" s="247">
        <v>1025.4000000000001</v>
      </c>
      <c r="AH89" s="248">
        <v>1031</v>
      </c>
      <c r="AI89" s="247"/>
      <c r="AJ89" s="248"/>
      <c r="AK89" s="8">
        <f t="shared" si="0"/>
        <v>59</v>
      </c>
    </row>
    <row r="90" spans="1:37">
      <c r="A90" s="27">
        <v>37</v>
      </c>
      <c r="B90" s="28" t="s">
        <v>114</v>
      </c>
      <c r="C90" s="27">
        <v>2000</v>
      </c>
      <c r="D90" s="27">
        <v>6</v>
      </c>
      <c r="E90" s="27">
        <v>3.5</v>
      </c>
      <c r="F90" s="27">
        <v>7102017</v>
      </c>
      <c r="G90" s="27">
        <v>680</v>
      </c>
      <c r="H90" s="27"/>
      <c r="I90" s="5">
        <v>60</v>
      </c>
      <c r="J90" s="248">
        <v>983.2</v>
      </c>
      <c r="L90" s="247">
        <v>1009.6</v>
      </c>
      <c r="M90" s="248">
        <v>1016.1</v>
      </c>
      <c r="N90" s="247">
        <v>1021.3</v>
      </c>
      <c r="O90" s="248">
        <v>1028.3</v>
      </c>
      <c r="P90" s="247">
        <v>1033.0999999999999</v>
      </c>
      <c r="R90" s="247">
        <v>998.6</v>
      </c>
      <c r="S90" s="248">
        <v>1001.7</v>
      </c>
      <c r="T90" s="247">
        <v>1004.4</v>
      </c>
      <c r="U90" s="248">
        <v>1006.5</v>
      </c>
      <c r="V90" s="248">
        <v>1008.5</v>
      </c>
      <c r="W90" s="5">
        <v>60</v>
      </c>
      <c r="Y90" s="5">
        <v>60</v>
      </c>
      <c r="Z90" s="248">
        <v>983.2</v>
      </c>
      <c r="AA90" s="247">
        <v>989.2</v>
      </c>
      <c r="AB90" s="248">
        <v>995.3</v>
      </c>
      <c r="AC90" s="247">
        <v>1001.3</v>
      </c>
      <c r="AD90" s="248">
        <v>1007.2</v>
      </c>
      <c r="AE90" s="247">
        <v>1013.2</v>
      </c>
      <c r="AF90" s="248">
        <v>1019</v>
      </c>
      <c r="AG90" s="247">
        <v>1024.8</v>
      </c>
      <c r="AH90" s="248">
        <v>1030.4000000000001</v>
      </c>
      <c r="AI90" s="247"/>
      <c r="AJ90" s="248"/>
      <c r="AK90" s="8">
        <f t="shared" si="0"/>
        <v>60</v>
      </c>
    </row>
    <row r="91" spans="1:37">
      <c r="A91" s="27">
        <v>38</v>
      </c>
      <c r="B91" s="28" t="s">
        <v>115</v>
      </c>
      <c r="C91" s="27">
        <v>3000</v>
      </c>
      <c r="D91" s="27">
        <v>6</v>
      </c>
      <c r="E91" s="27">
        <v>3.5</v>
      </c>
      <c r="F91" s="27">
        <v>7102018</v>
      </c>
      <c r="G91" s="27">
        <v>840</v>
      </c>
      <c r="H91" s="27"/>
      <c r="I91" s="5">
        <v>61</v>
      </c>
      <c r="J91" s="248">
        <v>982.7</v>
      </c>
      <c r="L91" s="247">
        <v>1009</v>
      </c>
      <c r="M91" s="248">
        <v>1015.4</v>
      </c>
      <c r="N91" s="247">
        <v>1020.7</v>
      </c>
      <c r="O91" s="248">
        <v>1027.5999999999999</v>
      </c>
      <c r="P91" s="247">
        <v>1032.5</v>
      </c>
      <c r="R91" s="247">
        <v>997.9</v>
      </c>
      <c r="S91" s="248">
        <v>1001</v>
      </c>
      <c r="T91" s="247">
        <v>1003.6</v>
      </c>
      <c r="U91" s="248">
        <v>1005.7</v>
      </c>
      <c r="V91" s="248">
        <v>1007.7</v>
      </c>
      <c r="W91" s="5">
        <v>61</v>
      </c>
      <c r="Y91" s="5">
        <v>61</v>
      </c>
      <c r="Z91" s="248">
        <v>982.7</v>
      </c>
      <c r="AA91" s="247">
        <v>988.7</v>
      </c>
      <c r="AB91" s="248">
        <v>994.7</v>
      </c>
      <c r="AC91" s="247">
        <v>1000.7</v>
      </c>
      <c r="AD91" s="248">
        <v>1006.6</v>
      </c>
      <c r="AE91" s="247">
        <v>1012.5</v>
      </c>
      <c r="AF91" s="248">
        <v>1018.4</v>
      </c>
      <c r="AG91" s="247">
        <v>1024.0999999999999</v>
      </c>
      <c r="AH91" s="248">
        <v>1029.7</v>
      </c>
      <c r="AI91" s="247"/>
      <c r="AJ91" s="248"/>
      <c r="AK91" s="8">
        <f t="shared" si="0"/>
        <v>61</v>
      </c>
    </row>
    <row r="92" spans="1:37">
      <c r="A92" s="27">
        <v>39</v>
      </c>
      <c r="B92" s="28" t="s">
        <v>116</v>
      </c>
      <c r="C92" s="27">
        <v>4000</v>
      </c>
      <c r="D92" s="27">
        <v>6</v>
      </c>
      <c r="E92" s="27">
        <v>3.5</v>
      </c>
      <c r="F92" s="27">
        <v>7102019</v>
      </c>
      <c r="G92" s="27">
        <v>950</v>
      </c>
      <c r="H92" s="27"/>
      <c r="I92" s="5">
        <v>62</v>
      </c>
      <c r="J92" s="248">
        <v>982.2</v>
      </c>
      <c r="L92" s="247">
        <v>1008.4</v>
      </c>
      <c r="M92" s="248">
        <v>1014.8</v>
      </c>
      <c r="N92" s="247">
        <v>1020</v>
      </c>
      <c r="O92" s="248">
        <v>1026.9000000000001</v>
      </c>
      <c r="P92" s="247">
        <v>1031.8</v>
      </c>
      <c r="R92" s="247">
        <v>997.3</v>
      </c>
      <c r="S92" s="248">
        <v>1000.3</v>
      </c>
      <c r="T92" s="247">
        <v>1002.9</v>
      </c>
      <c r="U92" s="248">
        <v>1005</v>
      </c>
      <c r="V92" s="248">
        <v>1007</v>
      </c>
      <c r="W92" s="5">
        <v>62</v>
      </c>
      <c r="Y92" s="5">
        <v>62</v>
      </c>
      <c r="Z92" s="248">
        <v>982.2</v>
      </c>
      <c r="AA92" s="247">
        <v>988.1</v>
      </c>
      <c r="AB92" s="248">
        <v>994.1</v>
      </c>
      <c r="AC92" s="247">
        <v>1000.1</v>
      </c>
      <c r="AD92" s="248">
        <v>1006</v>
      </c>
      <c r="AE92" s="247">
        <v>1011.9</v>
      </c>
      <c r="AF92" s="248">
        <v>1017.7</v>
      </c>
      <c r="AG92" s="247">
        <v>1023.4</v>
      </c>
      <c r="AH92" s="248">
        <v>1029</v>
      </c>
      <c r="AI92" s="247"/>
      <c r="AJ92" s="248"/>
      <c r="AK92" s="8">
        <f t="shared" si="0"/>
        <v>62</v>
      </c>
    </row>
    <row r="93" spans="1:37">
      <c r="A93" s="27">
        <v>40</v>
      </c>
      <c r="B93" s="28" t="s">
        <v>117</v>
      </c>
      <c r="C93" s="27">
        <v>5000</v>
      </c>
      <c r="D93" s="27">
        <v>6</v>
      </c>
      <c r="E93" s="27">
        <v>3.5</v>
      </c>
      <c r="F93" s="27">
        <v>7102020</v>
      </c>
      <c r="G93" s="27">
        <v>1050</v>
      </c>
      <c r="H93" s="27"/>
      <c r="I93" s="5">
        <v>63</v>
      </c>
      <c r="J93" s="248">
        <v>981.6</v>
      </c>
      <c r="L93" s="247">
        <v>1007.8</v>
      </c>
      <c r="M93" s="248">
        <v>1014.2</v>
      </c>
      <c r="N93" s="247">
        <v>1019.4</v>
      </c>
      <c r="O93" s="248">
        <v>1026.2</v>
      </c>
      <c r="P93" s="247">
        <v>1031.0999999999999</v>
      </c>
      <c r="R93" s="247">
        <v>996.6</v>
      </c>
      <c r="S93" s="248">
        <v>999.6</v>
      </c>
      <c r="T93" s="247">
        <v>1002.2</v>
      </c>
      <c r="U93" s="248">
        <v>1004.3</v>
      </c>
      <c r="V93" s="248">
        <v>1006.2</v>
      </c>
      <c r="W93" s="5">
        <v>63</v>
      </c>
      <c r="Y93" s="5">
        <v>63</v>
      </c>
      <c r="Z93" s="248">
        <v>981.6</v>
      </c>
      <c r="AA93" s="247">
        <v>987.5</v>
      </c>
      <c r="AB93" s="248">
        <v>993.5</v>
      </c>
      <c r="AC93" s="247">
        <v>999.5</v>
      </c>
      <c r="AD93" s="248">
        <v>1005.4</v>
      </c>
      <c r="AE93" s="247">
        <v>1011.3</v>
      </c>
      <c r="AF93" s="248">
        <v>1017.1</v>
      </c>
      <c r="AG93" s="247">
        <v>1022.8</v>
      </c>
      <c r="AH93" s="248">
        <v>1028.3</v>
      </c>
      <c r="AI93" s="247"/>
      <c r="AJ93" s="248"/>
      <c r="AK93" s="8">
        <f t="shared" si="0"/>
        <v>63</v>
      </c>
    </row>
    <row r="94" spans="1:37">
      <c r="A94" s="27">
        <v>41</v>
      </c>
      <c r="B94" s="28" t="s">
        <v>111</v>
      </c>
      <c r="C94" s="27">
        <v>1000</v>
      </c>
      <c r="D94" s="27">
        <v>10</v>
      </c>
      <c r="E94" s="27">
        <v>4</v>
      </c>
      <c r="F94" s="27">
        <v>7103013</v>
      </c>
      <c r="G94" s="27">
        <v>340</v>
      </c>
      <c r="H94" s="27"/>
      <c r="I94" s="5">
        <v>64</v>
      </c>
      <c r="J94" s="248">
        <v>981.1</v>
      </c>
      <c r="L94" s="247">
        <v>1007.2</v>
      </c>
      <c r="M94" s="248">
        <v>1013.5</v>
      </c>
      <c r="N94" s="247">
        <v>1018.7</v>
      </c>
      <c r="O94" s="248">
        <v>1025.5999999999999</v>
      </c>
      <c r="P94" s="247">
        <v>1030.4000000000001</v>
      </c>
      <c r="R94" s="247">
        <v>995.9</v>
      </c>
      <c r="S94" s="248">
        <v>998.9</v>
      </c>
      <c r="T94" s="247">
        <v>1001.5</v>
      </c>
      <c r="U94" s="248">
        <v>1003.5</v>
      </c>
      <c r="V94" s="248">
        <v>1005.5</v>
      </c>
      <c r="W94" s="5">
        <v>64</v>
      </c>
      <c r="Y94" s="5">
        <v>64</v>
      </c>
      <c r="Z94" s="248">
        <v>981.1</v>
      </c>
      <c r="AA94" s="247">
        <v>987</v>
      </c>
      <c r="AB94" s="248">
        <v>993</v>
      </c>
      <c r="AC94" s="247">
        <v>998.9</v>
      </c>
      <c r="AD94" s="248">
        <v>1004.8</v>
      </c>
      <c r="AE94" s="247">
        <v>1010.7</v>
      </c>
      <c r="AF94" s="248">
        <v>1016.4</v>
      </c>
      <c r="AG94" s="247">
        <v>1022.1</v>
      </c>
      <c r="AH94" s="248">
        <v>1027.7</v>
      </c>
      <c r="AI94" s="247"/>
      <c r="AJ94" s="248"/>
      <c r="AK94" s="8">
        <f t="shared" si="0"/>
        <v>64</v>
      </c>
    </row>
    <row r="95" spans="1:37">
      <c r="A95" s="27">
        <v>42</v>
      </c>
      <c r="B95" s="28" t="s">
        <v>118</v>
      </c>
      <c r="C95" s="27">
        <v>1500</v>
      </c>
      <c r="D95" s="27">
        <v>10</v>
      </c>
      <c r="E95" s="27">
        <v>4</v>
      </c>
      <c r="F95" s="27">
        <v>7103014</v>
      </c>
      <c r="G95" s="27">
        <v>460</v>
      </c>
      <c r="H95" s="27"/>
      <c r="I95" s="5">
        <v>65</v>
      </c>
      <c r="J95" s="248">
        <v>980.5</v>
      </c>
      <c r="L95" s="247">
        <v>1006.5</v>
      </c>
      <c r="M95" s="248">
        <v>1012.9</v>
      </c>
      <c r="N95" s="247">
        <v>1018</v>
      </c>
      <c r="O95" s="248">
        <v>1024.9000000000001</v>
      </c>
      <c r="P95" s="247">
        <v>1029.7</v>
      </c>
      <c r="R95" s="247">
        <v>995.3</v>
      </c>
      <c r="S95" s="248">
        <v>998.3</v>
      </c>
      <c r="T95" s="247">
        <v>1000.8</v>
      </c>
      <c r="U95" s="248">
        <v>1002.8</v>
      </c>
      <c r="V95" s="248">
        <v>1004.7</v>
      </c>
      <c r="W95" s="5">
        <v>65</v>
      </c>
      <c r="Y95" s="5">
        <v>65</v>
      </c>
      <c r="Z95" s="248">
        <v>980.5</v>
      </c>
      <c r="AA95" s="247">
        <v>986.4</v>
      </c>
      <c r="AB95" s="248">
        <v>992.4</v>
      </c>
      <c r="AC95" s="247">
        <v>998.3</v>
      </c>
      <c r="AD95" s="248">
        <v>1004.2</v>
      </c>
      <c r="AE95" s="247">
        <v>1010</v>
      </c>
      <c r="AF95" s="248">
        <v>1015.8</v>
      </c>
      <c r="AG95" s="247">
        <v>1021.4</v>
      </c>
      <c r="AH95" s="248">
        <v>1027</v>
      </c>
      <c r="AI95" s="247"/>
      <c r="AJ95" s="248"/>
      <c r="AK95" s="8">
        <f t="shared" si="0"/>
        <v>65</v>
      </c>
    </row>
    <row r="96" spans="1:37">
      <c r="A96" s="27">
        <v>43</v>
      </c>
      <c r="B96" s="28" t="s">
        <v>119</v>
      </c>
      <c r="C96" s="27">
        <v>2000</v>
      </c>
      <c r="D96" s="27">
        <v>10</v>
      </c>
      <c r="E96" s="27">
        <v>4</v>
      </c>
      <c r="F96" s="27">
        <v>7103015</v>
      </c>
      <c r="G96" s="27">
        <v>760</v>
      </c>
      <c r="H96" s="27"/>
      <c r="I96" s="5">
        <v>66</v>
      </c>
      <c r="J96" s="248">
        <v>980</v>
      </c>
      <c r="L96" s="247">
        <v>1005.9</v>
      </c>
      <c r="M96" s="248">
        <v>1012.3</v>
      </c>
      <c r="N96" s="247">
        <v>1017.4</v>
      </c>
      <c r="O96" s="248">
        <v>1024.2</v>
      </c>
      <c r="P96" s="247">
        <v>1029</v>
      </c>
      <c r="R96" s="247">
        <v>994.6</v>
      </c>
      <c r="S96" s="248">
        <v>997.6</v>
      </c>
      <c r="T96" s="247">
        <v>1000</v>
      </c>
      <c r="U96" s="248">
        <v>1002.1</v>
      </c>
      <c r="V96" s="248">
        <v>1004</v>
      </c>
      <c r="W96" s="5">
        <v>66</v>
      </c>
      <c r="Y96" s="5">
        <v>66</v>
      </c>
      <c r="Z96" s="248">
        <v>980</v>
      </c>
      <c r="AA96" s="247">
        <v>985.9</v>
      </c>
      <c r="AB96" s="248">
        <v>991.8</v>
      </c>
      <c r="AC96" s="247">
        <v>997.7</v>
      </c>
      <c r="AD96" s="248">
        <v>1003.6</v>
      </c>
      <c r="AE96" s="247">
        <v>1009.4</v>
      </c>
      <c r="AF96" s="248">
        <v>1015.1</v>
      </c>
      <c r="AG96" s="247">
        <v>1020.8</v>
      </c>
      <c r="AH96" s="248">
        <v>1026.5999999999999</v>
      </c>
      <c r="AI96" s="247"/>
      <c r="AJ96" s="248"/>
      <c r="AK96" s="8">
        <f t="shared" ref="AK96:AK159" si="1">Y96</f>
        <v>66</v>
      </c>
    </row>
    <row r="97" spans="1:37">
      <c r="A97" s="27">
        <v>44</v>
      </c>
      <c r="B97" s="28" t="s">
        <v>120</v>
      </c>
      <c r="C97" s="27">
        <v>3000</v>
      </c>
      <c r="D97" s="27">
        <v>10</v>
      </c>
      <c r="E97" s="27">
        <v>4</v>
      </c>
      <c r="F97" s="27">
        <v>7103016</v>
      </c>
      <c r="G97" s="27">
        <v>920</v>
      </c>
      <c r="H97" s="27"/>
      <c r="I97" s="5">
        <v>67</v>
      </c>
      <c r="J97" s="248">
        <v>979.4</v>
      </c>
      <c r="L97" s="247">
        <v>1005.3</v>
      </c>
      <c r="M97" s="248">
        <v>1011.6</v>
      </c>
      <c r="N97" s="247">
        <v>1016.7</v>
      </c>
      <c r="O97" s="248">
        <v>1023.5</v>
      </c>
      <c r="P97" s="247">
        <v>1028.4000000000001</v>
      </c>
      <c r="R97" s="247">
        <v>993.9</v>
      </c>
      <c r="S97" s="248">
        <v>996.9</v>
      </c>
      <c r="T97" s="247">
        <v>999.3</v>
      </c>
      <c r="U97" s="248">
        <v>1001.3</v>
      </c>
      <c r="V97" s="248">
        <v>1003.2</v>
      </c>
      <c r="W97" s="5">
        <v>67</v>
      </c>
      <c r="Y97" s="5">
        <v>67</v>
      </c>
      <c r="Z97" s="248">
        <v>979.4</v>
      </c>
      <c r="AA97" s="247">
        <v>985.3</v>
      </c>
      <c r="AB97" s="248">
        <v>991.2</v>
      </c>
      <c r="AC97" s="247">
        <v>997.1</v>
      </c>
      <c r="AD97" s="248">
        <v>1003</v>
      </c>
      <c r="AE97" s="247">
        <v>1008.8</v>
      </c>
      <c r="AF97" s="248">
        <v>1014.5</v>
      </c>
      <c r="AG97" s="247">
        <v>1020.1</v>
      </c>
      <c r="AH97" s="248">
        <v>1025.5999999999999</v>
      </c>
      <c r="AI97" s="247"/>
      <c r="AJ97" s="248"/>
      <c r="AK97" s="8">
        <f t="shared" si="1"/>
        <v>67</v>
      </c>
    </row>
    <row r="98" spans="1:37">
      <c r="A98" s="27">
        <v>45</v>
      </c>
      <c r="B98" s="28" t="s">
        <v>121</v>
      </c>
      <c r="C98" s="27">
        <v>4000</v>
      </c>
      <c r="D98" s="27">
        <v>10</v>
      </c>
      <c r="E98" s="27">
        <v>4</v>
      </c>
      <c r="F98" s="27">
        <v>7103017</v>
      </c>
      <c r="G98" s="27">
        <v>1060</v>
      </c>
      <c r="H98" s="27"/>
      <c r="I98" s="5">
        <v>68</v>
      </c>
      <c r="J98" s="248">
        <v>978.9</v>
      </c>
      <c r="L98" s="247">
        <v>1004.7</v>
      </c>
      <c r="M98" s="248">
        <v>1011</v>
      </c>
      <c r="N98" s="247">
        <v>1016.1</v>
      </c>
      <c r="O98" s="248">
        <v>1022.9</v>
      </c>
      <c r="P98" s="247">
        <v>1027.7</v>
      </c>
      <c r="R98" s="247">
        <v>993.3</v>
      </c>
      <c r="S98" s="248">
        <v>996.2</v>
      </c>
      <c r="T98" s="247">
        <v>998.6</v>
      </c>
      <c r="U98" s="248">
        <v>1000.6</v>
      </c>
      <c r="V98" s="248">
        <v>1002.5</v>
      </c>
      <c r="W98" s="5">
        <v>68</v>
      </c>
      <c r="Y98" s="5">
        <v>68</v>
      </c>
      <c r="Z98" s="248">
        <v>978.9</v>
      </c>
      <c r="AA98" s="247">
        <v>984.7</v>
      </c>
      <c r="AB98" s="248">
        <v>990.6</v>
      </c>
      <c r="AC98" s="247">
        <v>996.5</v>
      </c>
      <c r="AD98" s="248">
        <v>1002.4</v>
      </c>
      <c r="AE98" s="247">
        <v>1008.1</v>
      </c>
      <c r="AF98" s="248">
        <v>1013.8</v>
      </c>
      <c r="AG98" s="247">
        <v>1019.4</v>
      </c>
      <c r="AH98" s="248">
        <v>1025</v>
      </c>
      <c r="AI98" s="247"/>
      <c r="AJ98" s="248"/>
      <c r="AK98" s="8">
        <f t="shared" si="1"/>
        <v>68</v>
      </c>
    </row>
    <row r="99" spans="1:37">
      <c r="A99" s="27">
        <v>46</v>
      </c>
      <c r="B99" s="28" t="s">
        <v>122</v>
      </c>
      <c r="C99" s="27">
        <v>5000</v>
      </c>
      <c r="D99" s="27">
        <v>10</v>
      </c>
      <c r="E99" s="27">
        <v>4</v>
      </c>
      <c r="F99" s="27">
        <v>7103018</v>
      </c>
      <c r="G99" s="27">
        <v>1180</v>
      </c>
      <c r="H99" s="27"/>
      <c r="I99" s="5">
        <v>69</v>
      </c>
      <c r="J99" s="248">
        <v>978.3</v>
      </c>
      <c r="L99" s="247">
        <v>1004.1</v>
      </c>
      <c r="M99" s="248">
        <v>1010.4</v>
      </c>
      <c r="N99" s="247">
        <v>1015.4</v>
      </c>
      <c r="O99" s="248">
        <v>1022.2</v>
      </c>
      <c r="P99" s="247">
        <v>1027</v>
      </c>
      <c r="R99" s="247">
        <v>992.6</v>
      </c>
      <c r="S99" s="248">
        <v>995.5</v>
      </c>
      <c r="T99" s="247">
        <v>997.9</v>
      </c>
      <c r="U99" s="248">
        <v>999.8</v>
      </c>
      <c r="V99" s="248">
        <v>1001.7</v>
      </c>
      <c r="W99" s="5">
        <v>69</v>
      </c>
      <c r="Y99" s="5">
        <v>69</v>
      </c>
      <c r="Z99" s="248">
        <v>978.3</v>
      </c>
      <c r="AA99" s="247">
        <v>984.2</v>
      </c>
      <c r="AB99" s="248">
        <v>990.1</v>
      </c>
      <c r="AC99" s="247">
        <v>996</v>
      </c>
      <c r="AD99" s="248">
        <v>1001.8</v>
      </c>
      <c r="AE99" s="247">
        <v>1007.5</v>
      </c>
      <c r="AF99" s="248">
        <v>1013.2</v>
      </c>
      <c r="AG99" s="247">
        <v>1018.8</v>
      </c>
      <c r="AH99" s="248">
        <v>1024.3</v>
      </c>
      <c r="AI99" s="247"/>
      <c r="AJ99" s="248"/>
      <c r="AK99" s="8">
        <f t="shared" si="1"/>
        <v>69</v>
      </c>
    </row>
    <row r="100" spans="1:37">
      <c r="I100" s="5">
        <v>70</v>
      </c>
      <c r="J100" s="248">
        <v>977.8</v>
      </c>
      <c r="L100" s="247">
        <v>1003.5</v>
      </c>
      <c r="M100" s="248">
        <v>1009.7</v>
      </c>
      <c r="N100" s="247">
        <v>1014.8</v>
      </c>
      <c r="O100" s="248">
        <v>1021.5</v>
      </c>
      <c r="P100" s="247">
        <v>1026.3</v>
      </c>
      <c r="R100" s="247">
        <v>991.9</v>
      </c>
      <c r="S100" s="248">
        <v>994.8</v>
      </c>
      <c r="T100" s="247">
        <v>997.1</v>
      </c>
      <c r="U100" s="248">
        <v>999.1</v>
      </c>
      <c r="V100" s="248">
        <v>1000.9</v>
      </c>
      <c r="W100" s="5">
        <v>70</v>
      </c>
      <c r="Y100" s="5">
        <v>70</v>
      </c>
      <c r="Z100" s="248">
        <v>977.8</v>
      </c>
      <c r="AA100" s="247">
        <v>983.6</v>
      </c>
      <c r="AB100" s="248">
        <v>989.5</v>
      </c>
      <c r="AC100" s="247">
        <v>995.4</v>
      </c>
      <c r="AD100" s="248">
        <v>1001.1</v>
      </c>
      <c r="AE100" s="247">
        <v>1006.9</v>
      </c>
      <c r="AF100" s="248">
        <v>1012.5</v>
      </c>
      <c r="AG100" s="247">
        <v>1018.1</v>
      </c>
      <c r="AH100" s="248">
        <v>1023.6</v>
      </c>
      <c r="AI100" s="247"/>
      <c r="AJ100" s="248"/>
      <c r="AK100" s="8">
        <f t="shared" si="1"/>
        <v>70</v>
      </c>
    </row>
    <row r="101" spans="1:37">
      <c r="B101" s="27">
        <v>3</v>
      </c>
      <c r="C101" s="27" t="s">
        <v>125</v>
      </c>
      <c r="D101" s="27" t="s">
        <v>126</v>
      </c>
      <c r="E101" s="27"/>
      <c r="F101" s="27" t="s">
        <v>128</v>
      </c>
      <c r="G101" s="27" t="s">
        <v>143</v>
      </c>
      <c r="I101" s="5">
        <v>71</v>
      </c>
      <c r="J101" s="248">
        <v>977.2</v>
      </c>
      <c r="L101" s="247">
        <v>1002.8</v>
      </c>
      <c r="M101" s="248">
        <v>1009</v>
      </c>
      <c r="N101" s="247">
        <v>1014.1</v>
      </c>
      <c r="O101" s="248">
        <v>1020.8</v>
      </c>
      <c r="P101" s="247">
        <v>1025.5999999999999</v>
      </c>
      <c r="R101" s="247">
        <v>991.2</v>
      </c>
      <c r="S101" s="248">
        <v>994.1</v>
      </c>
      <c r="T101" s="247">
        <v>996.4</v>
      </c>
      <c r="U101" s="248">
        <v>998.3</v>
      </c>
      <c r="V101" s="248">
        <v>1000.2</v>
      </c>
      <c r="W101" s="5">
        <v>71</v>
      </c>
      <c r="Y101" s="5">
        <v>71</v>
      </c>
      <c r="Z101" s="248">
        <v>977.2</v>
      </c>
      <c r="AA101" s="247">
        <v>983</v>
      </c>
      <c r="AB101" s="248">
        <v>988.9</v>
      </c>
      <c r="AC101" s="247">
        <v>994.7</v>
      </c>
      <c r="AD101" s="248">
        <v>1000.5</v>
      </c>
      <c r="AE101" s="247">
        <v>1006.2</v>
      </c>
      <c r="AF101" s="248">
        <v>1011.9</v>
      </c>
      <c r="AG101" s="247">
        <v>1017.4</v>
      </c>
      <c r="AH101" s="248">
        <v>1022.9</v>
      </c>
      <c r="AI101" s="247"/>
      <c r="AJ101" s="248"/>
      <c r="AK101" s="8">
        <f t="shared" si="1"/>
        <v>71</v>
      </c>
    </row>
    <row r="102" spans="1:37">
      <c r="A102" s="27">
        <v>1</v>
      </c>
      <c r="B102" s="28" t="s">
        <v>208</v>
      </c>
      <c r="C102" s="28" t="s">
        <v>208</v>
      </c>
      <c r="D102" s="28" t="s">
        <v>208</v>
      </c>
      <c r="E102" s="28" t="s">
        <v>208</v>
      </c>
      <c r="F102" s="28" t="s">
        <v>208</v>
      </c>
      <c r="G102" s="28" t="s">
        <v>208</v>
      </c>
      <c r="I102" s="5">
        <v>72</v>
      </c>
      <c r="J102" s="248">
        <v>976.6</v>
      </c>
      <c r="L102" s="247">
        <v>1002.1</v>
      </c>
      <c r="M102" s="248">
        <v>1008.4</v>
      </c>
      <c r="N102" s="247">
        <v>1013.4</v>
      </c>
      <c r="O102" s="248">
        <v>1020.1</v>
      </c>
      <c r="P102" s="247">
        <v>1024.9000000000001</v>
      </c>
      <c r="R102" s="247">
        <v>990.5</v>
      </c>
      <c r="S102" s="248">
        <v>993.3</v>
      </c>
      <c r="T102" s="247">
        <v>995.7</v>
      </c>
      <c r="U102" s="248">
        <v>997.6</v>
      </c>
      <c r="V102" s="248">
        <v>999.4</v>
      </c>
      <c r="W102" s="5">
        <v>72</v>
      </c>
      <c r="Y102" s="5">
        <v>72</v>
      </c>
      <c r="Z102" s="248">
        <v>976.6</v>
      </c>
      <c r="AA102" s="247">
        <v>982.4</v>
      </c>
      <c r="AB102" s="248">
        <v>988.2</v>
      </c>
      <c r="AC102" s="247">
        <v>994.1</v>
      </c>
      <c r="AD102" s="248">
        <v>999.8</v>
      </c>
      <c r="AE102" s="247">
        <v>1005.5</v>
      </c>
      <c r="AF102" s="248">
        <v>1011.2</v>
      </c>
      <c r="AG102" s="247">
        <v>1016.7</v>
      </c>
      <c r="AH102" s="248">
        <v>1022.2</v>
      </c>
      <c r="AI102" s="247"/>
      <c r="AJ102" s="248"/>
      <c r="AK102" s="8">
        <f t="shared" si="1"/>
        <v>72</v>
      </c>
    </row>
    <row r="103" spans="1:37">
      <c r="A103" s="27">
        <v>2</v>
      </c>
      <c r="B103" s="28" t="s">
        <v>174</v>
      </c>
      <c r="C103" s="27">
        <v>8</v>
      </c>
      <c r="D103" s="27">
        <v>10</v>
      </c>
      <c r="E103" s="27"/>
      <c r="F103" s="29">
        <v>7142020</v>
      </c>
      <c r="G103" s="27">
        <v>3.9</v>
      </c>
      <c r="I103" s="5">
        <v>73</v>
      </c>
      <c r="J103" s="248">
        <v>976</v>
      </c>
      <c r="L103" s="247">
        <v>1001.5</v>
      </c>
      <c r="M103" s="248">
        <v>1007.7</v>
      </c>
      <c r="N103" s="247">
        <v>1012.7</v>
      </c>
      <c r="O103" s="248">
        <v>1019.4</v>
      </c>
      <c r="P103" s="247">
        <v>1024.2</v>
      </c>
      <c r="R103" s="247">
        <v>989.8</v>
      </c>
      <c r="S103" s="248">
        <v>992.6</v>
      </c>
      <c r="T103" s="247">
        <v>994.9</v>
      </c>
      <c r="U103" s="248">
        <v>996.8</v>
      </c>
      <c r="V103" s="248">
        <v>998.6</v>
      </c>
      <c r="W103" s="5">
        <v>73</v>
      </c>
      <c r="Y103" s="5">
        <v>73</v>
      </c>
      <c r="Z103" s="248">
        <v>976</v>
      </c>
      <c r="AA103" s="247">
        <v>981.8</v>
      </c>
      <c r="AB103" s="248">
        <v>987.6</v>
      </c>
      <c r="AC103" s="247">
        <v>993.4</v>
      </c>
      <c r="AD103" s="248">
        <v>999.2</v>
      </c>
      <c r="AE103" s="247">
        <v>1004.9</v>
      </c>
      <c r="AF103" s="248">
        <v>1010.5</v>
      </c>
      <c r="AG103" s="247">
        <v>1016</v>
      </c>
      <c r="AH103" s="248">
        <v>1021.5</v>
      </c>
      <c r="AI103" s="247"/>
      <c r="AJ103" s="248"/>
      <c r="AK103" s="8">
        <f t="shared" si="1"/>
        <v>73</v>
      </c>
    </row>
    <row r="104" spans="1:37">
      <c r="A104" s="27">
        <v>3</v>
      </c>
      <c r="B104" s="28" t="s">
        <v>175</v>
      </c>
      <c r="C104" s="27">
        <v>12</v>
      </c>
      <c r="D104" s="27">
        <v>10</v>
      </c>
      <c r="E104" s="27"/>
      <c r="F104" s="29">
        <v>7142021</v>
      </c>
      <c r="G104" s="27">
        <v>5.0999999999999996</v>
      </c>
      <c r="I104" s="5">
        <v>74</v>
      </c>
      <c r="J104" s="248">
        <v>975.4</v>
      </c>
      <c r="L104" s="247">
        <v>1000.8</v>
      </c>
      <c r="M104" s="248">
        <v>1007</v>
      </c>
      <c r="N104" s="247">
        <v>1012</v>
      </c>
      <c r="O104" s="248">
        <v>1018.7</v>
      </c>
      <c r="P104" s="247">
        <v>1023.4</v>
      </c>
      <c r="R104" s="247">
        <v>989.1</v>
      </c>
      <c r="S104" s="248">
        <v>991.9</v>
      </c>
      <c r="T104" s="247">
        <v>994.2</v>
      </c>
      <c r="U104" s="248">
        <v>996.1</v>
      </c>
      <c r="V104" s="248">
        <v>997.8</v>
      </c>
      <c r="W104" s="5">
        <v>74</v>
      </c>
      <c r="Y104" s="5">
        <v>74</v>
      </c>
      <c r="Z104" s="248">
        <v>975.4</v>
      </c>
      <c r="AA104" s="247">
        <v>981.2</v>
      </c>
      <c r="AB104" s="248">
        <v>987</v>
      </c>
      <c r="AC104" s="247">
        <v>992.8</v>
      </c>
      <c r="AD104" s="248">
        <v>998.5</v>
      </c>
      <c r="AE104" s="247">
        <v>1004.2</v>
      </c>
      <c r="AF104" s="248">
        <v>1009.8</v>
      </c>
      <c r="AG104" s="247">
        <v>1015.3</v>
      </c>
      <c r="AH104" s="248">
        <v>1020.8</v>
      </c>
      <c r="AI104" s="247"/>
      <c r="AJ104" s="248"/>
      <c r="AK104" s="8">
        <f t="shared" si="1"/>
        <v>74</v>
      </c>
    </row>
    <row r="105" spans="1:37">
      <c r="A105" s="27">
        <v>4</v>
      </c>
      <c r="B105" s="28" t="s">
        <v>176</v>
      </c>
      <c r="C105" s="27">
        <v>18</v>
      </c>
      <c r="D105" s="27">
        <v>10</v>
      </c>
      <c r="E105" s="27"/>
      <c r="F105" s="29">
        <v>7142022</v>
      </c>
      <c r="G105" s="27">
        <v>6.3</v>
      </c>
      <c r="I105" s="5">
        <v>75</v>
      </c>
      <c r="J105" s="248">
        <v>974.8</v>
      </c>
      <c r="L105" s="247">
        <v>1000.1</v>
      </c>
      <c r="M105" s="248">
        <v>1006.3</v>
      </c>
      <c r="N105" s="247">
        <v>1011.3</v>
      </c>
      <c r="O105" s="248">
        <v>1018</v>
      </c>
      <c r="P105" s="247">
        <v>1022.7</v>
      </c>
      <c r="R105" s="247">
        <v>988.4</v>
      </c>
      <c r="S105" s="248">
        <v>991.2</v>
      </c>
      <c r="T105" s="247">
        <v>993.4</v>
      </c>
      <c r="U105" s="248">
        <v>995.3</v>
      </c>
      <c r="V105" s="248">
        <v>997</v>
      </c>
      <c r="W105" s="5">
        <v>75</v>
      </c>
      <c r="Y105" s="5">
        <v>75</v>
      </c>
      <c r="Z105" s="248">
        <v>974.8</v>
      </c>
      <c r="AA105" s="247">
        <v>980.6</v>
      </c>
      <c r="AB105" s="248">
        <v>986.4</v>
      </c>
      <c r="AC105" s="247">
        <v>992.1</v>
      </c>
      <c r="AD105" s="248">
        <v>997.9</v>
      </c>
      <c r="AE105" s="247">
        <v>1003.5</v>
      </c>
      <c r="AF105" s="248">
        <v>1009.1</v>
      </c>
      <c r="AG105" s="247">
        <v>1014.6</v>
      </c>
      <c r="AH105" s="248">
        <v>1020.1</v>
      </c>
      <c r="AI105" s="247"/>
      <c r="AJ105" s="248"/>
      <c r="AK105" s="8">
        <f t="shared" si="1"/>
        <v>75</v>
      </c>
    </row>
    <row r="106" spans="1:37">
      <c r="A106" s="27">
        <v>5</v>
      </c>
      <c r="B106" s="28" t="s">
        <v>177</v>
      </c>
      <c r="C106" s="27">
        <v>25</v>
      </c>
      <c r="D106" s="27">
        <v>10</v>
      </c>
      <c r="E106" s="27"/>
      <c r="F106" s="29">
        <v>7142023</v>
      </c>
      <c r="G106" s="27">
        <v>8.1</v>
      </c>
      <c r="I106" s="5">
        <v>76</v>
      </c>
      <c r="J106" s="248">
        <v>974.2</v>
      </c>
      <c r="L106" s="247">
        <v>999.5</v>
      </c>
      <c r="M106" s="248">
        <v>1005.7</v>
      </c>
      <c r="N106" s="247">
        <v>1010.7</v>
      </c>
      <c r="O106" s="248">
        <v>1017.3</v>
      </c>
      <c r="P106" s="247">
        <v>1022</v>
      </c>
      <c r="R106" s="247">
        <v>987.7</v>
      </c>
      <c r="S106" s="248">
        <v>990.4</v>
      </c>
      <c r="T106" s="247">
        <v>992.7</v>
      </c>
      <c r="U106" s="248">
        <v>994.5</v>
      </c>
      <c r="V106" s="248">
        <v>996.3</v>
      </c>
      <c r="W106" s="5">
        <v>76</v>
      </c>
      <c r="Y106" s="5">
        <v>76</v>
      </c>
      <c r="Z106" s="248">
        <v>974.2</v>
      </c>
      <c r="AA106" s="247">
        <v>979.9</v>
      </c>
      <c r="AB106" s="248">
        <v>985.7</v>
      </c>
      <c r="AC106" s="247">
        <v>991.5</v>
      </c>
      <c r="AD106" s="248">
        <v>997.2</v>
      </c>
      <c r="AE106" s="247">
        <v>1002.9</v>
      </c>
      <c r="AF106" s="248">
        <v>1008.5</v>
      </c>
      <c r="AG106" s="247">
        <v>1013.9</v>
      </c>
      <c r="AH106" s="248">
        <v>1019.4</v>
      </c>
      <c r="AI106" s="247"/>
      <c r="AJ106" s="248"/>
      <c r="AK106" s="8">
        <f t="shared" si="1"/>
        <v>76</v>
      </c>
    </row>
    <row r="107" spans="1:37">
      <c r="A107" s="27">
        <v>6</v>
      </c>
      <c r="B107" s="28" t="s">
        <v>178</v>
      </c>
      <c r="C107" s="27">
        <v>35</v>
      </c>
      <c r="D107" s="27">
        <v>10</v>
      </c>
      <c r="E107" s="27"/>
      <c r="F107" s="29">
        <v>7142024</v>
      </c>
      <c r="G107" s="27">
        <v>10</v>
      </c>
      <c r="I107" s="5">
        <v>77</v>
      </c>
      <c r="J107" s="248">
        <v>973.6</v>
      </c>
      <c r="L107" s="247">
        <v>998.8</v>
      </c>
      <c r="M107" s="248">
        <v>1005</v>
      </c>
      <c r="N107" s="247">
        <v>1010</v>
      </c>
      <c r="O107" s="248">
        <v>1016.6</v>
      </c>
      <c r="P107" s="247">
        <v>1021.3</v>
      </c>
      <c r="R107" s="247">
        <v>987</v>
      </c>
      <c r="S107" s="248">
        <v>989.7</v>
      </c>
      <c r="T107" s="247">
        <v>992</v>
      </c>
      <c r="U107" s="248">
        <v>993.8</v>
      </c>
      <c r="V107" s="248">
        <v>995.5</v>
      </c>
      <c r="W107" s="5">
        <v>77</v>
      </c>
      <c r="Y107" s="5">
        <v>77</v>
      </c>
      <c r="Z107" s="248">
        <v>973.6</v>
      </c>
      <c r="AA107" s="247">
        <v>979.3</v>
      </c>
      <c r="AB107" s="248">
        <v>985.1</v>
      </c>
      <c r="AC107" s="247">
        <v>990.9</v>
      </c>
      <c r="AD107" s="248">
        <v>996.5</v>
      </c>
      <c r="AE107" s="247">
        <v>1002.2</v>
      </c>
      <c r="AF107" s="248">
        <v>1007.8</v>
      </c>
      <c r="AG107" s="247">
        <v>1013.2</v>
      </c>
      <c r="AH107" s="248">
        <v>1018.6</v>
      </c>
      <c r="AI107" s="247"/>
      <c r="AJ107" s="248"/>
      <c r="AK107" s="8">
        <f t="shared" si="1"/>
        <v>77</v>
      </c>
    </row>
    <row r="108" spans="1:37">
      <c r="A108" s="27">
        <v>7</v>
      </c>
      <c r="B108" s="28" t="s">
        <v>179</v>
      </c>
      <c r="C108" s="27">
        <v>50</v>
      </c>
      <c r="D108" s="27">
        <v>10</v>
      </c>
      <c r="E108" s="27"/>
      <c r="F108" s="29">
        <v>7142025</v>
      </c>
      <c r="G108" s="27">
        <v>12.2</v>
      </c>
      <c r="I108" s="5">
        <v>78</v>
      </c>
      <c r="J108" s="248">
        <v>973</v>
      </c>
      <c r="L108" s="247">
        <v>998.1</v>
      </c>
      <c r="M108" s="248">
        <v>1004.3</v>
      </c>
      <c r="N108" s="247">
        <v>1009.3</v>
      </c>
      <c r="O108" s="248">
        <v>1015.9</v>
      </c>
      <c r="P108" s="247">
        <v>1020.6</v>
      </c>
      <c r="R108" s="247">
        <v>986.3</v>
      </c>
      <c r="S108" s="248">
        <v>989</v>
      </c>
      <c r="T108" s="247">
        <v>991.2</v>
      </c>
      <c r="U108" s="248">
        <v>993</v>
      </c>
      <c r="V108" s="248">
        <v>994.7</v>
      </c>
      <c r="W108" s="5">
        <v>78</v>
      </c>
      <c r="Y108" s="5">
        <v>78</v>
      </c>
      <c r="Z108" s="248">
        <v>973</v>
      </c>
      <c r="AA108" s="247">
        <v>978.7</v>
      </c>
      <c r="AB108" s="248">
        <v>984.5</v>
      </c>
      <c r="AC108" s="247">
        <v>990.2</v>
      </c>
      <c r="AD108" s="248">
        <v>995.9</v>
      </c>
      <c r="AE108" s="247">
        <v>1001.5</v>
      </c>
      <c r="AF108" s="248">
        <v>1007.1</v>
      </c>
      <c r="AG108" s="247">
        <v>1012.5</v>
      </c>
      <c r="AH108" s="248">
        <v>1017.9</v>
      </c>
      <c r="AI108" s="247"/>
      <c r="AJ108" s="248"/>
      <c r="AK108" s="8">
        <f t="shared" si="1"/>
        <v>78</v>
      </c>
    </row>
    <row r="109" spans="1:37">
      <c r="A109" s="27">
        <v>8</v>
      </c>
      <c r="B109" s="28" t="s">
        <v>180</v>
      </c>
      <c r="C109" s="27">
        <v>80</v>
      </c>
      <c r="D109" s="27">
        <v>10</v>
      </c>
      <c r="E109" s="27"/>
      <c r="F109" s="29">
        <v>7142026</v>
      </c>
      <c r="G109" s="27">
        <v>16.399999999999999</v>
      </c>
      <c r="I109" s="5">
        <v>79</v>
      </c>
      <c r="J109" s="248">
        <v>972.4</v>
      </c>
      <c r="L109" s="247">
        <v>997.5</v>
      </c>
      <c r="M109" s="248">
        <v>1003.6</v>
      </c>
      <c r="N109" s="247">
        <v>1008.6</v>
      </c>
      <c r="O109" s="248">
        <v>1015.2</v>
      </c>
      <c r="P109" s="247">
        <v>1019.9</v>
      </c>
      <c r="R109" s="247">
        <v>985.6</v>
      </c>
      <c r="S109" s="248">
        <v>988.3</v>
      </c>
      <c r="T109" s="247">
        <v>990.5</v>
      </c>
      <c r="U109" s="248">
        <v>992.2</v>
      </c>
      <c r="V109" s="248">
        <v>993.9</v>
      </c>
      <c r="W109" s="5">
        <v>79</v>
      </c>
      <c r="Y109" s="5">
        <v>79</v>
      </c>
      <c r="Z109" s="248">
        <v>972.4</v>
      </c>
      <c r="AA109" s="247">
        <v>978.1</v>
      </c>
      <c r="AB109" s="248">
        <v>983.9</v>
      </c>
      <c r="AC109" s="247">
        <v>989.6</v>
      </c>
      <c r="AD109" s="248">
        <v>995.2</v>
      </c>
      <c r="AE109" s="247">
        <v>1000.8</v>
      </c>
      <c r="AF109" s="248">
        <v>1006.4</v>
      </c>
      <c r="AG109" s="247">
        <v>1011.8</v>
      </c>
      <c r="AH109" s="248">
        <v>1017.2</v>
      </c>
      <c r="AI109" s="247"/>
      <c r="AJ109" s="248"/>
      <c r="AK109" s="8">
        <f t="shared" si="1"/>
        <v>79</v>
      </c>
    </row>
    <row r="110" spans="1:37">
      <c r="A110" s="27">
        <v>9</v>
      </c>
      <c r="B110" s="28" t="s">
        <v>181</v>
      </c>
      <c r="C110" s="27">
        <v>140</v>
      </c>
      <c r="D110" s="27">
        <v>6</v>
      </c>
      <c r="E110" s="27"/>
      <c r="F110" s="29">
        <v>7141002</v>
      </c>
      <c r="G110" s="27">
        <v>25</v>
      </c>
      <c r="I110" s="5">
        <v>80</v>
      </c>
      <c r="J110" s="248">
        <v>971.8</v>
      </c>
      <c r="L110" s="247">
        <v>996.8</v>
      </c>
      <c r="M110" s="248">
        <v>1003</v>
      </c>
      <c r="N110" s="247">
        <v>1007.9</v>
      </c>
      <c r="O110" s="248">
        <v>1014.5</v>
      </c>
      <c r="P110" s="247">
        <v>1019.2</v>
      </c>
      <c r="R110" s="247">
        <v>984.9</v>
      </c>
      <c r="S110" s="248">
        <v>987.5</v>
      </c>
      <c r="T110" s="247">
        <v>989.7</v>
      </c>
      <c r="U110" s="248">
        <v>991.5</v>
      </c>
      <c r="V110" s="248">
        <v>993.1</v>
      </c>
      <c r="W110" s="5">
        <v>80</v>
      </c>
      <c r="Y110" s="5">
        <v>80</v>
      </c>
      <c r="Z110" s="248">
        <v>971.8</v>
      </c>
      <c r="AA110" s="247">
        <v>977.5</v>
      </c>
      <c r="AB110" s="248">
        <v>983.2</v>
      </c>
      <c r="AC110" s="247">
        <v>988.9</v>
      </c>
      <c r="AD110" s="248">
        <v>994.6</v>
      </c>
      <c r="AE110" s="247">
        <v>1000.2</v>
      </c>
      <c r="AF110" s="248">
        <v>1005.7</v>
      </c>
      <c r="AG110" s="247">
        <v>1011.1</v>
      </c>
      <c r="AH110" s="248">
        <v>1016.5</v>
      </c>
      <c r="AI110" s="247"/>
      <c r="AJ110" s="248"/>
      <c r="AK110" s="8">
        <f t="shared" si="1"/>
        <v>80</v>
      </c>
    </row>
    <row r="111" spans="1:37">
      <c r="A111" s="27">
        <v>10</v>
      </c>
      <c r="B111" s="28" t="s">
        <v>182</v>
      </c>
      <c r="C111" s="27">
        <v>200</v>
      </c>
      <c r="D111" s="27">
        <v>6</v>
      </c>
      <c r="E111" s="27"/>
      <c r="F111" s="29">
        <v>7141003</v>
      </c>
      <c r="G111" s="27">
        <v>30</v>
      </c>
      <c r="I111" s="5">
        <v>81</v>
      </c>
      <c r="J111" s="248">
        <v>971.2</v>
      </c>
      <c r="L111" s="247">
        <v>996.1</v>
      </c>
      <c r="M111" s="248">
        <v>1002.2</v>
      </c>
      <c r="N111" s="247">
        <v>1007.2</v>
      </c>
      <c r="O111" s="248">
        <v>1013.7</v>
      </c>
      <c r="P111" s="247">
        <v>1018.4</v>
      </c>
      <c r="R111" s="247">
        <v>984.2</v>
      </c>
      <c r="S111" s="248">
        <v>986.8</v>
      </c>
      <c r="T111" s="247">
        <v>988.9</v>
      </c>
      <c r="U111" s="248">
        <v>990.7</v>
      </c>
      <c r="V111" s="248">
        <v>992.3</v>
      </c>
      <c r="W111" s="5">
        <v>81</v>
      </c>
      <c r="Y111" s="5">
        <v>81</v>
      </c>
      <c r="Z111" s="248">
        <v>971.2</v>
      </c>
      <c r="AA111" s="247">
        <v>976.9</v>
      </c>
      <c r="AB111" s="248">
        <v>982.6</v>
      </c>
      <c r="AC111" s="247">
        <v>988.2</v>
      </c>
      <c r="AD111" s="248">
        <v>993.9</v>
      </c>
      <c r="AE111" s="247">
        <v>999.5</v>
      </c>
      <c r="AF111" s="248">
        <v>1005</v>
      </c>
      <c r="AG111" s="247">
        <v>1010.4</v>
      </c>
      <c r="AH111" s="248">
        <v>1015.8</v>
      </c>
      <c r="AI111" s="247"/>
      <c r="AJ111" s="248"/>
      <c r="AK111" s="8">
        <f t="shared" si="1"/>
        <v>81</v>
      </c>
    </row>
    <row r="112" spans="1:37">
      <c r="A112" s="27">
        <v>11</v>
      </c>
      <c r="B112" s="28" t="s">
        <v>183</v>
      </c>
      <c r="C112" s="27">
        <v>300</v>
      </c>
      <c r="D112" s="27">
        <v>6</v>
      </c>
      <c r="E112" s="27"/>
      <c r="F112" s="29">
        <v>7141004</v>
      </c>
      <c r="G112" s="27">
        <v>35</v>
      </c>
      <c r="I112" s="5">
        <v>82</v>
      </c>
      <c r="J112" s="248">
        <v>970.5</v>
      </c>
      <c r="L112" s="247">
        <v>995.4</v>
      </c>
      <c r="M112" s="248">
        <v>1001.5</v>
      </c>
      <c r="N112" s="247">
        <v>1006.4</v>
      </c>
      <c r="O112" s="248">
        <v>1013</v>
      </c>
      <c r="P112" s="247">
        <v>1017.7</v>
      </c>
      <c r="R112" s="247">
        <v>983.5</v>
      </c>
      <c r="S112" s="248">
        <v>986</v>
      </c>
      <c r="T112" s="247">
        <v>988.1</v>
      </c>
      <c r="U112" s="248">
        <v>989.9</v>
      </c>
      <c r="V112" s="248">
        <v>991.5</v>
      </c>
      <c r="W112" s="5">
        <v>82</v>
      </c>
      <c r="Y112" s="5">
        <v>82</v>
      </c>
      <c r="Z112" s="248">
        <v>970.5</v>
      </c>
      <c r="AA112" s="247">
        <v>976.2</v>
      </c>
      <c r="AB112" s="248">
        <v>981.9</v>
      </c>
      <c r="AC112" s="247">
        <v>987.6</v>
      </c>
      <c r="AD112" s="248">
        <v>993.2</v>
      </c>
      <c r="AE112" s="247">
        <v>998.7</v>
      </c>
      <c r="AF112" s="248">
        <v>1004.3</v>
      </c>
      <c r="AG112" s="247">
        <v>1009.7</v>
      </c>
      <c r="AH112" s="248">
        <v>1015</v>
      </c>
      <c r="AI112" s="247"/>
      <c r="AJ112" s="248"/>
      <c r="AK112" s="8">
        <f t="shared" si="1"/>
        <v>82</v>
      </c>
    </row>
    <row r="113" spans="1:37">
      <c r="A113" s="27">
        <v>12</v>
      </c>
      <c r="B113" s="28" t="s">
        <v>184</v>
      </c>
      <c r="C113" s="27">
        <v>400</v>
      </c>
      <c r="D113" s="27">
        <v>6</v>
      </c>
      <c r="E113" s="27"/>
      <c r="F113" s="29">
        <v>7141005</v>
      </c>
      <c r="G113" s="27">
        <v>55</v>
      </c>
      <c r="I113" s="5">
        <v>83</v>
      </c>
      <c r="J113" s="248">
        <v>969.9</v>
      </c>
      <c r="L113" s="247">
        <v>994.7</v>
      </c>
      <c r="M113" s="248">
        <v>1000.8</v>
      </c>
      <c r="N113" s="247">
        <v>1005.7</v>
      </c>
      <c r="O113" s="248">
        <v>1012.3</v>
      </c>
      <c r="P113" s="247">
        <v>1016.9</v>
      </c>
      <c r="R113" s="247">
        <v>982.7</v>
      </c>
      <c r="S113" s="248">
        <v>985.2</v>
      </c>
      <c r="T113" s="247">
        <v>987.4</v>
      </c>
      <c r="U113" s="248">
        <v>989.1</v>
      </c>
      <c r="V113" s="248">
        <v>990.7</v>
      </c>
      <c r="W113" s="5">
        <v>83</v>
      </c>
      <c r="Y113" s="5">
        <v>83</v>
      </c>
      <c r="Z113" s="248">
        <v>969.9</v>
      </c>
      <c r="AA113" s="247">
        <v>975.5</v>
      </c>
      <c r="AB113" s="248">
        <v>981.2</v>
      </c>
      <c r="AC113" s="247">
        <v>986.9</v>
      </c>
      <c r="AD113" s="248">
        <v>992.5</v>
      </c>
      <c r="AE113" s="247">
        <v>998</v>
      </c>
      <c r="AF113" s="248">
        <v>1003.6</v>
      </c>
      <c r="AG113" s="247">
        <v>1008.9</v>
      </c>
      <c r="AH113" s="248">
        <v>1014.3</v>
      </c>
      <c r="AI113" s="247"/>
      <c r="AJ113" s="248"/>
      <c r="AK113" s="8">
        <f t="shared" si="1"/>
        <v>83</v>
      </c>
    </row>
    <row r="114" spans="1:37">
      <c r="A114" s="27">
        <v>13</v>
      </c>
      <c r="B114" s="28" t="s">
        <v>185</v>
      </c>
      <c r="C114" s="27">
        <v>500</v>
      </c>
      <c r="D114" s="27">
        <v>6</v>
      </c>
      <c r="E114" s="27"/>
      <c r="F114" s="29">
        <v>7141006</v>
      </c>
      <c r="G114" s="27">
        <v>61</v>
      </c>
      <c r="I114" s="5">
        <v>84</v>
      </c>
      <c r="J114" s="248">
        <v>969.3</v>
      </c>
      <c r="L114" s="247">
        <v>994</v>
      </c>
      <c r="M114" s="248">
        <v>1000.1</v>
      </c>
      <c r="N114" s="247">
        <v>1005</v>
      </c>
      <c r="O114" s="248">
        <v>1011.5</v>
      </c>
      <c r="P114" s="247">
        <v>1016.2</v>
      </c>
      <c r="R114" s="247">
        <v>982</v>
      </c>
      <c r="S114" s="248">
        <v>984.5</v>
      </c>
      <c r="T114" s="247">
        <v>986.6</v>
      </c>
      <c r="U114" s="248">
        <v>988.3</v>
      </c>
      <c r="V114" s="248">
        <v>989.9</v>
      </c>
      <c r="W114" s="5">
        <v>84</v>
      </c>
      <c r="Y114" s="5">
        <v>84</v>
      </c>
      <c r="Z114" s="248">
        <v>969.3</v>
      </c>
      <c r="AA114" s="247">
        <v>974.9</v>
      </c>
      <c r="AB114" s="248">
        <v>980.5</v>
      </c>
      <c r="AC114" s="247">
        <v>986.2</v>
      </c>
      <c r="AD114" s="248">
        <v>991.8</v>
      </c>
      <c r="AE114" s="247">
        <v>997.3</v>
      </c>
      <c r="AF114" s="248">
        <v>1002.8</v>
      </c>
      <c r="AG114" s="247">
        <v>1008.2</v>
      </c>
      <c r="AH114" s="248">
        <v>1013.6</v>
      </c>
      <c r="AI114" s="247"/>
      <c r="AJ114" s="248"/>
      <c r="AK114" s="8">
        <f t="shared" si="1"/>
        <v>84</v>
      </c>
    </row>
    <row r="115" spans="1:37">
      <c r="A115" s="27">
        <v>14</v>
      </c>
      <c r="B115" s="28" t="s">
        <v>186</v>
      </c>
      <c r="C115" s="27">
        <v>600</v>
      </c>
      <c r="D115" s="27">
        <v>6</v>
      </c>
      <c r="E115" s="27"/>
      <c r="F115" s="29">
        <v>7141007</v>
      </c>
      <c r="G115" s="27">
        <v>67</v>
      </c>
      <c r="I115" s="5">
        <v>85</v>
      </c>
      <c r="J115" s="248">
        <v>968.6</v>
      </c>
      <c r="L115" s="247">
        <v>993.3</v>
      </c>
      <c r="M115" s="248">
        <v>999.4</v>
      </c>
      <c r="N115" s="247">
        <v>1004.3</v>
      </c>
      <c r="O115" s="248">
        <v>1010.8</v>
      </c>
      <c r="P115" s="247">
        <v>1015.5</v>
      </c>
      <c r="R115" s="247">
        <v>981.2</v>
      </c>
      <c r="S115" s="248">
        <v>983.7</v>
      </c>
      <c r="T115" s="247">
        <v>985.8</v>
      </c>
      <c r="U115" s="248">
        <v>987.5</v>
      </c>
      <c r="V115" s="248">
        <v>989</v>
      </c>
      <c r="W115" s="5">
        <v>85</v>
      </c>
      <c r="Y115" s="5">
        <v>85</v>
      </c>
      <c r="Z115" s="248">
        <v>968.6</v>
      </c>
      <c r="AA115" s="247">
        <v>974.2</v>
      </c>
      <c r="AB115" s="248">
        <v>979.9</v>
      </c>
      <c r="AC115" s="247">
        <v>985.5</v>
      </c>
      <c r="AD115" s="248">
        <v>991.1</v>
      </c>
      <c r="AE115" s="247">
        <v>996.6</v>
      </c>
      <c r="AF115" s="248">
        <v>1002.1</v>
      </c>
      <c r="AG115" s="247">
        <v>1007.5</v>
      </c>
      <c r="AH115" s="248">
        <v>1012.8</v>
      </c>
      <c r="AI115" s="247"/>
      <c r="AJ115" s="248"/>
      <c r="AK115" s="8">
        <f t="shared" si="1"/>
        <v>85</v>
      </c>
    </row>
    <row r="116" spans="1:37">
      <c r="A116" s="27">
        <v>15</v>
      </c>
      <c r="B116" s="28" t="s">
        <v>187</v>
      </c>
      <c r="C116" s="27">
        <v>200</v>
      </c>
      <c r="D116" s="27">
        <v>10</v>
      </c>
      <c r="E116" s="27"/>
      <c r="F116" s="27">
        <v>7142003</v>
      </c>
      <c r="G116" s="27">
        <v>50</v>
      </c>
      <c r="I116" s="5">
        <v>86</v>
      </c>
      <c r="J116" s="248">
        <v>968</v>
      </c>
      <c r="L116" s="247">
        <v>992.6</v>
      </c>
      <c r="M116" s="248">
        <v>998.6</v>
      </c>
      <c r="N116" s="247">
        <v>1003.5</v>
      </c>
      <c r="O116" s="248">
        <v>1010.1</v>
      </c>
      <c r="P116" s="247">
        <v>1014.7</v>
      </c>
      <c r="R116" s="247">
        <v>980.5</v>
      </c>
      <c r="S116" s="248">
        <v>982.9</v>
      </c>
      <c r="T116" s="247">
        <v>985</v>
      </c>
      <c r="U116" s="248">
        <v>986.6</v>
      </c>
      <c r="V116" s="248">
        <v>988.2</v>
      </c>
      <c r="W116" s="5">
        <v>86</v>
      </c>
      <c r="Y116" s="5">
        <v>86</v>
      </c>
      <c r="Z116" s="248">
        <v>968</v>
      </c>
      <c r="AA116" s="247">
        <v>973.5</v>
      </c>
      <c r="AB116" s="248">
        <v>979.2</v>
      </c>
      <c r="AC116" s="247">
        <v>984.8</v>
      </c>
      <c r="AD116" s="248">
        <v>990.4</v>
      </c>
      <c r="AE116" s="247">
        <v>995.9</v>
      </c>
      <c r="AF116" s="248">
        <v>1001.4</v>
      </c>
      <c r="AG116" s="247">
        <v>1006.7</v>
      </c>
      <c r="AH116" s="248">
        <v>1012.1</v>
      </c>
      <c r="AI116" s="247"/>
      <c r="AJ116" s="248"/>
      <c r="AK116" s="8">
        <f t="shared" si="1"/>
        <v>86</v>
      </c>
    </row>
    <row r="117" spans="1:37">
      <c r="A117" s="27">
        <v>16</v>
      </c>
      <c r="B117" s="28" t="s">
        <v>188</v>
      </c>
      <c r="C117" s="27">
        <v>300</v>
      </c>
      <c r="D117" s="27">
        <v>10</v>
      </c>
      <c r="E117" s="27"/>
      <c r="F117" s="27">
        <v>7142004</v>
      </c>
      <c r="G117" s="27">
        <v>55</v>
      </c>
      <c r="I117" s="5">
        <v>87</v>
      </c>
      <c r="J117" s="248">
        <v>967.3</v>
      </c>
      <c r="L117" s="247">
        <v>991.9</v>
      </c>
      <c r="M117" s="248">
        <v>997.9</v>
      </c>
      <c r="N117" s="247">
        <v>1002.8</v>
      </c>
      <c r="O117" s="248">
        <v>1009.3</v>
      </c>
      <c r="P117" s="247">
        <v>1014</v>
      </c>
      <c r="R117" s="247">
        <v>979.8</v>
      </c>
      <c r="S117" s="248">
        <v>982.2</v>
      </c>
      <c r="T117" s="247">
        <v>984.2</v>
      </c>
      <c r="U117" s="248">
        <v>985.8</v>
      </c>
      <c r="V117" s="248">
        <v>987.4</v>
      </c>
      <c r="W117" s="5">
        <v>87</v>
      </c>
      <c r="Y117" s="5">
        <v>87</v>
      </c>
      <c r="Z117" s="248">
        <v>967.3</v>
      </c>
      <c r="AA117" s="247">
        <v>972.9</v>
      </c>
      <c r="AB117" s="248">
        <v>978.5</v>
      </c>
      <c r="AC117" s="247">
        <v>984.1</v>
      </c>
      <c r="AD117" s="248">
        <v>989.7</v>
      </c>
      <c r="AE117" s="247">
        <v>995.2</v>
      </c>
      <c r="AF117" s="248">
        <v>1000.6</v>
      </c>
      <c r="AG117" s="247">
        <v>1006</v>
      </c>
      <c r="AH117" s="248">
        <v>1011.4</v>
      </c>
      <c r="AI117" s="247"/>
      <c r="AJ117" s="248"/>
      <c r="AK117" s="8">
        <f t="shared" si="1"/>
        <v>87</v>
      </c>
    </row>
    <row r="118" spans="1:37">
      <c r="A118" s="27">
        <v>17</v>
      </c>
      <c r="B118" s="28" t="s">
        <v>189</v>
      </c>
      <c r="C118" s="27">
        <v>500</v>
      </c>
      <c r="D118" s="27">
        <v>10</v>
      </c>
      <c r="E118" s="27"/>
      <c r="F118" s="27">
        <v>7142006</v>
      </c>
      <c r="G118" s="27">
        <v>83</v>
      </c>
      <c r="I118" s="5">
        <v>88</v>
      </c>
      <c r="J118" s="248">
        <v>966.6</v>
      </c>
      <c r="L118" s="247">
        <v>991.2</v>
      </c>
      <c r="M118" s="248">
        <v>997.2</v>
      </c>
      <c r="N118" s="247">
        <v>1002.1</v>
      </c>
      <c r="O118" s="248">
        <v>1008.6</v>
      </c>
      <c r="P118" s="247">
        <v>1013.2</v>
      </c>
      <c r="R118" s="247">
        <v>979</v>
      </c>
      <c r="S118" s="248">
        <v>981.4</v>
      </c>
      <c r="T118" s="247">
        <v>983.4</v>
      </c>
      <c r="U118" s="248">
        <v>985</v>
      </c>
      <c r="V118" s="248">
        <v>986.6</v>
      </c>
      <c r="W118" s="5">
        <v>88</v>
      </c>
      <c r="Y118" s="5">
        <v>88</v>
      </c>
      <c r="Z118" s="248">
        <v>966.6</v>
      </c>
      <c r="AA118" s="247">
        <v>972.2</v>
      </c>
      <c r="AB118" s="248">
        <v>977.9</v>
      </c>
      <c r="AC118" s="247">
        <v>983.5</v>
      </c>
      <c r="AD118" s="248">
        <v>989</v>
      </c>
      <c r="AE118" s="247">
        <v>994.5</v>
      </c>
      <c r="AF118" s="248">
        <v>999.9</v>
      </c>
      <c r="AG118" s="247">
        <v>1005.3</v>
      </c>
      <c r="AH118" s="248">
        <v>1010.6</v>
      </c>
      <c r="AI118" s="247"/>
      <c r="AJ118" s="248"/>
      <c r="AK118" s="8">
        <f t="shared" si="1"/>
        <v>88</v>
      </c>
    </row>
    <row r="119" spans="1:37">
      <c r="A119" s="27">
        <v>18</v>
      </c>
      <c r="B119" s="28" t="s">
        <v>168</v>
      </c>
      <c r="C119" s="27">
        <v>700</v>
      </c>
      <c r="D119" s="27">
        <v>6</v>
      </c>
      <c r="E119" s="27"/>
      <c r="F119" s="27">
        <v>7141008</v>
      </c>
      <c r="G119" s="27">
        <v>200</v>
      </c>
      <c r="I119" s="5">
        <v>89</v>
      </c>
      <c r="J119" s="248">
        <v>966</v>
      </c>
      <c r="L119" s="247">
        <v>990.5</v>
      </c>
      <c r="M119" s="248">
        <v>996.5</v>
      </c>
      <c r="N119" s="247">
        <v>1001.3</v>
      </c>
      <c r="O119" s="248">
        <v>1007.9</v>
      </c>
      <c r="P119" s="247">
        <v>1012.5</v>
      </c>
      <c r="R119" s="247">
        <v>978.3</v>
      </c>
      <c r="S119" s="248">
        <v>980.7</v>
      </c>
      <c r="T119" s="247">
        <v>982.6</v>
      </c>
      <c r="U119" s="248">
        <v>984.2</v>
      </c>
      <c r="V119" s="248">
        <v>985.8</v>
      </c>
      <c r="W119" s="5">
        <v>89</v>
      </c>
      <c r="Y119" s="5">
        <v>89</v>
      </c>
      <c r="Z119" s="248">
        <v>966</v>
      </c>
      <c r="AA119" s="247">
        <v>971.6</v>
      </c>
      <c r="AB119" s="248">
        <v>977.2</v>
      </c>
      <c r="AC119" s="247">
        <v>982.8</v>
      </c>
      <c r="AD119" s="248">
        <v>988.3</v>
      </c>
      <c r="AE119" s="247">
        <v>993.7</v>
      </c>
      <c r="AF119" s="248">
        <v>999.2</v>
      </c>
      <c r="AG119" s="247">
        <v>1004.6</v>
      </c>
      <c r="AH119" s="248">
        <v>1009.9</v>
      </c>
      <c r="AI119" s="247"/>
      <c r="AJ119" s="248"/>
      <c r="AK119" s="8">
        <f t="shared" si="1"/>
        <v>89</v>
      </c>
    </row>
    <row r="120" spans="1:37">
      <c r="A120" s="27">
        <v>19</v>
      </c>
      <c r="B120" s="28" t="s">
        <v>190</v>
      </c>
      <c r="C120" s="27">
        <v>1000</v>
      </c>
      <c r="D120" s="27">
        <v>6</v>
      </c>
      <c r="E120" s="27"/>
      <c r="F120" s="27">
        <v>7141009</v>
      </c>
      <c r="G120" s="27">
        <v>280</v>
      </c>
      <c r="I120" s="5">
        <v>90</v>
      </c>
      <c r="J120" s="248">
        <v>965.3</v>
      </c>
      <c r="L120" s="247">
        <v>989.8</v>
      </c>
      <c r="M120" s="248">
        <v>995.7</v>
      </c>
      <c r="N120" s="247">
        <v>1000.6</v>
      </c>
      <c r="O120" s="248">
        <v>1007.1</v>
      </c>
      <c r="P120" s="247">
        <v>1011.7</v>
      </c>
      <c r="R120" s="247">
        <v>977.5</v>
      </c>
      <c r="S120" s="248">
        <v>979.9</v>
      </c>
      <c r="T120" s="247">
        <v>981.8</v>
      </c>
      <c r="U120" s="248">
        <v>983.4</v>
      </c>
      <c r="V120" s="248">
        <v>985</v>
      </c>
      <c r="W120" s="5">
        <v>90</v>
      </c>
      <c r="Y120" s="5">
        <v>90</v>
      </c>
      <c r="Z120" s="248">
        <v>965.3</v>
      </c>
      <c r="AA120" s="247">
        <v>970.9</v>
      </c>
      <c r="AB120" s="248">
        <v>976.5</v>
      </c>
      <c r="AC120" s="247">
        <v>982.1</v>
      </c>
      <c r="AD120" s="248">
        <v>987.6</v>
      </c>
      <c r="AE120" s="247">
        <v>993</v>
      </c>
      <c r="AF120" s="248">
        <v>998.5</v>
      </c>
      <c r="AG120" s="247">
        <v>1003.8</v>
      </c>
      <c r="AH120" s="248">
        <v>1009.1</v>
      </c>
      <c r="AI120" s="247"/>
      <c r="AJ120" s="248"/>
      <c r="AK120" s="8">
        <f t="shared" si="1"/>
        <v>90</v>
      </c>
    </row>
    <row r="121" spans="1:37">
      <c r="A121" s="27">
        <v>20</v>
      </c>
      <c r="B121" s="28" t="s">
        <v>191</v>
      </c>
      <c r="C121" s="27">
        <v>1500</v>
      </c>
      <c r="D121" s="27">
        <v>6</v>
      </c>
      <c r="E121" s="27"/>
      <c r="F121" s="27">
        <v>7141010</v>
      </c>
      <c r="G121" s="27">
        <v>385</v>
      </c>
      <c r="I121" s="5">
        <v>91</v>
      </c>
      <c r="J121" s="248">
        <v>964.6</v>
      </c>
      <c r="L121" s="247">
        <v>989</v>
      </c>
      <c r="M121" s="248">
        <v>995</v>
      </c>
      <c r="N121" s="247">
        <v>999.8</v>
      </c>
      <c r="O121" s="248">
        <v>1006.4</v>
      </c>
      <c r="P121" s="247">
        <v>1011</v>
      </c>
      <c r="R121" s="247">
        <v>976.8</v>
      </c>
      <c r="S121" s="248">
        <v>979.1</v>
      </c>
      <c r="T121" s="247">
        <v>981</v>
      </c>
      <c r="U121" s="248">
        <v>982.6</v>
      </c>
      <c r="V121" s="248">
        <v>984.1</v>
      </c>
      <c r="W121" s="5">
        <v>91</v>
      </c>
      <c r="Y121" s="5">
        <v>91</v>
      </c>
      <c r="Z121" s="248">
        <v>964.6</v>
      </c>
      <c r="AA121" s="247">
        <v>970.2</v>
      </c>
      <c r="AB121" s="248">
        <v>975.8</v>
      </c>
      <c r="AC121" s="247">
        <v>981.4</v>
      </c>
      <c r="AD121" s="248">
        <v>986.8</v>
      </c>
      <c r="AE121" s="247">
        <v>992.3</v>
      </c>
      <c r="AF121" s="248">
        <v>997.7</v>
      </c>
      <c r="AG121" s="247">
        <v>1003.1</v>
      </c>
      <c r="AH121" s="248">
        <v>1008.4</v>
      </c>
      <c r="AI121" s="247"/>
      <c r="AJ121" s="248"/>
      <c r="AK121" s="8">
        <f t="shared" si="1"/>
        <v>91</v>
      </c>
    </row>
    <row r="122" spans="1:37">
      <c r="A122" s="27">
        <v>21</v>
      </c>
      <c r="B122" s="28" t="s">
        <v>192</v>
      </c>
      <c r="C122" s="27">
        <v>2000</v>
      </c>
      <c r="D122" s="27">
        <v>6</v>
      </c>
      <c r="E122" s="27"/>
      <c r="F122" s="27">
        <v>7141015</v>
      </c>
      <c r="G122" s="27">
        <v>655</v>
      </c>
      <c r="I122" s="5">
        <v>92</v>
      </c>
      <c r="J122" s="248">
        <v>964</v>
      </c>
      <c r="L122" s="247">
        <v>988.3</v>
      </c>
      <c r="M122" s="248">
        <v>994.2</v>
      </c>
      <c r="N122" s="247">
        <v>999.1</v>
      </c>
      <c r="O122" s="248">
        <v>1005.6</v>
      </c>
      <c r="P122" s="247">
        <v>1010.2</v>
      </c>
      <c r="R122" s="247">
        <v>976</v>
      </c>
      <c r="S122" s="248">
        <v>978.3</v>
      </c>
      <c r="T122" s="247">
        <v>980.2</v>
      </c>
      <c r="U122" s="248">
        <v>981.8</v>
      </c>
      <c r="V122" s="248">
        <v>983.3</v>
      </c>
      <c r="W122" s="5">
        <v>92</v>
      </c>
      <c r="Y122" s="5">
        <v>92</v>
      </c>
      <c r="Z122" s="248">
        <v>964</v>
      </c>
      <c r="AA122" s="247">
        <v>969.5</v>
      </c>
      <c r="AB122" s="248">
        <v>975.1</v>
      </c>
      <c r="AC122" s="247">
        <v>980.6</v>
      </c>
      <c r="AD122" s="248">
        <v>986.1</v>
      </c>
      <c r="AE122" s="247">
        <v>991.5</v>
      </c>
      <c r="AF122" s="248">
        <v>996.9</v>
      </c>
      <c r="AG122" s="247">
        <v>1002.3</v>
      </c>
      <c r="AH122" s="248">
        <v>1007.6</v>
      </c>
      <c r="AI122" s="247"/>
      <c r="AJ122" s="248"/>
      <c r="AK122" s="8">
        <f t="shared" si="1"/>
        <v>92</v>
      </c>
    </row>
    <row r="123" spans="1:37">
      <c r="A123" s="27">
        <v>22</v>
      </c>
      <c r="B123" s="28" t="s">
        <v>193</v>
      </c>
      <c r="C123" s="27">
        <v>3000</v>
      </c>
      <c r="D123" s="27">
        <v>6</v>
      </c>
      <c r="E123" s="27"/>
      <c r="F123" s="27">
        <v>7141012</v>
      </c>
      <c r="G123" s="27">
        <v>810</v>
      </c>
      <c r="I123" s="5">
        <v>93</v>
      </c>
      <c r="J123" s="248">
        <v>963.3</v>
      </c>
      <c r="L123" s="247">
        <v>987.5</v>
      </c>
      <c r="M123" s="248">
        <v>993.5</v>
      </c>
      <c r="N123" s="247">
        <v>998.3</v>
      </c>
      <c r="O123" s="248">
        <v>1004.8</v>
      </c>
      <c r="P123" s="247">
        <v>1009.4</v>
      </c>
      <c r="R123" s="247">
        <v>975.2</v>
      </c>
      <c r="S123" s="248">
        <v>977.5</v>
      </c>
      <c r="T123" s="247">
        <v>979.4</v>
      </c>
      <c r="U123" s="248">
        <v>980.9</v>
      </c>
      <c r="V123" s="248">
        <v>982.4</v>
      </c>
      <c r="W123" s="5">
        <v>93</v>
      </c>
      <c r="Y123" s="5">
        <v>93</v>
      </c>
      <c r="Z123" s="248">
        <v>963.3</v>
      </c>
      <c r="AA123" s="247">
        <v>968.8</v>
      </c>
      <c r="AB123" s="248">
        <v>974.4</v>
      </c>
      <c r="AC123" s="247">
        <v>979.9</v>
      </c>
      <c r="AD123" s="248">
        <v>985.3</v>
      </c>
      <c r="AE123" s="247">
        <v>990.8</v>
      </c>
      <c r="AF123" s="248">
        <v>996.2</v>
      </c>
      <c r="AG123" s="247">
        <v>1001.5</v>
      </c>
      <c r="AH123" s="248">
        <v>1006.8</v>
      </c>
      <c r="AI123" s="247"/>
      <c r="AJ123" s="248"/>
      <c r="AK123" s="8">
        <f t="shared" si="1"/>
        <v>93</v>
      </c>
    </row>
    <row r="124" spans="1:37">
      <c r="A124" s="27">
        <v>23</v>
      </c>
      <c r="B124" s="28" t="s">
        <v>194</v>
      </c>
      <c r="C124" s="27">
        <v>4000</v>
      </c>
      <c r="D124" s="27">
        <v>6</v>
      </c>
      <c r="E124" s="27"/>
      <c r="F124" s="27">
        <v>7141013</v>
      </c>
      <c r="G124" s="27">
        <v>920</v>
      </c>
      <c r="I124" s="5">
        <v>94</v>
      </c>
      <c r="J124" s="248">
        <v>962.6</v>
      </c>
      <c r="L124" s="247">
        <v>986.8</v>
      </c>
      <c r="M124" s="248">
        <v>992.7</v>
      </c>
      <c r="N124" s="247">
        <v>997.6</v>
      </c>
      <c r="O124" s="248">
        <v>1004</v>
      </c>
      <c r="P124" s="247">
        <v>1008.6</v>
      </c>
      <c r="R124" s="247">
        <v>974.4</v>
      </c>
      <c r="S124" s="248">
        <v>976.7</v>
      </c>
      <c r="T124" s="247">
        <v>978.6</v>
      </c>
      <c r="U124" s="248">
        <v>980.1</v>
      </c>
      <c r="V124" s="248">
        <v>981.6</v>
      </c>
      <c r="W124" s="5">
        <v>94</v>
      </c>
      <c r="Y124" s="5">
        <v>94</v>
      </c>
      <c r="Z124" s="248">
        <v>962.6</v>
      </c>
      <c r="AA124" s="247">
        <v>968.1</v>
      </c>
      <c r="AB124" s="248">
        <v>973.6</v>
      </c>
      <c r="AC124" s="247">
        <v>979.2</v>
      </c>
      <c r="AD124" s="248">
        <v>984.6</v>
      </c>
      <c r="AE124" s="247">
        <v>990</v>
      </c>
      <c r="AF124" s="248">
        <v>995.4</v>
      </c>
      <c r="AG124" s="247">
        <v>1000.8</v>
      </c>
      <c r="AH124" s="248">
        <v>1006</v>
      </c>
      <c r="AI124" s="247"/>
      <c r="AJ124" s="248"/>
      <c r="AK124" s="8">
        <f t="shared" si="1"/>
        <v>94</v>
      </c>
    </row>
    <row r="125" spans="1:37">
      <c r="A125" s="27">
        <v>24</v>
      </c>
      <c r="B125" s="28" t="s">
        <v>195</v>
      </c>
      <c r="C125" s="27">
        <v>5000</v>
      </c>
      <c r="D125" s="27">
        <v>6</v>
      </c>
      <c r="E125" s="27"/>
      <c r="F125" s="27">
        <v>7141014</v>
      </c>
      <c r="G125" s="27">
        <v>1015</v>
      </c>
      <c r="I125" s="5">
        <v>95</v>
      </c>
      <c r="J125" s="248">
        <v>961.9</v>
      </c>
      <c r="L125" s="247">
        <v>986</v>
      </c>
      <c r="M125" s="248">
        <v>992</v>
      </c>
      <c r="N125" s="247">
        <v>996.8</v>
      </c>
      <c r="O125" s="248">
        <v>1003.3</v>
      </c>
      <c r="P125" s="247">
        <v>1007.8</v>
      </c>
      <c r="R125" s="247">
        <v>973.6</v>
      </c>
      <c r="S125" s="248">
        <v>975.9</v>
      </c>
      <c r="T125" s="247">
        <v>977.8</v>
      </c>
      <c r="U125" s="248">
        <v>979.3</v>
      </c>
      <c r="V125" s="248">
        <v>980.7</v>
      </c>
      <c r="W125" s="5">
        <v>95</v>
      </c>
      <c r="Y125" s="5">
        <v>95</v>
      </c>
      <c r="Z125" s="248">
        <v>961.9</v>
      </c>
      <c r="AA125" s="247">
        <v>967.4</v>
      </c>
      <c r="AB125" s="248">
        <v>972.9</v>
      </c>
      <c r="AC125" s="247">
        <v>978.4</v>
      </c>
      <c r="AD125" s="248">
        <v>983.9</v>
      </c>
      <c r="AE125" s="247">
        <v>989.3</v>
      </c>
      <c r="AF125" s="248">
        <v>994.7</v>
      </c>
      <c r="AG125" s="247">
        <v>1000</v>
      </c>
      <c r="AH125" s="248">
        <v>1005.3</v>
      </c>
      <c r="AI125" s="247"/>
      <c r="AJ125" s="248"/>
      <c r="AK125" s="8">
        <f t="shared" si="1"/>
        <v>95</v>
      </c>
    </row>
    <row r="126" spans="1:37">
      <c r="A126" s="27">
        <v>25</v>
      </c>
      <c r="B126" s="28" t="s">
        <v>169</v>
      </c>
      <c r="C126" s="27">
        <v>300</v>
      </c>
      <c r="D126" s="27">
        <v>10</v>
      </c>
      <c r="E126" s="27"/>
      <c r="F126" s="27">
        <v>7142008</v>
      </c>
      <c r="G126" s="27">
        <v>170</v>
      </c>
      <c r="I126" s="5">
        <v>96</v>
      </c>
      <c r="J126" s="248">
        <v>961.2</v>
      </c>
      <c r="L126" s="247">
        <v>985.3</v>
      </c>
      <c r="M126" s="248">
        <v>991.2</v>
      </c>
      <c r="N126" s="247">
        <v>996</v>
      </c>
      <c r="O126" s="248">
        <v>1002.5</v>
      </c>
      <c r="P126" s="247">
        <v>1007.1</v>
      </c>
      <c r="R126" s="247">
        <v>972.8</v>
      </c>
      <c r="S126" s="248">
        <v>975.1</v>
      </c>
      <c r="T126" s="247">
        <v>976.9</v>
      </c>
      <c r="U126" s="248">
        <v>978.4</v>
      </c>
      <c r="V126" s="248">
        <v>979.8</v>
      </c>
      <c r="W126" s="5">
        <v>96</v>
      </c>
      <c r="Y126" s="5">
        <v>96</v>
      </c>
      <c r="Z126" s="248">
        <v>961.2</v>
      </c>
      <c r="AA126" s="247">
        <v>966.6</v>
      </c>
      <c r="AB126" s="248">
        <v>972.2</v>
      </c>
      <c r="AC126" s="247">
        <v>977.7</v>
      </c>
      <c r="AD126" s="248">
        <v>983.1</v>
      </c>
      <c r="AE126" s="247">
        <v>988.5</v>
      </c>
      <c r="AF126" s="248">
        <v>993.9</v>
      </c>
      <c r="AG126" s="247">
        <v>999.2</v>
      </c>
      <c r="AH126" s="248">
        <v>1004.5</v>
      </c>
      <c r="AI126" s="247"/>
      <c r="AJ126" s="248"/>
      <c r="AK126" s="8">
        <f t="shared" si="1"/>
        <v>96</v>
      </c>
    </row>
    <row r="127" spans="1:37">
      <c r="A127" s="27">
        <v>26</v>
      </c>
      <c r="B127" s="28" t="s">
        <v>170</v>
      </c>
      <c r="C127" s="27">
        <v>500</v>
      </c>
      <c r="D127" s="27">
        <v>10</v>
      </c>
      <c r="E127" s="27"/>
      <c r="F127" s="27">
        <v>7142009</v>
      </c>
      <c r="G127" s="27">
        <v>225</v>
      </c>
      <c r="I127" s="5">
        <v>97</v>
      </c>
      <c r="J127" s="248">
        <v>960.5</v>
      </c>
      <c r="L127" s="247">
        <v>984.5</v>
      </c>
      <c r="M127" s="248">
        <v>990.5</v>
      </c>
      <c r="N127" s="247">
        <v>995.3</v>
      </c>
      <c r="O127" s="248">
        <v>1001.7</v>
      </c>
      <c r="P127" s="247">
        <v>1006.3</v>
      </c>
      <c r="R127" s="247">
        <v>972.1</v>
      </c>
      <c r="S127" s="248">
        <v>974.3</v>
      </c>
      <c r="T127" s="247">
        <v>976.1</v>
      </c>
      <c r="U127" s="248">
        <v>977.6</v>
      </c>
      <c r="V127" s="248">
        <v>979</v>
      </c>
      <c r="W127" s="5">
        <v>97</v>
      </c>
      <c r="Y127" s="5">
        <v>97</v>
      </c>
      <c r="Z127" s="248">
        <v>960.5</v>
      </c>
      <c r="AA127" s="247">
        <v>965.9</v>
      </c>
      <c r="AB127" s="248">
        <v>971.5</v>
      </c>
      <c r="AC127" s="247">
        <v>977</v>
      </c>
      <c r="AD127" s="248">
        <v>982.4</v>
      </c>
      <c r="AE127" s="247">
        <v>987.8</v>
      </c>
      <c r="AF127" s="248">
        <v>993.1</v>
      </c>
      <c r="AG127" s="247">
        <v>998.5</v>
      </c>
      <c r="AH127" s="248">
        <v>1003.7</v>
      </c>
      <c r="AI127" s="247"/>
      <c r="AJ127" s="248"/>
      <c r="AK127" s="8">
        <f t="shared" si="1"/>
        <v>97</v>
      </c>
    </row>
    <row r="128" spans="1:37">
      <c r="A128" s="27">
        <v>27</v>
      </c>
      <c r="B128" s="28" t="s">
        <v>167</v>
      </c>
      <c r="C128" s="27">
        <v>700</v>
      </c>
      <c r="D128" s="27">
        <v>10</v>
      </c>
      <c r="E128" s="27"/>
      <c r="F128" s="27">
        <v>7142010</v>
      </c>
      <c r="G128" s="27">
        <v>240</v>
      </c>
      <c r="I128" s="5">
        <v>98</v>
      </c>
      <c r="J128" s="248">
        <v>959.8</v>
      </c>
      <c r="L128" s="247">
        <v>983.8</v>
      </c>
      <c r="M128" s="248">
        <v>989.7</v>
      </c>
      <c r="N128" s="247">
        <v>994.5</v>
      </c>
      <c r="O128" s="248">
        <v>1000.9</v>
      </c>
      <c r="P128" s="247">
        <v>1005.5</v>
      </c>
      <c r="R128" s="247">
        <v>971.3</v>
      </c>
      <c r="S128" s="248">
        <v>973.5</v>
      </c>
      <c r="T128" s="247">
        <v>975.3</v>
      </c>
      <c r="U128" s="248">
        <v>976.8</v>
      </c>
      <c r="V128" s="248">
        <v>978.1</v>
      </c>
      <c r="W128" s="5">
        <v>98</v>
      </c>
      <c r="Y128" s="5">
        <v>98</v>
      </c>
      <c r="Z128" s="248">
        <v>959.8</v>
      </c>
      <c r="AA128" s="247">
        <v>965.2</v>
      </c>
      <c r="AB128" s="248">
        <v>970.7</v>
      </c>
      <c r="AC128" s="247">
        <v>976.2</v>
      </c>
      <c r="AD128" s="248">
        <v>981.6</v>
      </c>
      <c r="AE128" s="247">
        <v>987</v>
      </c>
      <c r="AF128" s="248">
        <v>992.4</v>
      </c>
      <c r="AG128" s="247">
        <v>997.7</v>
      </c>
      <c r="AH128" s="248">
        <v>1002.9</v>
      </c>
      <c r="AI128" s="247"/>
      <c r="AJ128" s="248"/>
      <c r="AK128" s="8">
        <f t="shared" si="1"/>
        <v>98</v>
      </c>
    </row>
    <row r="129" spans="1:37">
      <c r="A129" s="27">
        <v>28</v>
      </c>
      <c r="B129" s="28" t="s">
        <v>202</v>
      </c>
      <c r="C129" s="27">
        <v>1000</v>
      </c>
      <c r="D129" s="27">
        <v>16</v>
      </c>
      <c r="E129" s="27"/>
      <c r="F129" s="27">
        <v>7142011</v>
      </c>
      <c r="G129" s="27">
        <v>330</v>
      </c>
      <c r="I129" s="5">
        <v>99</v>
      </c>
      <c r="J129" s="248">
        <v>959.1</v>
      </c>
      <c r="L129" s="247">
        <v>983</v>
      </c>
      <c r="M129" s="248">
        <v>988.9</v>
      </c>
      <c r="N129" s="247">
        <v>993.7</v>
      </c>
      <c r="O129" s="248">
        <v>1000.2</v>
      </c>
      <c r="P129" s="247">
        <v>1004.7</v>
      </c>
      <c r="R129" s="247">
        <v>970.5</v>
      </c>
      <c r="S129" s="248">
        <v>972.7</v>
      </c>
      <c r="T129" s="247">
        <v>974.5</v>
      </c>
      <c r="U129" s="248">
        <v>975.9</v>
      </c>
      <c r="V129" s="248">
        <v>977.3</v>
      </c>
      <c r="W129" s="5">
        <v>99</v>
      </c>
      <c r="Y129" s="5">
        <v>99</v>
      </c>
      <c r="Z129" s="248">
        <v>959.1</v>
      </c>
      <c r="AA129" s="247">
        <v>964.5</v>
      </c>
      <c r="AB129" s="248">
        <v>970</v>
      </c>
      <c r="AC129" s="247">
        <v>975.5</v>
      </c>
      <c r="AD129" s="248">
        <v>980.9</v>
      </c>
      <c r="AE129" s="247">
        <v>986.3</v>
      </c>
      <c r="AF129" s="248">
        <v>991.6</v>
      </c>
      <c r="AG129" s="247">
        <v>996.9</v>
      </c>
      <c r="AH129" s="248">
        <v>1002.1</v>
      </c>
      <c r="AI129" s="247"/>
      <c r="AJ129" s="248"/>
      <c r="AK129" s="8">
        <f t="shared" si="1"/>
        <v>99</v>
      </c>
    </row>
    <row r="130" spans="1:37">
      <c r="A130" s="27">
        <v>29</v>
      </c>
      <c r="B130" s="28" t="s">
        <v>203</v>
      </c>
      <c r="C130" s="27">
        <v>1500</v>
      </c>
      <c r="D130" s="27">
        <v>16</v>
      </c>
      <c r="E130" s="27"/>
      <c r="F130" s="27">
        <v>7142012</v>
      </c>
      <c r="G130" s="27">
        <v>445</v>
      </c>
      <c r="I130" s="5">
        <v>100</v>
      </c>
      <c r="J130" s="248">
        <v>958.3</v>
      </c>
      <c r="L130" s="247">
        <v>982.3</v>
      </c>
      <c r="M130" s="248">
        <v>988.2</v>
      </c>
      <c r="N130" s="247">
        <v>993</v>
      </c>
      <c r="O130" s="248">
        <v>999.4</v>
      </c>
      <c r="P130" s="247">
        <v>1003.9</v>
      </c>
      <c r="R130" s="247">
        <v>969.7</v>
      </c>
      <c r="S130" s="248">
        <v>971.9</v>
      </c>
      <c r="T130" s="247">
        <v>973.7</v>
      </c>
      <c r="U130" s="248">
        <v>975.1</v>
      </c>
      <c r="V130" s="248">
        <v>976.4</v>
      </c>
      <c r="W130" s="5">
        <v>100</v>
      </c>
      <c r="Y130" s="5">
        <v>100</v>
      </c>
      <c r="Z130" s="248">
        <v>958.3</v>
      </c>
      <c r="AA130" s="247">
        <v>963.8</v>
      </c>
      <c r="AB130" s="248">
        <v>969.3</v>
      </c>
      <c r="AC130" s="247">
        <v>974.8</v>
      </c>
      <c r="AD130" s="248">
        <v>980.1</v>
      </c>
      <c r="AE130" s="247">
        <v>985.5</v>
      </c>
      <c r="AF130" s="248">
        <v>990.9</v>
      </c>
      <c r="AG130" s="247">
        <v>996.1</v>
      </c>
      <c r="AH130" s="248">
        <v>1001.4</v>
      </c>
      <c r="AI130" s="247"/>
      <c r="AJ130" s="248"/>
      <c r="AK130" s="8">
        <f t="shared" si="1"/>
        <v>100</v>
      </c>
    </row>
    <row r="131" spans="1:37">
      <c r="A131" s="27">
        <v>30</v>
      </c>
      <c r="B131" s="28" t="s">
        <v>204</v>
      </c>
      <c r="C131" s="27">
        <v>2000</v>
      </c>
      <c r="D131" s="27">
        <v>16</v>
      </c>
      <c r="E131" s="27"/>
      <c r="F131" s="27">
        <v>7142017</v>
      </c>
      <c r="G131" s="27">
        <v>735</v>
      </c>
      <c r="I131" s="5">
        <v>101</v>
      </c>
      <c r="J131" s="248">
        <v>957.6</v>
      </c>
      <c r="L131" s="247">
        <v>981.5</v>
      </c>
      <c r="M131" s="248">
        <v>987.4</v>
      </c>
      <c r="N131" s="247">
        <v>992.2</v>
      </c>
      <c r="O131" s="248">
        <v>998.6</v>
      </c>
      <c r="P131" s="247">
        <v>1003.1</v>
      </c>
      <c r="R131" s="247">
        <v>968.9</v>
      </c>
      <c r="S131" s="248">
        <v>971</v>
      </c>
      <c r="T131" s="247">
        <v>972.8</v>
      </c>
      <c r="U131" s="248">
        <v>974.2</v>
      </c>
      <c r="V131" s="248">
        <v>975.6</v>
      </c>
      <c r="W131" s="5">
        <v>101</v>
      </c>
      <c r="Y131" s="5">
        <v>101</v>
      </c>
      <c r="Z131" s="248">
        <v>957.6</v>
      </c>
      <c r="AA131" s="247">
        <v>963.1</v>
      </c>
      <c r="AB131" s="248">
        <v>968.5</v>
      </c>
      <c r="AC131" s="247">
        <v>974</v>
      </c>
      <c r="AD131" s="248">
        <v>979.4</v>
      </c>
      <c r="AE131" s="247">
        <v>984.7</v>
      </c>
      <c r="AF131" s="248">
        <v>990.1</v>
      </c>
      <c r="AG131" s="247">
        <v>995.3</v>
      </c>
      <c r="AH131" s="248">
        <v>1000.6</v>
      </c>
      <c r="AI131" s="247"/>
      <c r="AJ131" s="248"/>
      <c r="AK131" s="8">
        <f t="shared" si="1"/>
        <v>101</v>
      </c>
    </row>
    <row r="132" spans="1:37">
      <c r="A132" s="27">
        <v>31</v>
      </c>
      <c r="B132" s="28" t="s">
        <v>205</v>
      </c>
      <c r="C132" s="27">
        <v>3000</v>
      </c>
      <c r="D132" s="27">
        <v>16</v>
      </c>
      <c r="E132" s="27"/>
      <c r="F132" s="27">
        <v>7142014</v>
      </c>
      <c r="G132" s="27">
        <v>890</v>
      </c>
      <c r="I132" s="5">
        <v>102</v>
      </c>
      <c r="J132" s="248">
        <v>956.8</v>
      </c>
      <c r="L132" s="247">
        <v>980.7</v>
      </c>
      <c r="M132" s="248">
        <v>986.6</v>
      </c>
      <c r="N132" s="247">
        <v>991.4</v>
      </c>
      <c r="O132" s="248">
        <v>997.8</v>
      </c>
      <c r="P132" s="247">
        <v>1002.3</v>
      </c>
      <c r="R132" s="247">
        <v>968.1</v>
      </c>
      <c r="S132" s="248">
        <v>970.2</v>
      </c>
      <c r="T132" s="247">
        <v>972</v>
      </c>
      <c r="U132" s="248">
        <v>973.4</v>
      </c>
      <c r="V132" s="248">
        <v>974.7</v>
      </c>
      <c r="W132" s="5">
        <v>102</v>
      </c>
      <c r="Y132" s="5">
        <v>102</v>
      </c>
      <c r="Z132" s="248">
        <v>956.8</v>
      </c>
      <c r="AA132" s="247">
        <v>962.3</v>
      </c>
      <c r="AB132" s="248">
        <v>967.8</v>
      </c>
      <c r="AC132" s="247">
        <v>973.2</v>
      </c>
      <c r="AD132" s="248">
        <v>978.6</v>
      </c>
      <c r="AE132" s="247">
        <v>983.9</v>
      </c>
      <c r="AF132" s="248">
        <v>989.3</v>
      </c>
      <c r="AG132" s="247">
        <v>994.5</v>
      </c>
      <c r="AH132" s="248">
        <v>999.7</v>
      </c>
      <c r="AI132" s="247"/>
      <c r="AJ132" s="248"/>
      <c r="AK132" s="8">
        <f t="shared" si="1"/>
        <v>102</v>
      </c>
    </row>
    <row r="133" spans="1:37">
      <c r="A133" s="27">
        <v>32</v>
      </c>
      <c r="B133" s="28" t="s">
        <v>206</v>
      </c>
      <c r="C133" s="27">
        <v>4000</v>
      </c>
      <c r="D133" s="27">
        <v>16</v>
      </c>
      <c r="E133" s="27"/>
      <c r="F133" s="27">
        <v>7142015</v>
      </c>
      <c r="G133" s="27">
        <v>1030</v>
      </c>
      <c r="I133" s="5">
        <v>103</v>
      </c>
      <c r="J133" s="248">
        <v>956.1</v>
      </c>
      <c r="L133" s="247">
        <v>979.9</v>
      </c>
      <c r="M133" s="248">
        <v>985.8</v>
      </c>
      <c r="N133" s="247">
        <v>990.6</v>
      </c>
      <c r="O133" s="248">
        <v>997</v>
      </c>
      <c r="P133" s="247">
        <v>1001.5</v>
      </c>
      <c r="R133" s="247">
        <v>967.2</v>
      </c>
      <c r="S133" s="248">
        <v>969.3</v>
      </c>
      <c r="T133" s="247">
        <v>971.1</v>
      </c>
      <c r="U133" s="248">
        <v>972.5</v>
      </c>
      <c r="V133" s="248">
        <v>973.8</v>
      </c>
      <c r="W133" s="5">
        <v>103</v>
      </c>
      <c r="Y133" s="5">
        <v>103</v>
      </c>
      <c r="Z133" s="248">
        <v>956.1</v>
      </c>
      <c r="AA133" s="247">
        <v>961.6</v>
      </c>
      <c r="AB133" s="248">
        <v>967</v>
      </c>
      <c r="AC133" s="247">
        <v>972.4</v>
      </c>
      <c r="AD133" s="248">
        <v>977.8</v>
      </c>
      <c r="AE133" s="247">
        <v>983.1</v>
      </c>
      <c r="AF133" s="248">
        <v>988.5</v>
      </c>
      <c r="AG133" s="247">
        <v>993.7</v>
      </c>
      <c r="AH133" s="248">
        <v>998.9</v>
      </c>
      <c r="AI133" s="247"/>
      <c r="AJ133" s="248"/>
      <c r="AK133" s="8">
        <f t="shared" si="1"/>
        <v>103</v>
      </c>
    </row>
    <row r="134" spans="1:37">
      <c r="A134" s="27">
        <v>33</v>
      </c>
      <c r="B134" s="28" t="s">
        <v>207</v>
      </c>
      <c r="C134" s="27">
        <v>5000</v>
      </c>
      <c r="D134" s="27">
        <v>16</v>
      </c>
      <c r="E134" s="27"/>
      <c r="F134" s="27">
        <v>7142016</v>
      </c>
      <c r="G134" s="27">
        <v>1145</v>
      </c>
      <c r="I134" s="5">
        <v>104</v>
      </c>
      <c r="J134" s="248">
        <v>955.4</v>
      </c>
      <c r="L134" s="247">
        <v>979.1</v>
      </c>
      <c r="M134" s="248">
        <v>985</v>
      </c>
      <c r="N134" s="247">
        <v>989.8</v>
      </c>
      <c r="O134" s="248">
        <v>996.2</v>
      </c>
      <c r="P134" s="247">
        <v>1000.7</v>
      </c>
      <c r="R134" s="247">
        <v>966.4</v>
      </c>
      <c r="S134" s="248">
        <v>968.5</v>
      </c>
      <c r="T134" s="247">
        <v>970.2</v>
      </c>
      <c r="U134" s="248">
        <v>971.6</v>
      </c>
      <c r="V134" s="248">
        <v>972.9</v>
      </c>
      <c r="W134" s="5">
        <v>104</v>
      </c>
      <c r="Y134" s="5">
        <v>104</v>
      </c>
      <c r="Z134" s="248">
        <v>955.4</v>
      </c>
      <c r="AA134" s="247">
        <v>960.8</v>
      </c>
      <c r="AB134" s="248">
        <v>966.2</v>
      </c>
      <c r="AC134" s="247">
        <v>971.6</v>
      </c>
      <c r="AD134" s="248">
        <v>977</v>
      </c>
      <c r="AE134" s="247">
        <v>982.3</v>
      </c>
      <c r="AF134" s="248">
        <v>987.7</v>
      </c>
      <c r="AG134" s="247">
        <v>992.9</v>
      </c>
      <c r="AH134" s="248">
        <v>998.1</v>
      </c>
      <c r="AI134" s="247"/>
      <c r="AJ134" s="248"/>
      <c r="AK134" s="8">
        <f t="shared" si="1"/>
        <v>104</v>
      </c>
    </row>
    <row r="135" spans="1:37">
      <c r="A135" s="27">
        <v>34</v>
      </c>
      <c r="B135" s="28" t="s">
        <v>171</v>
      </c>
      <c r="C135" s="27">
        <v>300</v>
      </c>
      <c r="D135" s="27">
        <v>16</v>
      </c>
      <c r="E135" s="27"/>
      <c r="F135" s="27">
        <v>7143000</v>
      </c>
      <c r="G135" s="27">
        <v>190</v>
      </c>
      <c r="I135" s="5">
        <v>105</v>
      </c>
      <c r="J135" s="248">
        <v>954.6</v>
      </c>
      <c r="L135" s="247">
        <v>978.3</v>
      </c>
      <c r="M135" s="248">
        <v>984.2</v>
      </c>
      <c r="N135" s="247">
        <v>989</v>
      </c>
      <c r="O135" s="248">
        <v>995.4</v>
      </c>
      <c r="P135" s="247">
        <v>999.9</v>
      </c>
      <c r="R135" s="247">
        <v>965.6</v>
      </c>
      <c r="S135" s="248">
        <v>967.6</v>
      </c>
      <c r="T135" s="247">
        <v>969.4</v>
      </c>
      <c r="U135" s="248">
        <v>970.7</v>
      </c>
      <c r="V135" s="248">
        <v>972</v>
      </c>
      <c r="W135" s="5">
        <v>105</v>
      </c>
      <c r="Y135" s="5">
        <v>105</v>
      </c>
      <c r="Z135" s="248">
        <v>954.6</v>
      </c>
      <c r="AA135" s="247">
        <v>960.1</v>
      </c>
      <c r="AB135" s="248">
        <v>965.5</v>
      </c>
      <c r="AC135" s="247">
        <v>970.9</v>
      </c>
      <c r="AD135" s="248">
        <v>976.2</v>
      </c>
      <c r="AE135" s="247">
        <v>981.5</v>
      </c>
      <c r="AF135" s="248">
        <v>986.9</v>
      </c>
      <c r="AG135" s="247">
        <v>992.1</v>
      </c>
      <c r="AH135" s="248">
        <v>997.3</v>
      </c>
      <c r="AI135" s="247"/>
      <c r="AJ135" s="248"/>
      <c r="AK135" s="8">
        <f t="shared" si="1"/>
        <v>105</v>
      </c>
    </row>
    <row r="136" spans="1:37">
      <c r="A136" s="27">
        <v>35</v>
      </c>
      <c r="B136" s="28" t="s">
        <v>172</v>
      </c>
      <c r="C136" s="27">
        <v>500</v>
      </c>
      <c r="D136" s="27">
        <v>16</v>
      </c>
      <c r="E136" s="27"/>
      <c r="F136" s="27">
        <v>7143001</v>
      </c>
      <c r="G136" s="27">
        <v>255</v>
      </c>
      <c r="I136" s="5">
        <v>106</v>
      </c>
      <c r="J136" s="248">
        <v>953.9</v>
      </c>
      <c r="L136" s="247">
        <v>977.6</v>
      </c>
      <c r="M136" s="248">
        <v>983.4</v>
      </c>
      <c r="N136" s="247">
        <v>988.2</v>
      </c>
      <c r="O136" s="248">
        <v>994.6</v>
      </c>
      <c r="P136" s="247">
        <v>999.1</v>
      </c>
      <c r="R136" s="247">
        <v>964.8</v>
      </c>
      <c r="S136" s="248">
        <v>966.8</v>
      </c>
      <c r="T136" s="247">
        <v>968.5</v>
      </c>
      <c r="U136" s="248">
        <v>969.9</v>
      </c>
      <c r="V136" s="248">
        <v>971.1</v>
      </c>
      <c r="W136" s="5">
        <v>106</v>
      </c>
      <c r="Y136" s="5">
        <v>106</v>
      </c>
      <c r="Z136" s="248">
        <v>953.9</v>
      </c>
      <c r="AA136" s="247">
        <v>959.3</v>
      </c>
      <c r="AB136" s="248">
        <v>964.7</v>
      </c>
      <c r="AC136" s="247">
        <v>970.1</v>
      </c>
      <c r="AD136" s="248">
        <v>975.4</v>
      </c>
      <c r="AE136" s="247">
        <v>980.8</v>
      </c>
      <c r="AF136" s="248">
        <v>986.1</v>
      </c>
      <c r="AG136" s="247">
        <v>991.3</v>
      </c>
      <c r="AH136" s="248">
        <v>996.5</v>
      </c>
      <c r="AI136" s="247"/>
      <c r="AJ136" s="248"/>
      <c r="AK136" s="8">
        <f t="shared" si="1"/>
        <v>106</v>
      </c>
    </row>
    <row r="137" spans="1:37">
      <c r="A137" s="27">
        <v>36</v>
      </c>
      <c r="B137" s="28" t="s">
        <v>173</v>
      </c>
      <c r="C137" s="27">
        <v>700</v>
      </c>
      <c r="D137" s="27">
        <v>16</v>
      </c>
      <c r="E137" s="27"/>
      <c r="F137" s="27">
        <v>7143002</v>
      </c>
      <c r="G137" s="27">
        <v>280</v>
      </c>
      <c r="I137" s="5">
        <v>107</v>
      </c>
      <c r="J137" s="248">
        <v>953.2</v>
      </c>
      <c r="L137" s="247">
        <v>976.8</v>
      </c>
      <c r="M137" s="248">
        <v>982.6</v>
      </c>
      <c r="N137" s="247">
        <v>987.4</v>
      </c>
      <c r="O137" s="248">
        <v>993.8</v>
      </c>
      <c r="P137" s="247">
        <v>998.3</v>
      </c>
      <c r="R137" s="247">
        <v>963.9</v>
      </c>
      <c r="S137" s="248">
        <v>966</v>
      </c>
      <c r="T137" s="247">
        <v>967.6</v>
      </c>
      <c r="U137" s="248">
        <v>969</v>
      </c>
      <c r="V137" s="248">
        <v>970.3</v>
      </c>
      <c r="W137" s="5">
        <v>107</v>
      </c>
      <c r="Y137" s="5">
        <v>107</v>
      </c>
      <c r="Z137" s="248">
        <v>953.2</v>
      </c>
      <c r="AA137" s="247">
        <v>958.6</v>
      </c>
      <c r="AB137" s="248">
        <v>963.9</v>
      </c>
      <c r="AC137" s="247">
        <v>969.3</v>
      </c>
      <c r="AD137" s="248">
        <v>974.6</v>
      </c>
      <c r="AE137" s="247">
        <v>980</v>
      </c>
      <c r="AF137" s="248">
        <v>985.3</v>
      </c>
      <c r="AG137" s="247">
        <v>990.5</v>
      </c>
      <c r="AH137" s="248">
        <v>995.7</v>
      </c>
      <c r="AI137" s="247"/>
      <c r="AJ137" s="248"/>
      <c r="AK137" s="8">
        <f t="shared" si="1"/>
        <v>107</v>
      </c>
    </row>
    <row r="138" spans="1:37">
      <c r="A138" s="27">
        <v>37</v>
      </c>
      <c r="B138" s="28" t="s">
        <v>196</v>
      </c>
      <c r="C138" s="27">
        <v>1000</v>
      </c>
      <c r="D138" s="27">
        <v>16</v>
      </c>
      <c r="E138" s="27"/>
      <c r="F138" s="27">
        <v>7143003</v>
      </c>
      <c r="G138" s="27">
        <v>385</v>
      </c>
      <c r="I138" s="5">
        <v>108</v>
      </c>
      <c r="J138" s="248">
        <v>952.5</v>
      </c>
      <c r="L138" s="247">
        <v>976</v>
      </c>
      <c r="M138" s="248">
        <v>981.8</v>
      </c>
      <c r="N138" s="247">
        <v>986.6</v>
      </c>
      <c r="O138" s="248">
        <v>993</v>
      </c>
      <c r="P138" s="247">
        <v>997.5</v>
      </c>
      <c r="R138" s="247">
        <v>963.1</v>
      </c>
      <c r="S138" s="248">
        <v>965.1</v>
      </c>
      <c r="T138" s="247">
        <v>966.8</v>
      </c>
      <c r="U138" s="248">
        <v>968.1</v>
      </c>
      <c r="V138" s="248">
        <v>969.4</v>
      </c>
      <c r="W138" s="5">
        <v>108</v>
      </c>
      <c r="Y138" s="5">
        <v>108</v>
      </c>
      <c r="Z138" s="248">
        <v>952.5</v>
      </c>
      <c r="AA138" s="247">
        <v>957.8</v>
      </c>
      <c r="AB138" s="248">
        <v>963.2</v>
      </c>
      <c r="AC138" s="247">
        <v>968.5</v>
      </c>
      <c r="AD138" s="248">
        <v>973.9</v>
      </c>
      <c r="AE138" s="247">
        <v>979.2</v>
      </c>
      <c r="AF138" s="248">
        <v>984.5</v>
      </c>
      <c r="AG138" s="247">
        <v>989.7</v>
      </c>
      <c r="AH138" s="248">
        <v>994.9</v>
      </c>
      <c r="AI138" s="247"/>
      <c r="AJ138" s="248"/>
      <c r="AK138" s="8">
        <f t="shared" si="1"/>
        <v>108</v>
      </c>
    </row>
    <row r="139" spans="1:37">
      <c r="A139" s="27">
        <v>38</v>
      </c>
      <c r="B139" s="28" t="s">
        <v>197</v>
      </c>
      <c r="C139" s="27">
        <v>1500</v>
      </c>
      <c r="D139" s="27">
        <v>16</v>
      </c>
      <c r="E139" s="27"/>
      <c r="F139" s="27">
        <v>7143004</v>
      </c>
      <c r="G139" s="27">
        <v>510</v>
      </c>
      <c r="I139" s="5">
        <v>109</v>
      </c>
      <c r="J139" s="248">
        <v>951.7</v>
      </c>
      <c r="L139" s="247">
        <v>975.2</v>
      </c>
      <c r="M139" s="248">
        <v>981</v>
      </c>
      <c r="N139" s="247">
        <v>985.8</v>
      </c>
      <c r="O139" s="248">
        <v>992.1</v>
      </c>
      <c r="P139" s="247">
        <v>996.6</v>
      </c>
      <c r="R139" s="247">
        <v>962.3</v>
      </c>
      <c r="S139" s="248">
        <v>964.3</v>
      </c>
      <c r="T139" s="247">
        <v>965.9</v>
      </c>
      <c r="U139" s="248">
        <v>967.2</v>
      </c>
      <c r="V139" s="248">
        <v>968.5</v>
      </c>
      <c r="W139" s="5">
        <v>109</v>
      </c>
      <c r="Y139" s="5">
        <v>109</v>
      </c>
      <c r="Z139" s="248">
        <v>951.7</v>
      </c>
      <c r="AA139" s="247">
        <v>957.1</v>
      </c>
      <c r="AB139" s="248">
        <v>962.4</v>
      </c>
      <c r="AC139" s="247">
        <v>967.7</v>
      </c>
      <c r="AD139" s="248">
        <v>973.1</v>
      </c>
      <c r="AE139" s="247">
        <v>978.4</v>
      </c>
      <c r="AF139" s="248">
        <v>983.7</v>
      </c>
      <c r="AG139" s="247">
        <v>988.9</v>
      </c>
      <c r="AH139" s="248">
        <v>994.1</v>
      </c>
      <c r="AI139" s="247"/>
      <c r="AJ139" s="248"/>
      <c r="AK139" s="8">
        <f t="shared" si="1"/>
        <v>109</v>
      </c>
    </row>
    <row r="140" spans="1:37">
      <c r="A140" s="27">
        <v>39</v>
      </c>
      <c r="B140" s="28" t="s">
        <v>198</v>
      </c>
      <c r="C140" s="27">
        <v>2000</v>
      </c>
      <c r="D140" s="27">
        <v>16</v>
      </c>
      <c r="E140" s="27"/>
      <c r="F140" s="27">
        <v>7143012</v>
      </c>
      <c r="G140" s="27">
        <v>820</v>
      </c>
      <c r="I140" s="5">
        <v>110</v>
      </c>
      <c r="J140" s="248">
        <v>951</v>
      </c>
      <c r="L140" s="247">
        <v>974.4</v>
      </c>
      <c r="M140" s="248">
        <v>980.2</v>
      </c>
      <c r="N140" s="247">
        <v>985</v>
      </c>
      <c r="O140" s="248">
        <v>991.3</v>
      </c>
      <c r="P140" s="247">
        <v>995.8</v>
      </c>
      <c r="R140" s="247">
        <v>961.5</v>
      </c>
      <c r="S140" s="248">
        <v>963.4</v>
      </c>
      <c r="T140" s="247">
        <v>965.1</v>
      </c>
      <c r="U140" s="248">
        <v>966.4</v>
      </c>
      <c r="V140" s="248">
        <v>967.6</v>
      </c>
      <c r="W140" s="5">
        <v>110</v>
      </c>
      <c r="Y140" s="5">
        <v>110</v>
      </c>
      <c r="Z140" s="248">
        <v>951</v>
      </c>
      <c r="AA140" s="247">
        <v>956.3</v>
      </c>
      <c r="AB140" s="248">
        <v>961.6</v>
      </c>
      <c r="AC140" s="247">
        <v>967</v>
      </c>
      <c r="AD140" s="248">
        <v>972.3</v>
      </c>
      <c r="AE140" s="247">
        <v>977.6</v>
      </c>
      <c r="AF140" s="248">
        <v>982.9</v>
      </c>
      <c r="AG140" s="247">
        <v>988.1</v>
      </c>
      <c r="AH140" s="248">
        <v>993.3</v>
      </c>
      <c r="AI140" s="247"/>
      <c r="AJ140" s="248"/>
      <c r="AK140" s="8">
        <f t="shared" si="1"/>
        <v>110</v>
      </c>
    </row>
    <row r="141" spans="1:37">
      <c r="A141" s="27">
        <v>40</v>
      </c>
      <c r="B141" s="28" t="s">
        <v>199</v>
      </c>
      <c r="C141" s="27">
        <v>3000</v>
      </c>
      <c r="D141" s="27">
        <v>16</v>
      </c>
      <c r="E141" s="27"/>
      <c r="F141" s="27">
        <v>7143006</v>
      </c>
      <c r="G141" s="27">
        <v>995</v>
      </c>
      <c r="I141" s="5">
        <v>111</v>
      </c>
      <c r="J141" s="248">
        <v>950.2</v>
      </c>
      <c r="L141" s="247">
        <v>973.6</v>
      </c>
      <c r="M141" s="248">
        <v>979.4</v>
      </c>
      <c r="N141" s="247">
        <v>984.1</v>
      </c>
      <c r="O141" s="248">
        <v>990.5</v>
      </c>
      <c r="P141" s="247">
        <v>995</v>
      </c>
      <c r="R141" s="247">
        <v>960.6</v>
      </c>
      <c r="S141" s="248">
        <v>962.5</v>
      </c>
      <c r="T141" s="247">
        <v>964.2</v>
      </c>
      <c r="U141" s="248">
        <v>965.5</v>
      </c>
      <c r="V141" s="248">
        <v>966.7</v>
      </c>
      <c r="W141" s="5">
        <v>111</v>
      </c>
      <c r="Y141" s="5">
        <v>111</v>
      </c>
      <c r="Z141" s="248">
        <v>950.2</v>
      </c>
      <c r="AA141" s="247">
        <v>955.5</v>
      </c>
      <c r="AB141" s="248">
        <v>960.8</v>
      </c>
      <c r="AC141" s="247">
        <v>966.2</v>
      </c>
      <c r="AD141" s="248">
        <v>971.5</v>
      </c>
      <c r="AE141" s="247">
        <v>976.8</v>
      </c>
      <c r="AF141" s="248">
        <v>982</v>
      </c>
      <c r="AG141" s="247">
        <v>987.3</v>
      </c>
      <c r="AH141" s="248">
        <v>992.4</v>
      </c>
      <c r="AI141" s="247"/>
      <c r="AJ141" s="248"/>
      <c r="AK141" s="8">
        <f t="shared" si="1"/>
        <v>111</v>
      </c>
    </row>
    <row r="142" spans="1:37">
      <c r="A142" s="27">
        <v>41</v>
      </c>
      <c r="B142" s="28" t="s">
        <v>200</v>
      </c>
      <c r="C142" s="27">
        <v>4000</v>
      </c>
      <c r="D142" s="27">
        <v>16</v>
      </c>
      <c r="E142" s="27"/>
      <c r="F142" s="27">
        <v>7143007</v>
      </c>
      <c r="G142" s="27">
        <v>1145</v>
      </c>
      <c r="I142" s="5">
        <v>112</v>
      </c>
      <c r="J142" s="248">
        <v>949.4</v>
      </c>
      <c r="L142" s="247">
        <v>972.8</v>
      </c>
      <c r="M142" s="248">
        <v>978.6</v>
      </c>
      <c r="N142" s="247">
        <v>983.3</v>
      </c>
      <c r="O142" s="248">
        <v>989.7</v>
      </c>
      <c r="P142" s="247">
        <v>994.2</v>
      </c>
      <c r="R142" s="247">
        <v>959.7</v>
      </c>
      <c r="S142" s="248">
        <v>961.7</v>
      </c>
      <c r="T142" s="247">
        <v>963.3</v>
      </c>
      <c r="U142" s="248">
        <v>964.6</v>
      </c>
      <c r="V142" s="248">
        <v>965.8</v>
      </c>
      <c r="W142" s="5">
        <v>112</v>
      </c>
      <c r="Y142" s="5">
        <v>112</v>
      </c>
      <c r="Z142" s="248">
        <v>949.4</v>
      </c>
      <c r="AA142" s="247">
        <v>954.7</v>
      </c>
      <c r="AB142" s="248">
        <v>960</v>
      </c>
      <c r="AC142" s="247">
        <v>965.3</v>
      </c>
      <c r="AD142" s="248">
        <v>970.6</v>
      </c>
      <c r="AE142" s="247">
        <v>975.9</v>
      </c>
      <c r="AF142" s="248">
        <v>981.2</v>
      </c>
      <c r="AG142" s="247">
        <v>986.5</v>
      </c>
      <c r="AH142" s="248">
        <v>991.6</v>
      </c>
      <c r="AI142" s="247"/>
      <c r="AJ142" s="248"/>
      <c r="AK142" s="8">
        <f t="shared" si="1"/>
        <v>112</v>
      </c>
    </row>
    <row r="143" spans="1:37">
      <c r="A143" s="27">
        <v>42</v>
      </c>
      <c r="B143" s="28" t="s">
        <v>201</v>
      </c>
      <c r="C143" s="27">
        <v>5000</v>
      </c>
      <c r="D143" s="27">
        <v>16</v>
      </c>
      <c r="E143" s="27"/>
      <c r="F143" s="27">
        <v>7143008</v>
      </c>
      <c r="G143" s="27">
        <v>1280</v>
      </c>
      <c r="I143" s="5">
        <v>113</v>
      </c>
      <c r="J143" s="248">
        <v>948.6</v>
      </c>
      <c r="L143" s="247">
        <v>971.9</v>
      </c>
      <c r="M143" s="248">
        <v>977.8</v>
      </c>
      <c r="N143" s="247">
        <v>982.5</v>
      </c>
      <c r="O143" s="248">
        <v>988.8</v>
      </c>
      <c r="P143" s="247">
        <v>993.3</v>
      </c>
      <c r="R143" s="247">
        <v>958.9</v>
      </c>
      <c r="S143" s="248">
        <v>960.8</v>
      </c>
      <c r="T143" s="247">
        <v>962.4</v>
      </c>
      <c r="U143" s="248">
        <v>963.7</v>
      </c>
      <c r="V143" s="248">
        <v>964.9</v>
      </c>
      <c r="W143" s="5">
        <v>113</v>
      </c>
      <c r="Y143" s="5">
        <v>113</v>
      </c>
      <c r="Z143" s="248">
        <v>948.6</v>
      </c>
      <c r="AA143" s="247">
        <v>953.9</v>
      </c>
      <c r="AB143" s="248">
        <v>959.2</v>
      </c>
      <c r="AC143" s="247">
        <v>964.5</v>
      </c>
      <c r="AD143" s="248">
        <v>969.8</v>
      </c>
      <c r="AE143" s="247">
        <v>975.1</v>
      </c>
      <c r="AF143" s="248">
        <v>980.4</v>
      </c>
      <c r="AG143" s="247">
        <v>985.6</v>
      </c>
      <c r="AH143" s="248">
        <v>990.8</v>
      </c>
      <c r="AI143" s="247"/>
      <c r="AJ143" s="248"/>
      <c r="AK143" s="8">
        <f t="shared" si="1"/>
        <v>113</v>
      </c>
    </row>
    <row r="144" spans="1:37">
      <c r="B144" s="28"/>
      <c r="I144" s="5">
        <v>114</v>
      </c>
      <c r="J144" s="248">
        <v>947.8</v>
      </c>
      <c r="L144" s="247">
        <v>971.1</v>
      </c>
      <c r="M144" s="248">
        <v>976.9</v>
      </c>
      <c r="N144" s="247">
        <v>981.7</v>
      </c>
      <c r="O144" s="248">
        <v>988</v>
      </c>
      <c r="P144" s="247">
        <v>992.5</v>
      </c>
      <c r="R144" s="247">
        <v>958</v>
      </c>
      <c r="S144" s="248">
        <v>959.9</v>
      </c>
      <c r="T144" s="247">
        <v>961.5</v>
      </c>
      <c r="U144" s="248">
        <v>962.8</v>
      </c>
      <c r="V144" s="248">
        <v>964</v>
      </c>
      <c r="W144" s="5">
        <v>114</v>
      </c>
      <c r="Y144" s="5">
        <v>114</v>
      </c>
      <c r="Z144" s="248">
        <v>947.8</v>
      </c>
      <c r="AA144" s="247">
        <v>953.1</v>
      </c>
      <c r="AB144" s="248">
        <v>958.4</v>
      </c>
      <c r="AC144" s="247">
        <v>963.7</v>
      </c>
      <c r="AD144" s="248">
        <v>969</v>
      </c>
      <c r="AE144" s="247">
        <v>974.3</v>
      </c>
      <c r="AF144" s="248">
        <v>979.6</v>
      </c>
      <c r="AG144" s="247">
        <v>984.8</v>
      </c>
      <c r="AH144" s="248">
        <v>989.9</v>
      </c>
      <c r="AI144" s="247"/>
      <c r="AJ144" s="248"/>
      <c r="AK144" s="8">
        <f t="shared" si="1"/>
        <v>114</v>
      </c>
    </row>
    <row r="145" spans="2:37">
      <c r="B145" s="28"/>
      <c r="E145" s="9" t="s">
        <v>4</v>
      </c>
      <c r="F145" s="3">
        <f>VLOOKUP(B101,A102:G142,3,0)</f>
        <v>12</v>
      </c>
      <c r="I145" s="5">
        <v>115</v>
      </c>
      <c r="J145" s="248">
        <v>947</v>
      </c>
      <c r="L145" s="247">
        <v>970.3</v>
      </c>
      <c r="M145" s="248">
        <v>976.1</v>
      </c>
      <c r="N145" s="247">
        <v>980.8</v>
      </c>
      <c r="O145" s="248">
        <v>987.1</v>
      </c>
      <c r="P145" s="247">
        <v>991.6</v>
      </c>
      <c r="R145" s="247">
        <v>957.1</v>
      </c>
      <c r="S145" s="248">
        <v>959</v>
      </c>
      <c r="T145" s="247">
        <v>960.6</v>
      </c>
      <c r="U145" s="248">
        <v>961.9</v>
      </c>
      <c r="V145" s="248">
        <v>963</v>
      </c>
      <c r="W145" s="5">
        <v>115</v>
      </c>
      <c r="Y145" s="5">
        <v>115</v>
      </c>
      <c r="Z145" s="248">
        <v>947</v>
      </c>
      <c r="AA145" s="247">
        <v>952.3</v>
      </c>
      <c r="AB145" s="248">
        <v>957.6</v>
      </c>
      <c r="AC145" s="247">
        <v>962.9</v>
      </c>
      <c r="AD145" s="248">
        <v>968.2</v>
      </c>
      <c r="AE145" s="247">
        <v>973.5</v>
      </c>
      <c r="AF145" s="248">
        <v>978.7</v>
      </c>
      <c r="AG145" s="247">
        <v>984</v>
      </c>
      <c r="AH145" s="248">
        <v>989.1</v>
      </c>
      <c r="AI145" s="247"/>
      <c r="AJ145" s="248"/>
      <c r="AK145" s="8">
        <f t="shared" si="1"/>
        <v>115</v>
      </c>
    </row>
    <row r="146" spans="2:37">
      <c r="B146" s="28"/>
      <c r="E146" s="9" t="s">
        <v>138</v>
      </c>
      <c r="F146" s="3">
        <f>VLOOKUP(B101,A102:G143,4,0)</f>
        <v>10</v>
      </c>
      <c r="I146" s="5">
        <v>116</v>
      </c>
      <c r="J146" s="248">
        <v>946.3</v>
      </c>
      <c r="L146" s="247">
        <v>969.5</v>
      </c>
      <c r="M146" s="248">
        <v>975.3</v>
      </c>
      <c r="N146" s="247">
        <v>980</v>
      </c>
      <c r="O146" s="248">
        <v>986.3</v>
      </c>
      <c r="P146" s="247">
        <v>990.8</v>
      </c>
      <c r="R146" s="247">
        <v>956.3</v>
      </c>
      <c r="S146" s="248">
        <v>958.1</v>
      </c>
      <c r="T146" s="247">
        <v>959.7</v>
      </c>
      <c r="U146" s="248">
        <v>961</v>
      </c>
      <c r="V146" s="248">
        <v>962.1</v>
      </c>
      <c r="W146" s="5">
        <v>116</v>
      </c>
      <c r="Y146" s="5">
        <v>116</v>
      </c>
      <c r="Z146" s="248">
        <v>946.3</v>
      </c>
      <c r="AA146" s="247">
        <v>951.5</v>
      </c>
      <c r="AB146" s="248">
        <v>956.8</v>
      </c>
      <c r="AC146" s="247">
        <v>962.1</v>
      </c>
      <c r="AD146" s="248">
        <v>967.4</v>
      </c>
      <c r="AE146" s="247">
        <v>972.7</v>
      </c>
      <c r="AF146" s="248">
        <v>977.9</v>
      </c>
      <c r="AG146" s="247">
        <v>983.1</v>
      </c>
      <c r="AH146" s="248">
        <v>988.2</v>
      </c>
      <c r="AI146" s="247"/>
      <c r="AJ146" s="248"/>
      <c r="AK146" s="8">
        <f t="shared" si="1"/>
        <v>116</v>
      </c>
    </row>
    <row r="147" spans="2:37">
      <c r="B147" s="28"/>
      <c r="E147" s="9" t="s">
        <v>144</v>
      </c>
      <c r="F147" s="3">
        <f>VLOOKUP(B101,A102:G143,7,0)</f>
        <v>5.0999999999999996</v>
      </c>
      <c r="I147" s="5">
        <v>117</v>
      </c>
      <c r="J147" s="248">
        <v>945.5</v>
      </c>
      <c r="L147" s="247">
        <v>968.7</v>
      </c>
      <c r="M147" s="248">
        <v>974.4</v>
      </c>
      <c r="N147" s="247">
        <v>979.2</v>
      </c>
      <c r="O147" s="248">
        <v>985.5</v>
      </c>
      <c r="P147" s="247">
        <v>990</v>
      </c>
      <c r="R147" s="247">
        <v>955.4</v>
      </c>
      <c r="S147" s="248">
        <v>957.3</v>
      </c>
      <c r="T147" s="247">
        <v>958.8</v>
      </c>
      <c r="U147" s="248">
        <v>960.1</v>
      </c>
      <c r="V147" s="248">
        <v>961.2</v>
      </c>
      <c r="W147" s="5">
        <v>117</v>
      </c>
      <c r="Y147" s="5">
        <v>117</v>
      </c>
      <c r="Z147" s="248">
        <v>945.5</v>
      </c>
      <c r="AA147" s="247">
        <v>950.7</v>
      </c>
      <c r="AB147" s="248">
        <v>956</v>
      </c>
      <c r="AC147" s="247">
        <v>961.3</v>
      </c>
      <c r="AD147" s="248">
        <v>966.6</v>
      </c>
      <c r="AE147" s="247">
        <v>971.8</v>
      </c>
      <c r="AF147" s="248">
        <v>977.1</v>
      </c>
      <c r="AG147" s="247">
        <v>982.3</v>
      </c>
      <c r="AH147" s="248">
        <v>987.4</v>
      </c>
      <c r="AI147" s="247"/>
      <c r="AJ147" s="248"/>
      <c r="AK147" s="8">
        <f t="shared" si="1"/>
        <v>117</v>
      </c>
    </row>
    <row r="148" spans="2:37">
      <c r="B148" s="28"/>
      <c r="E148" s="9" t="s">
        <v>224</v>
      </c>
      <c r="F148" s="9" t="str">
        <f>VLOOKUP(B101,A102:G143,2,0)</f>
        <v>DD 12.10</v>
      </c>
      <c r="I148" s="5">
        <v>118</v>
      </c>
      <c r="J148" s="248">
        <v>944.7</v>
      </c>
      <c r="L148" s="247">
        <v>967.9</v>
      </c>
      <c r="M148" s="248">
        <v>973.6</v>
      </c>
      <c r="N148" s="247">
        <v>978.3</v>
      </c>
      <c r="O148" s="248">
        <v>984.6</v>
      </c>
      <c r="P148" s="247">
        <v>989.1</v>
      </c>
      <c r="R148" s="247">
        <v>954.5</v>
      </c>
      <c r="S148" s="248">
        <v>956.4</v>
      </c>
      <c r="T148" s="247">
        <v>957.9</v>
      </c>
      <c r="U148" s="248">
        <v>959.2</v>
      </c>
      <c r="V148" s="248">
        <v>960.3</v>
      </c>
      <c r="W148" s="5">
        <v>118</v>
      </c>
      <c r="Y148" s="5">
        <v>118</v>
      </c>
      <c r="Z148" s="248">
        <v>944.7</v>
      </c>
      <c r="AA148" s="247">
        <v>949.9</v>
      </c>
      <c r="AB148" s="248">
        <v>955.2</v>
      </c>
      <c r="AC148" s="247">
        <v>960.5</v>
      </c>
      <c r="AD148" s="248">
        <v>965.7</v>
      </c>
      <c r="AE148" s="247">
        <v>971</v>
      </c>
      <c r="AF148" s="248">
        <v>976.2</v>
      </c>
      <c r="AG148" s="247">
        <v>981.4</v>
      </c>
      <c r="AH148" s="248">
        <v>986.6</v>
      </c>
      <c r="AI148" s="247"/>
      <c r="AJ148" s="248"/>
      <c r="AK148" s="8">
        <f t="shared" si="1"/>
        <v>118</v>
      </c>
    </row>
    <row r="149" spans="2:37">
      <c r="B149" s="28" t="s">
        <v>222</v>
      </c>
      <c r="C149" s="32">
        <v>5351434</v>
      </c>
      <c r="E149" s="9" t="s">
        <v>225</v>
      </c>
      <c r="F149" s="3">
        <f>VLOOKUP(B101,A102:G143,6,0)</f>
        <v>7142021</v>
      </c>
      <c r="I149" s="5">
        <v>119</v>
      </c>
      <c r="J149" s="248">
        <v>943.9</v>
      </c>
      <c r="L149" s="247">
        <v>967</v>
      </c>
      <c r="M149" s="248">
        <v>972.8</v>
      </c>
      <c r="N149" s="247">
        <v>977.5</v>
      </c>
      <c r="O149" s="248">
        <v>983.8</v>
      </c>
      <c r="P149" s="247">
        <v>988.3</v>
      </c>
      <c r="R149" s="247">
        <v>953.7</v>
      </c>
      <c r="S149" s="248">
        <v>955.5</v>
      </c>
      <c r="T149" s="247">
        <v>957.1</v>
      </c>
      <c r="U149" s="248">
        <v>958.3</v>
      </c>
      <c r="V149" s="248">
        <v>959.4</v>
      </c>
      <c r="W149" s="5">
        <v>119</v>
      </c>
      <c r="Y149" s="5">
        <v>119</v>
      </c>
      <c r="Z149" s="248">
        <v>943.9</v>
      </c>
      <c r="AA149" s="247">
        <v>949.1</v>
      </c>
      <c r="AB149" s="248">
        <v>954.4</v>
      </c>
      <c r="AC149" s="247">
        <v>959.7</v>
      </c>
      <c r="AD149" s="248">
        <v>964.9</v>
      </c>
      <c r="AE149" s="247">
        <v>970.2</v>
      </c>
      <c r="AF149" s="248">
        <v>975.4</v>
      </c>
      <c r="AG149" s="247">
        <v>980.6</v>
      </c>
      <c r="AH149" s="248">
        <v>985.7</v>
      </c>
      <c r="AI149" s="247"/>
      <c r="AJ149" s="248"/>
      <c r="AK149" s="8">
        <f t="shared" si="1"/>
        <v>119</v>
      </c>
    </row>
    <row r="150" spans="2:37">
      <c r="B150" s="28" t="s">
        <v>223</v>
      </c>
      <c r="C150" s="32">
        <v>5351436</v>
      </c>
      <c r="E150" s="3" t="str">
        <f>IF('NW wg PN-EN-12828'!E173&lt;21,'1'!B149,IF('NW wg PN-EN-12828'!E173&gt;25,"dobierz zawór typ DLV innego producenta",B150))</f>
        <v>DLV 20</v>
      </c>
      <c r="I150" s="5">
        <v>120</v>
      </c>
      <c r="J150" s="248">
        <v>943.1</v>
      </c>
      <c r="L150" s="247">
        <v>966.2</v>
      </c>
      <c r="M150" s="248">
        <v>972</v>
      </c>
      <c r="N150" s="247">
        <v>976.7</v>
      </c>
      <c r="O150" s="248">
        <v>982.9</v>
      </c>
      <c r="P150" s="247">
        <v>987.4</v>
      </c>
      <c r="R150" s="247">
        <v>952.8</v>
      </c>
      <c r="S150" s="248">
        <v>954.6</v>
      </c>
      <c r="T150" s="247">
        <v>956.2</v>
      </c>
      <c r="U150" s="248">
        <v>957.4</v>
      </c>
      <c r="V150" s="248">
        <v>958.5</v>
      </c>
      <c r="W150" s="5">
        <v>120</v>
      </c>
      <c r="Y150" s="5">
        <v>120</v>
      </c>
      <c r="Z150" s="248">
        <v>943.1</v>
      </c>
      <c r="AA150" s="247">
        <v>948.4</v>
      </c>
      <c r="AB150" s="248">
        <v>953.6</v>
      </c>
      <c r="AC150" s="247">
        <v>958.9</v>
      </c>
      <c r="AD150" s="248">
        <v>964.1</v>
      </c>
      <c r="AE150" s="247">
        <v>969.4</v>
      </c>
      <c r="AF150" s="248">
        <v>974.6</v>
      </c>
      <c r="AG150" s="247">
        <v>979.8</v>
      </c>
      <c r="AH150" s="248">
        <v>984.9</v>
      </c>
      <c r="AI150" s="247"/>
      <c r="AJ150" s="248"/>
      <c r="AK150" s="8">
        <f t="shared" si="1"/>
        <v>120</v>
      </c>
    </row>
    <row r="151" spans="2:37">
      <c r="I151" s="5">
        <v>121</v>
      </c>
      <c r="J151" s="248">
        <v>942.3</v>
      </c>
      <c r="L151" s="247"/>
      <c r="M151" s="248"/>
      <c r="N151" s="247"/>
      <c r="O151" s="248"/>
      <c r="P151" s="247"/>
      <c r="R151" s="267"/>
      <c r="S151" s="247"/>
      <c r="T151" s="248"/>
      <c r="U151" s="247"/>
      <c r="V151" s="248"/>
      <c r="W151" s="5">
        <v>121</v>
      </c>
      <c r="Y151" s="5">
        <v>121</v>
      </c>
      <c r="Z151" s="248">
        <v>942.3</v>
      </c>
      <c r="AA151" s="247"/>
      <c r="AB151" s="248"/>
      <c r="AC151" s="247"/>
      <c r="AD151" s="248"/>
      <c r="AE151" s="247"/>
      <c r="AF151" s="248"/>
      <c r="AG151" s="247"/>
      <c r="AH151" s="248"/>
      <c r="AI151" s="247"/>
      <c r="AJ151" s="248"/>
      <c r="AK151" s="8">
        <f t="shared" si="1"/>
        <v>121</v>
      </c>
    </row>
    <row r="152" spans="2:37">
      <c r="I152" s="5">
        <v>122</v>
      </c>
      <c r="J152" s="248">
        <v>941.4</v>
      </c>
      <c r="L152" s="247"/>
      <c r="M152" s="248"/>
      <c r="N152" s="247"/>
      <c r="O152" s="248"/>
      <c r="P152" s="247"/>
      <c r="R152" s="267"/>
      <c r="S152" s="247"/>
      <c r="T152" s="248"/>
      <c r="U152" s="247"/>
      <c r="V152" s="248"/>
      <c r="W152" s="5">
        <v>122</v>
      </c>
      <c r="Y152" s="5">
        <v>122</v>
      </c>
      <c r="Z152" s="248">
        <v>941.4</v>
      </c>
      <c r="AA152" s="247"/>
      <c r="AB152" s="248"/>
      <c r="AC152" s="247"/>
      <c r="AD152" s="248"/>
      <c r="AE152" s="247"/>
      <c r="AF152" s="248"/>
      <c r="AG152" s="247"/>
      <c r="AH152" s="248"/>
      <c r="AI152" s="247"/>
      <c r="AJ152" s="248"/>
      <c r="AK152" s="8">
        <f t="shared" si="1"/>
        <v>122</v>
      </c>
    </row>
    <row r="153" spans="2:37">
      <c r="I153" s="5">
        <v>123</v>
      </c>
      <c r="J153" s="248">
        <v>940.6</v>
      </c>
      <c r="L153" s="247"/>
      <c r="M153" s="248"/>
      <c r="N153" s="247"/>
      <c r="O153" s="248"/>
      <c r="P153" s="247"/>
      <c r="R153" s="267"/>
      <c r="S153" s="247"/>
      <c r="T153" s="248"/>
      <c r="U153" s="247"/>
      <c r="V153" s="248"/>
      <c r="W153" s="5">
        <v>123</v>
      </c>
      <c r="Y153" s="5">
        <v>123</v>
      </c>
      <c r="Z153" s="248">
        <v>940.6</v>
      </c>
      <c r="AA153" s="247"/>
      <c r="AB153" s="248"/>
      <c r="AC153" s="247"/>
      <c r="AD153" s="248"/>
      <c r="AE153" s="247"/>
      <c r="AF153" s="248"/>
      <c r="AG153" s="247"/>
      <c r="AH153" s="248"/>
      <c r="AI153" s="247"/>
      <c r="AJ153" s="248"/>
      <c r="AK153" s="8">
        <f t="shared" si="1"/>
        <v>123</v>
      </c>
    </row>
    <row r="154" spans="2:37">
      <c r="I154" s="5">
        <v>124</v>
      </c>
      <c r="J154" s="248">
        <v>939.8</v>
      </c>
      <c r="L154" s="247"/>
      <c r="M154" s="248"/>
      <c r="N154" s="247"/>
      <c r="O154" s="248"/>
      <c r="P154" s="247"/>
      <c r="R154" s="267"/>
      <c r="S154" s="247"/>
      <c r="T154" s="248"/>
      <c r="U154" s="247"/>
      <c r="V154" s="248"/>
      <c r="W154" s="5">
        <v>124</v>
      </c>
      <c r="Y154" s="5">
        <v>124</v>
      </c>
      <c r="Z154" s="248">
        <v>939.8</v>
      </c>
      <c r="AA154" s="247"/>
      <c r="AB154" s="248"/>
      <c r="AC154" s="247"/>
      <c r="AD154" s="248"/>
      <c r="AE154" s="247"/>
      <c r="AF154" s="248"/>
      <c r="AG154" s="247"/>
      <c r="AH154" s="248"/>
      <c r="AI154" s="247"/>
      <c r="AJ154" s="248"/>
      <c r="AK154" s="8">
        <f t="shared" si="1"/>
        <v>124</v>
      </c>
    </row>
    <row r="155" spans="2:37">
      <c r="I155" s="5">
        <v>125</v>
      </c>
      <c r="J155" s="248">
        <v>939</v>
      </c>
      <c r="L155" s="247"/>
      <c r="M155" s="248"/>
      <c r="N155" s="247"/>
      <c r="O155" s="248"/>
      <c r="P155" s="247"/>
      <c r="R155" s="267"/>
      <c r="S155" s="247"/>
      <c r="T155" s="248"/>
      <c r="U155" s="247"/>
      <c r="V155" s="248"/>
      <c r="W155" s="5">
        <v>125</v>
      </c>
      <c r="Y155" s="5">
        <v>125</v>
      </c>
      <c r="Z155" s="248">
        <v>939</v>
      </c>
      <c r="AA155" s="247"/>
      <c r="AB155" s="248"/>
      <c r="AC155" s="247"/>
      <c r="AD155" s="248"/>
      <c r="AE155" s="247"/>
      <c r="AF155" s="248"/>
      <c r="AG155" s="247"/>
      <c r="AH155" s="248"/>
      <c r="AI155" s="247"/>
      <c r="AJ155" s="248"/>
      <c r="AK155" s="8">
        <f t="shared" si="1"/>
        <v>125</v>
      </c>
    </row>
    <row r="156" spans="2:37">
      <c r="I156" s="5">
        <v>126</v>
      </c>
      <c r="J156" s="248">
        <v>938.1</v>
      </c>
      <c r="L156" s="247"/>
      <c r="M156" s="248"/>
      <c r="N156" s="247"/>
      <c r="O156" s="248"/>
      <c r="P156" s="247"/>
      <c r="R156" s="267"/>
      <c r="S156" s="247"/>
      <c r="T156" s="248"/>
      <c r="U156" s="247"/>
      <c r="V156" s="248"/>
      <c r="W156" s="5">
        <v>126</v>
      </c>
      <c r="Y156" s="5">
        <v>126</v>
      </c>
      <c r="Z156" s="248">
        <v>938.1</v>
      </c>
      <c r="AA156" s="247"/>
      <c r="AB156" s="248"/>
      <c r="AC156" s="247"/>
      <c r="AD156" s="248"/>
      <c r="AE156" s="247"/>
      <c r="AF156" s="248"/>
      <c r="AG156" s="247"/>
      <c r="AH156" s="248"/>
      <c r="AI156" s="247"/>
      <c r="AJ156" s="248"/>
      <c r="AK156" s="8">
        <f t="shared" si="1"/>
        <v>126</v>
      </c>
    </row>
    <row r="157" spans="2:37">
      <c r="I157" s="5">
        <v>127</v>
      </c>
      <c r="J157" s="248">
        <v>937.3</v>
      </c>
      <c r="L157" s="247"/>
      <c r="M157" s="248"/>
      <c r="N157" s="247"/>
      <c r="O157" s="248"/>
      <c r="P157" s="247"/>
      <c r="R157" s="267"/>
      <c r="S157" s="247"/>
      <c r="T157" s="248"/>
      <c r="U157" s="247"/>
      <c r="V157" s="248"/>
      <c r="W157" s="5">
        <v>127</v>
      </c>
      <c r="Y157" s="5">
        <v>127</v>
      </c>
      <c r="Z157" s="248">
        <v>937.3</v>
      </c>
      <c r="AA157" s="247"/>
      <c r="AB157" s="248"/>
      <c r="AC157" s="247"/>
      <c r="AD157" s="248"/>
      <c r="AE157" s="247"/>
      <c r="AF157" s="248"/>
      <c r="AG157" s="247"/>
      <c r="AH157" s="248"/>
      <c r="AI157" s="247"/>
      <c r="AJ157" s="248"/>
      <c r="AK157" s="8">
        <f t="shared" si="1"/>
        <v>127</v>
      </c>
    </row>
    <row r="158" spans="2:37">
      <c r="I158" s="5">
        <v>128</v>
      </c>
      <c r="J158" s="248">
        <v>936.5</v>
      </c>
      <c r="L158" s="247"/>
      <c r="M158" s="248"/>
      <c r="N158" s="247"/>
      <c r="O158" s="248"/>
      <c r="P158" s="247"/>
      <c r="R158" s="267"/>
      <c r="S158" s="247"/>
      <c r="T158" s="248"/>
      <c r="U158" s="247"/>
      <c r="V158" s="248"/>
      <c r="W158" s="5">
        <v>128</v>
      </c>
      <c r="Y158" s="5">
        <v>128</v>
      </c>
      <c r="Z158" s="248">
        <v>936.5</v>
      </c>
      <c r="AA158" s="247"/>
      <c r="AB158" s="248"/>
      <c r="AC158" s="247"/>
      <c r="AD158" s="248"/>
      <c r="AE158" s="247"/>
      <c r="AF158" s="248"/>
      <c r="AG158" s="247"/>
      <c r="AH158" s="248"/>
      <c r="AI158" s="247"/>
      <c r="AJ158" s="248"/>
      <c r="AK158" s="8">
        <f t="shared" si="1"/>
        <v>128</v>
      </c>
    </row>
    <row r="159" spans="2:37">
      <c r="I159" s="5">
        <v>129</v>
      </c>
      <c r="J159" s="248">
        <v>935.6</v>
      </c>
      <c r="L159" s="247"/>
      <c r="M159" s="248"/>
      <c r="N159" s="247"/>
      <c r="O159" s="248"/>
      <c r="P159" s="247"/>
      <c r="R159" s="267"/>
      <c r="S159" s="247"/>
      <c r="T159" s="248"/>
      <c r="U159" s="247"/>
      <c r="V159" s="248"/>
      <c r="W159" s="5">
        <v>129</v>
      </c>
      <c r="Y159" s="5">
        <v>129</v>
      </c>
      <c r="Z159" s="248">
        <v>935.6</v>
      </c>
      <c r="AA159" s="247"/>
      <c r="AB159" s="248"/>
      <c r="AC159" s="247"/>
      <c r="AD159" s="248"/>
      <c r="AE159" s="247"/>
      <c r="AF159" s="248"/>
      <c r="AG159" s="247"/>
      <c r="AH159" s="248"/>
      <c r="AI159" s="247"/>
      <c r="AJ159" s="248"/>
      <c r="AK159" s="8">
        <f t="shared" si="1"/>
        <v>129</v>
      </c>
    </row>
    <row r="160" spans="2:37">
      <c r="I160" s="5">
        <v>130</v>
      </c>
      <c r="J160" s="248">
        <v>934.8</v>
      </c>
      <c r="L160" s="247"/>
      <c r="M160" s="248"/>
      <c r="N160" s="247"/>
      <c r="O160" s="248"/>
      <c r="P160" s="247"/>
      <c r="R160" s="267"/>
      <c r="S160" s="247"/>
      <c r="T160" s="248"/>
      <c r="U160" s="247"/>
      <c r="V160" s="248"/>
      <c r="W160" s="5">
        <v>130</v>
      </c>
      <c r="Y160" s="5">
        <v>130</v>
      </c>
      <c r="Z160" s="248">
        <v>934.8</v>
      </c>
      <c r="AA160" s="247"/>
      <c r="AB160" s="248"/>
      <c r="AC160" s="247"/>
      <c r="AD160" s="248"/>
      <c r="AE160" s="247"/>
      <c r="AF160" s="248"/>
      <c r="AG160" s="247"/>
      <c r="AH160" s="248"/>
      <c r="AI160" s="247"/>
      <c r="AJ160" s="248"/>
      <c r="AK160" s="8">
        <f t="shared" ref="AK160:AK180" si="2">Y160</f>
        <v>130</v>
      </c>
    </row>
    <row r="161" spans="9:37">
      <c r="I161" s="5">
        <v>131</v>
      </c>
      <c r="J161" s="248">
        <v>933.9</v>
      </c>
      <c r="L161" s="247"/>
      <c r="M161" s="248"/>
      <c r="N161" s="247"/>
      <c r="O161" s="248"/>
      <c r="P161" s="247"/>
      <c r="R161" s="267"/>
      <c r="S161" s="247"/>
      <c r="T161" s="248"/>
      <c r="U161" s="247"/>
      <c r="V161" s="248"/>
      <c r="W161" s="5">
        <v>131</v>
      </c>
      <c r="Y161" s="5">
        <v>131</v>
      </c>
      <c r="Z161" s="248">
        <v>933.9</v>
      </c>
      <c r="AA161" s="247"/>
      <c r="AB161" s="248"/>
      <c r="AC161" s="247"/>
      <c r="AD161" s="248"/>
      <c r="AE161" s="247"/>
      <c r="AF161" s="248"/>
      <c r="AG161" s="247"/>
      <c r="AH161" s="248"/>
      <c r="AI161" s="247"/>
      <c r="AJ161" s="248"/>
      <c r="AK161" s="8">
        <f t="shared" si="2"/>
        <v>131</v>
      </c>
    </row>
    <row r="162" spans="9:37">
      <c r="I162" s="5">
        <v>132</v>
      </c>
      <c r="J162" s="248">
        <v>933.1</v>
      </c>
      <c r="L162" s="247"/>
      <c r="M162" s="248"/>
      <c r="N162" s="247"/>
      <c r="O162" s="248"/>
      <c r="P162" s="247"/>
      <c r="R162" s="267"/>
      <c r="S162" s="247"/>
      <c r="T162" s="248"/>
      <c r="U162" s="247"/>
      <c r="V162" s="248"/>
      <c r="W162" s="5">
        <v>132</v>
      </c>
      <c r="Y162" s="5">
        <v>132</v>
      </c>
      <c r="Z162" s="248">
        <v>933.1</v>
      </c>
      <c r="AA162" s="247"/>
      <c r="AB162" s="248"/>
      <c r="AC162" s="247"/>
      <c r="AD162" s="248"/>
      <c r="AE162" s="247"/>
      <c r="AF162" s="248"/>
      <c r="AG162" s="247"/>
      <c r="AH162" s="248"/>
      <c r="AI162" s="247"/>
      <c r="AJ162" s="248"/>
      <c r="AK162" s="8">
        <f t="shared" si="2"/>
        <v>132</v>
      </c>
    </row>
    <row r="163" spans="9:37">
      <c r="I163" s="5">
        <v>133</v>
      </c>
      <c r="J163" s="248">
        <v>932.2</v>
      </c>
      <c r="L163" s="247"/>
      <c r="M163" s="248"/>
      <c r="N163" s="247"/>
      <c r="O163" s="248"/>
      <c r="P163" s="247"/>
      <c r="R163" s="267"/>
      <c r="S163" s="247"/>
      <c r="T163" s="248"/>
      <c r="U163" s="247"/>
      <c r="V163" s="248"/>
      <c r="W163" s="5">
        <v>133</v>
      </c>
      <c r="Y163" s="5">
        <v>133</v>
      </c>
      <c r="Z163" s="248">
        <v>932.2</v>
      </c>
      <c r="AA163" s="247"/>
      <c r="AB163" s="248"/>
      <c r="AC163" s="247"/>
      <c r="AD163" s="248"/>
      <c r="AE163" s="247"/>
      <c r="AF163" s="248"/>
      <c r="AG163" s="247"/>
      <c r="AH163" s="248"/>
      <c r="AI163" s="247"/>
      <c r="AJ163" s="248"/>
      <c r="AK163" s="8">
        <f t="shared" si="2"/>
        <v>133</v>
      </c>
    </row>
    <row r="164" spans="9:37">
      <c r="I164" s="5">
        <v>134</v>
      </c>
      <c r="J164" s="248">
        <v>931.3</v>
      </c>
      <c r="L164" s="247"/>
      <c r="M164" s="248"/>
      <c r="N164" s="247"/>
      <c r="O164" s="248"/>
      <c r="P164" s="247"/>
      <c r="R164" s="267"/>
      <c r="S164" s="247"/>
      <c r="T164" s="248"/>
      <c r="U164" s="247"/>
      <c r="V164" s="248"/>
      <c r="W164" s="5">
        <v>134</v>
      </c>
      <c r="Y164" s="5">
        <v>134</v>
      </c>
      <c r="Z164" s="248">
        <v>931.3</v>
      </c>
      <c r="AA164" s="247"/>
      <c r="AB164" s="248"/>
      <c r="AC164" s="247"/>
      <c r="AD164" s="248"/>
      <c r="AE164" s="247"/>
      <c r="AF164" s="248"/>
      <c r="AG164" s="247"/>
      <c r="AH164" s="248"/>
      <c r="AI164" s="247"/>
      <c r="AJ164" s="248"/>
      <c r="AK164" s="8">
        <f t="shared" si="2"/>
        <v>134</v>
      </c>
    </row>
    <row r="165" spans="9:37">
      <c r="I165" s="5">
        <v>135</v>
      </c>
      <c r="J165" s="248">
        <v>930.5</v>
      </c>
      <c r="M165" s="247"/>
      <c r="N165" s="248"/>
      <c r="O165" s="247"/>
      <c r="P165" s="248"/>
      <c r="Q165" s="247"/>
      <c r="R165" s="267"/>
      <c r="S165" s="247"/>
      <c r="T165" s="248"/>
      <c r="U165" s="247"/>
      <c r="V165" s="248"/>
      <c r="W165" s="5">
        <v>135</v>
      </c>
      <c r="Y165" s="5">
        <v>135</v>
      </c>
      <c r="Z165" s="248">
        <v>930.5</v>
      </c>
      <c r="AA165" s="247"/>
      <c r="AB165" s="248"/>
      <c r="AC165" s="247"/>
      <c r="AD165" s="248"/>
      <c r="AE165" s="247"/>
      <c r="AF165" s="248"/>
      <c r="AG165" s="247"/>
      <c r="AH165" s="248"/>
      <c r="AI165" s="247"/>
      <c r="AJ165" s="248"/>
      <c r="AK165" s="8">
        <f t="shared" si="2"/>
        <v>135</v>
      </c>
    </row>
    <row r="166" spans="9:37">
      <c r="I166" s="5">
        <v>136</v>
      </c>
      <c r="J166" s="248">
        <v>929.6</v>
      </c>
      <c r="M166" s="247"/>
      <c r="N166" s="248"/>
      <c r="O166" s="247"/>
      <c r="P166" s="248"/>
      <c r="Q166" s="247"/>
      <c r="R166" s="267"/>
      <c r="S166" s="247"/>
      <c r="T166" s="248"/>
      <c r="U166" s="247"/>
      <c r="V166" s="248"/>
      <c r="W166" s="5">
        <v>136</v>
      </c>
      <c r="Y166" s="5">
        <v>136</v>
      </c>
      <c r="Z166" s="248">
        <v>929.6</v>
      </c>
      <c r="AA166" s="247"/>
      <c r="AB166" s="248"/>
      <c r="AC166" s="247"/>
      <c r="AD166" s="248"/>
      <c r="AE166" s="247"/>
      <c r="AF166" s="248"/>
      <c r="AG166" s="247"/>
      <c r="AH166" s="248"/>
      <c r="AI166" s="247"/>
      <c r="AJ166" s="248"/>
      <c r="AK166" s="8">
        <f t="shared" si="2"/>
        <v>136</v>
      </c>
    </row>
    <row r="167" spans="9:37">
      <c r="I167" s="5">
        <v>137</v>
      </c>
      <c r="J167" s="248">
        <v>928.7</v>
      </c>
      <c r="M167" s="247"/>
      <c r="N167" s="248"/>
      <c r="O167" s="247"/>
      <c r="P167" s="248"/>
      <c r="Q167" s="247"/>
      <c r="R167" s="267"/>
      <c r="S167" s="247"/>
      <c r="T167" s="248"/>
      <c r="U167" s="247"/>
      <c r="V167" s="248"/>
      <c r="W167" s="5">
        <v>137</v>
      </c>
      <c r="Y167" s="5">
        <v>137</v>
      </c>
      <c r="Z167" s="248">
        <v>928.7</v>
      </c>
      <c r="AA167" s="247"/>
      <c r="AB167" s="248"/>
      <c r="AC167" s="247"/>
      <c r="AD167" s="248"/>
      <c r="AE167" s="247"/>
      <c r="AF167" s="248"/>
      <c r="AG167" s="247"/>
      <c r="AH167" s="248"/>
      <c r="AI167" s="247"/>
      <c r="AJ167" s="248"/>
      <c r="AK167" s="8">
        <f t="shared" si="2"/>
        <v>137</v>
      </c>
    </row>
    <row r="168" spans="9:37">
      <c r="I168" s="5">
        <v>138</v>
      </c>
      <c r="J168" s="248">
        <v>927.8</v>
      </c>
      <c r="M168" s="247"/>
      <c r="N168" s="248"/>
      <c r="O168" s="247"/>
      <c r="P168" s="248"/>
      <c r="Q168" s="247"/>
      <c r="R168" s="267"/>
      <c r="S168" s="247"/>
      <c r="T168" s="248"/>
      <c r="U168" s="247"/>
      <c r="V168" s="248"/>
      <c r="W168" s="5">
        <v>138</v>
      </c>
      <c r="Y168" s="5">
        <v>138</v>
      </c>
      <c r="Z168" s="248">
        <v>927.8</v>
      </c>
      <c r="AA168" s="247"/>
      <c r="AB168" s="248"/>
      <c r="AC168" s="247"/>
      <c r="AD168" s="248"/>
      <c r="AE168" s="247"/>
      <c r="AF168" s="248"/>
      <c r="AG168" s="247"/>
      <c r="AH168" s="248"/>
      <c r="AI168" s="247"/>
      <c r="AJ168" s="248"/>
      <c r="AK168" s="8">
        <f t="shared" si="2"/>
        <v>138</v>
      </c>
    </row>
    <row r="169" spans="9:37">
      <c r="I169" s="5">
        <v>139</v>
      </c>
      <c r="J169" s="248">
        <v>927</v>
      </c>
      <c r="M169" s="247"/>
      <c r="N169" s="248"/>
      <c r="O169" s="247"/>
      <c r="P169" s="248"/>
      <c r="Q169" s="247"/>
      <c r="R169" s="267"/>
      <c r="S169" s="247"/>
      <c r="T169" s="248"/>
      <c r="U169" s="247"/>
      <c r="V169" s="248"/>
      <c r="W169" s="5">
        <v>139</v>
      </c>
      <c r="Y169" s="5">
        <v>139</v>
      </c>
      <c r="Z169" s="248">
        <v>927</v>
      </c>
      <c r="AA169" s="247"/>
      <c r="AB169" s="248"/>
      <c r="AC169" s="247"/>
      <c r="AD169" s="248"/>
      <c r="AE169" s="247"/>
      <c r="AF169" s="248"/>
      <c r="AG169" s="247"/>
      <c r="AH169" s="248"/>
      <c r="AI169" s="247"/>
      <c r="AJ169" s="248"/>
      <c r="AK169" s="8">
        <f t="shared" si="2"/>
        <v>139</v>
      </c>
    </row>
    <row r="170" spans="9:37">
      <c r="I170" s="5">
        <v>140</v>
      </c>
      <c r="J170" s="248">
        <v>926.1</v>
      </c>
      <c r="M170" s="247"/>
      <c r="N170" s="248"/>
      <c r="O170" s="247"/>
      <c r="P170" s="248"/>
      <c r="Q170" s="247"/>
      <c r="R170" s="267"/>
      <c r="S170" s="247"/>
      <c r="T170" s="248"/>
      <c r="U170" s="247"/>
      <c r="V170" s="248"/>
      <c r="W170" s="5">
        <v>140</v>
      </c>
      <c r="Y170" s="5">
        <v>140</v>
      </c>
      <c r="Z170" s="248">
        <v>926.1</v>
      </c>
      <c r="AA170" s="247"/>
      <c r="AB170" s="248"/>
      <c r="AC170" s="247"/>
      <c r="AD170" s="248"/>
      <c r="AE170" s="247"/>
      <c r="AF170" s="248"/>
      <c r="AG170" s="247"/>
      <c r="AH170" s="248"/>
      <c r="AI170" s="247"/>
      <c r="AJ170" s="248"/>
      <c r="AK170" s="8">
        <f t="shared" si="2"/>
        <v>140</v>
      </c>
    </row>
    <row r="171" spans="9:37">
      <c r="I171" s="5">
        <v>141</v>
      </c>
      <c r="J171" s="248">
        <v>925.2</v>
      </c>
      <c r="M171" s="247"/>
      <c r="N171" s="248"/>
      <c r="O171" s="247"/>
      <c r="P171" s="248"/>
      <c r="Q171" s="247"/>
      <c r="R171" s="267"/>
      <c r="S171" s="247"/>
      <c r="T171" s="248"/>
      <c r="U171" s="247"/>
      <c r="V171" s="248"/>
      <c r="W171" s="5">
        <v>141</v>
      </c>
      <c r="Y171" s="5">
        <v>141</v>
      </c>
      <c r="Z171" s="248">
        <v>925.2</v>
      </c>
      <c r="AA171" s="247"/>
      <c r="AB171" s="248"/>
      <c r="AC171" s="247"/>
      <c r="AD171" s="248"/>
      <c r="AE171" s="247"/>
      <c r="AF171" s="248"/>
      <c r="AG171" s="247"/>
      <c r="AH171" s="248"/>
      <c r="AI171" s="247"/>
      <c r="AJ171" s="248"/>
      <c r="AK171" s="8">
        <f t="shared" si="2"/>
        <v>141</v>
      </c>
    </row>
    <row r="172" spans="9:37">
      <c r="I172" s="5">
        <v>142</v>
      </c>
      <c r="J172" s="248">
        <v>924.3</v>
      </c>
      <c r="M172" s="247"/>
      <c r="N172" s="248"/>
      <c r="O172" s="247"/>
      <c r="P172" s="248"/>
      <c r="Q172" s="247"/>
      <c r="R172" s="267"/>
      <c r="S172" s="247"/>
      <c r="T172" s="248"/>
      <c r="U172" s="247"/>
      <c r="V172" s="248"/>
      <c r="W172" s="5">
        <v>142</v>
      </c>
      <c r="Y172" s="5">
        <v>142</v>
      </c>
      <c r="Z172" s="248">
        <v>924.3</v>
      </c>
      <c r="AA172" s="247"/>
      <c r="AB172" s="248"/>
      <c r="AC172" s="247"/>
      <c r="AD172" s="248"/>
      <c r="AE172" s="247"/>
      <c r="AF172" s="248"/>
      <c r="AG172" s="247"/>
      <c r="AH172" s="248"/>
      <c r="AI172" s="247"/>
      <c r="AJ172" s="248"/>
      <c r="AK172" s="8">
        <f t="shared" si="2"/>
        <v>142</v>
      </c>
    </row>
    <row r="173" spans="9:37">
      <c r="I173" s="5">
        <v>143</v>
      </c>
      <c r="J173" s="248">
        <v>923.3</v>
      </c>
      <c r="M173" s="247"/>
      <c r="N173" s="248"/>
      <c r="O173" s="247"/>
      <c r="P173" s="248"/>
      <c r="Q173" s="247"/>
      <c r="R173" s="267"/>
      <c r="S173" s="247"/>
      <c r="T173" s="248"/>
      <c r="U173" s="247"/>
      <c r="V173" s="248"/>
      <c r="W173" s="5">
        <v>143</v>
      </c>
      <c r="Y173" s="5">
        <v>143</v>
      </c>
      <c r="Z173" s="248">
        <v>923.3</v>
      </c>
      <c r="AA173" s="247"/>
      <c r="AB173" s="248"/>
      <c r="AC173" s="247"/>
      <c r="AD173" s="248"/>
      <c r="AE173" s="247"/>
      <c r="AF173" s="248"/>
      <c r="AG173" s="247"/>
      <c r="AH173" s="248"/>
      <c r="AI173" s="247"/>
      <c r="AJ173" s="248"/>
      <c r="AK173" s="8">
        <f t="shared" si="2"/>
        <v>143</v>
      </c>
    </row>
    <row r="174" spans="9:37">
      <c r="I174" s="5">
        <v>144</v>
      </c>
      <c r="J174" s="248">
        <v>922.4</v>
      </c>
      <c r="M174" s="247"/>
      <c r="N174" s="248"/>
      <c r="O174" s="247"/>
      <c r="P174" s="248"/>
      <c r="Q174" s="247"/>
      <c r="R174" s="267"/>
      <c r="S174" s="247"/>
      <c r="T174" s="248"/>
      <c r="U174" s="247"/>
      <c r="V174" s="248"/>
      <c r="W174" s="5">
        <v>144</v>
      </c>
      <c r="Y174" s="5">
        <v>144</v>
      </c>
      <c r="Z174" s="248">
        <v>922.4</v>
      </c>
      <c r="AA174" s="247"/>
      <c r="AB174" s="248"/>
      <c r="AC174" s="247"/>
      <c r="AD174" s="248"/>
      <c r="AE174" s="247"/>
      <c r="AF174" s="248"/>
      <c r="AG174" s="247"/>
      <c r="AH174" s="248"/>
      <c r="AI174" s="247"/>
      <c r="AJ174" s="248"/>
      <c r="AK174" s="8">
        <f t="shared" si="2"/>
        <v>144</v>
      </c>
    </row>
    <row r="175" spans="9:37">
      <c r="I175" s="5">
        <v>145</v>
      </c>
      <c r="J175" s="248">
        <v>921.5</v>
      </c>
      <c r="M175" s="247"/>
      <c r="N175" s="248"/>
      <c r="O175" s="247"/>
      <c r="P175" s="248"/>
      <c r="Q175" s="247"/>
      <c r="R175" s="267"/>
      <c r="S175" s="247"/>
      <c r="T175" s="248"/>
      <c r="U175" s="247"/>
      <c r="V175" s="248"/>
      <c r="W175" s="5">
        <v>145</v>
      </c>
      <c r="Y175" s="5">
        <v>145</v>
      </c>
      <c r="Z175" s="248">
        <v>921.5</v>
      </c>
      <c r="AA175" s="247"/>
      <c r="AB175" s="248"/>
      <c r="AC175" s="247"/>
      <c r="AD175" s="248"/>
      <c r="AE175" s="247"/>
      <c r="AF175" s="248"/>
      <c r="AG175" s="247"/>
      <c r="AH175" s="248"/>
      <c r="AI175" s="247"/>
      <c r="AJ175" s="248"/>
      <c r="AK175" s="8">
        <f t="shared" si="2"/>
        <v>145</v>
      </c>
    </row>
    <row r="176" spans="9:37">
      <c r="I176" s="5">
        <v>146</v>
      </c>
      <c r="J176" s="248">
        <v>920.6</v>
      </c>
      <c r="M176" s="247"/>
      <c r="N176" s="248"/>
      <c r="O176" s="247"/>
      <c r="P176" s="248"/>
      <c r="Q176" s="247"/>
      <c r="R176" s="267"/>
      <c r="S176" s="247"/>
      <c r="T176" s="248"/>
      <c r="U176" s="247"/>
      <c r="V176" s="248"/>
      <c r="W176" s="5">
        <v>146</v>
      </c>
      <c r="Y176" s="5">
        <v>146</v>
      </c>
      <c r="Z176" s="248">
        <v>920.6</v>
      </c>
      <c r="AA176" s="247"/>
      <c r="AB176" s="248"/>
      <c r="AC176" s="247"/>
      <c r="AD176" s="248"/>
      <c r="AE176" s="247"/>
      <c r="AF176" s="248"/>
      <c r="AG176" s="247"/>
      <c r="AH176" s="248"/>
      <c r="AI176" s="247"/>
      <c r="AJ176" s="248"/>
      <c r="AK176" s="8">
        <f t="shared" si="2"/>
        <v>146</v>
      </c>
    </row>
    <row r="177" spans="9:44">
      <c r="I177" s="5">
        <v>147</v>
      </c>
      <c r="J177" s="248">
        <v>919.7</v>
      </c>
      <c r="M177" s="247"/>
      <c r="N177" s="248"/>
      <c r="O177" s="247"/>
      <c r="P177" s="248"/>
      <c r="Q177" s="247"/>
      <c r="R177" s="267"/>
      <c r="S177" s="247"/>
      <c r="T177" s="248"/>
      <c r="U177" s="247"/>
      <c r="V177" s="248"/>
      <c r="W177" s="5">
        <v>147</v>
      </c>
      <c r="Y177" s="5">
        <v>147</v>
      </c>
      <c r="Z177" s="248">
        <v>919.7</v>
      </c>
      <c r="AA177" s="247"/>
      <c r="AB177" s="248"/>
      <c r="AC177" s="247"/>
      <c r="AD177" s="248"/>
      <c r="AE177" s="247"/>
      <c r="AF177" s="248"/>
      <c r="AG177" s="247"/>
      <c r="AH177" s="248"/>
      <c r="AI177" s="247"/>
      <c r="AJ177" s="248"/>
      <c r="AK177" s="8">
        <f t="shared" si="2"/>
        <v>147</v>
      </c>
    </row>
    <row r="178" spans="9:44">
      <c r="I178" s="5">
        <v>148</v>
      </c>
      <c r="J178" s="248">
        <v>918.7</v>
      </c>
      <c r="M178" s="247"/>
      <c r="N178" s="248"/>
      <c r="O178" s="247"/>
      <c r="P178" s="248"/>
      <c r="Q178" s="247"/>
      <c r="R178" s="267"/>
      <c r="S178" s="247"/>
      <c r="T178" s="248"/>
      <c r="U178" s="247"/>
      <c r="V178" s="248"/>
      <c r="W178" s="5">
        <v>148</v>
      </c>
      <c r="Y178" s="5">
        <v>148</v>
      </c>
      <c r="Z178" s="248">
        <v>918.7</v>
      </c>
      <c r="AA178" s="247"/>
      <c r="AB178" s="248"/>
      <c r="AC178" s="247"/>
      <c r="AD178" s="248"/>
      <c r="AE178" s="247"/>
      <c r="AF178" s="248"/>
      <c r="AG178" s="247"/>
      <c r="AH178" s="248"/>
      <c r="AI178" s="247"/>
      <c r="AJ178" s="248"/>
      <c r="AK178" s="8">
        <f t="shared" si="2"/>
        <v>148</v>
      </c>
    </row>
    <row r="179" spans="9:44">
      <c r="I179" s="5">
        <v>149</v>
      </c>
      <c r="J179" s="248">
        <v>917.8</v>
      </c>
      <c r="M179" s="247"/>
      <c r="N179" s="248"/>
      <c r="O179" s="247"/>
      <c r="P179" s="248"/>
      <c r="Q179" s="247"/>
      <c r="R179" s="267"/>
      <c r="S179" s="247"/>
      <c r="T179" s="248"/>
      <c r="U179" s="247"/>
      <c r="V179" s="248"/>
      <c r="W179" s="5">
        <v>149</v>
      </c>
      <c r="Y179" s="5">
        <v>149</v>
      </c>
      <c r="Z179" s="248">
        <v>917.8</v>
      </c>
      <c r="AA179" s="247"/>
      <c r="AB179" s="248"/>
      <c r="AC179" s="247"/>
      <c r="AD179" s="248"/>
      <c r="AE179" s="247"/>
      <c r="AF179" s="248"/>
      <c r="AG179" s="247"/>
      <c r="AH179" s="248"/>
      <c r="AI179" s="247"/>
      <c r="AJ179" s="248"/>
      <c r="AK179" s="8">
        <f t="shared" si="2"/>
        <v>149</v>
      </c>
    </row>
    <row r="180" spans="9:44">
      <c r="I180" s="5">
        <v>150</v>
      </c>
      <c r="J180" s="248">
        <v>916.9</v>
      </c>
      <c r="M180" s="247"/>
      <c r="N180" s="248"/>
      <c r="O180" s="247"/>
      <c r="P180" s="248"/>
      <c r="Q180" s="247"/>
      <c r="R180" s="267"/>
      <c r="S180" s="247"/>
      <c r="T180" s="248"/>
      <c r="U180" s="247"/>
      <c r="V180" s="248"/>
      <c r="W180" s="5">
        <v>150</v>
      </c>
      <c r="Y180" s="5">
        <v>150</v>
      </c>
      <c r="Z180" s="248">
        <v>916.9</v>
      </c>
      <c r="AA180" s="247"/>
      <c r="AB180" s="248"/>
      <c r="AC180" s="247"/>
      <c r="AD180" s="248"/>
      <c r="AE180" s="247"/>
      <c r="AF180" s="248"/>
      <c r="AG180" s="247"/>
      <c r="AH180" s="248"/>
      <c r="AI180" s="247"/>
      <c r="AJ180" s="248"/>
      <c r="AK180" s="8">
        <f t="shared" si="2"/>
        <v>150</v>
      </c>
    </row>
    <row r="182" spans="9:44">
      <c r="J182" s="497" t="s">
        <v>31</v>
      </c>
      <c r="K182" s="497"/>
      <c r="L182" s="497"/>
      <c r="M182" s="497"/>
      <c r="N182" s="497"/>
      <c r="O182" s="497"/>
      <c r="P182" s="497"/>
      <c r="Q182" s="497"/>
      <c r="R182" s="497"/>
      <c r="S182" s="497"/>
      <c r="T182" s="497"/>
    </row>
    <row r="183" spans="9:44">
      <c r="I183" s="3" t="s">
        <v>30</v>
      </c>
      <c r="J183" s="4">
        <v>0</v>
      </c>
      <c r="K183" s="4">
        <v>5</v>
      </c>
      <c r="L183" s="4">
        <v>10</v>
      </c>
      <c r="M183" s="4">
        <v>15</v>
      </c>
      <c r="N183" s="4">
        <v>20</v>
      </c>
      <c r="O183" s="4">
        <v>25</v>
      </c>
      <c r="P183" s="4">
        <v>30</v>
      </c>
      <c r="Q183" s="4">
        <v>35</v>
      </c>
      <c r="R183" s="4">
        <v>40</v>
      </c>
      <c r="S183" s="4">
        <v>45</v>
      </c>
      <c r="T183" s="4">
        <v>50</v>
      </c>
    </row>
    <row r="184" spans="9:44">
      <c r="I184" s="5">
        <v>100</v>
      </c>
      <c r="J184" s="21">
        <v>0</v>
      </c>
      <c r="K184" s="21">
        <v>0</v>
      </c>
      <c r="L184" s="21">
        <v>0</v>
      </c>
      <c r="M184" s="21">
        <v>0</v>
      </c>
      <c r="N184" s="21">
        <v>0</v>
      </c>
      <c r="O184" s="21">
        <v>0</v>
      </c>
      <c r="P184" s="21">
        <v>0</v>
      </c>
      <c r="Q184" s="21">
        <v>0</v>
      </c>
      <c r="R184" s="21">
        <v>0</v>
      </c>
      <c r="S184" s="21">
        <v>0</v>
      </c>
      <c r="T184" s="21">
        <v>0</v>
      </c>
      <c r="U184" s="23"/>
    </row>
    <row r="185" spans="9:44">
      <c r="I185" s="5">
        <v>101</v>
      </c>
      <c r="J185" s="22">
        <f t="shared" ref="J185:T185" si="3">(J184+J187)/2</f>
        <v>0.05</v>
      </c>
      <c r="K185" s="22">
        <f t="shared" si="3"/>
        <v>4.7500000000000001E-2</v>
      </c>
      <c r="L185" s="22">
        <f t="shared" si="3"/>
        <v>4.6249999999999999E-2</v>
      </c>
      <c r="M185" s="22">
        <f t="shared" si="3"/>
        <v>4.3749999999999997E-2</v>
      </c>
      <c r="N185" s="22">
        <f t="shared" si="3"/>
        <v>4.1250000000000002E-2</v>
      </c>
      <c r="O185" s="22">
        <f t="shared" si="3"/>
        <v>0.04</v>
      </c>
      <c r="P185" s="22">
        <f t="shared" si="3"/>
        <v>3.7499999999999999E-2</v>
      </c>
      <c r="Q185" s="22">
        <f t="shared" si="3"/>
        <v>3.125E-2</v>
      </c>
      <c r="R185" s="22">
        <f t="shared" si="3"/>
        <v>2.5000000000000001E-2</v>
      </c>
      <c r="S185" s="22">
        <f t="shared" si="3"/>
        <v>1.8749999999999999E-2</v>
      </c>
      <c r="T185" s="22">
        <f t="shared" si="3"/>
        <v>1.2500000000000001E-2</v>
      </c>
      <c r="U185" s="24"/>
      <c r="V185" s="17"/>
      <c r="W185" s="17"/>
      <c r="X185" s="17"/>
      <c r="Y185" s="17"/>
      <c r="Z185" s="17"/>
      <c r="AA185" s="17"/>
      <c r="AB185" s="17"/>
      <c r="AC185" s="17"/>
    </row>
    <row r="186" spans="9:44">
      <c r="I186" s="5">
        <v>102</v>
      </c>
      <c r="J186" s="22">
        <f t="shared" ref="J186:T186" si="4">(J185+J187)/2</f>
        <v>7.5000000000000011E-2</v>
      </c>
      <c r="K186" s="22">
        <f t="shared" si="4"/>
        <v>7.1250000000000008E-2</v>
      </c>
      <c r="L186" s="22">
        <f t="shared" si="4"/>
        <v>6.9374999999999992E-2</v>
      </c>
      <c r="M186" s="22">
        <f t="shared" si="4"/>
        <v>6.5624999999999989E-2</v>
      </c>
      <c r="N186" s="22">
        <f t="shared" si="4"/>
        <v>6.1874999999999999E-2</v>
      </c>
      <c r="O186" s="22">
        <f t="shared" si="4"/>
        <v>0.06</v>
      </c>
      <c r="P186" s="22">
        <f t="shared" si="4"/>
        <v>5.6249999999999994E-2</v>
      </c>
      <c r="Q186" s="22">
        <f t="shared" si="4"/>
        <v>4.6875E-2</v>
      </c>
      <c r="R186" s="22">
        <f t="shared" si="4"/>
        <v>3.7500000000000006E-2</v>
      </c>
      <c r="S186" s="22">
        <f t="shared" si="4"/>
        <v>2.8124999999999997E-2</v>
      </c>
      <c r="T186" s="22">
        <f t="shared" si="4"/>
        <v>1.8750000000000003E-2</v>
      </c>
      <c r="U186" s="25"/>
      <c r="V186" s="18"/>
      <c r="W186" s="18"/>
      <c r="X186" s="18"/>
      <c r="Y186" s="18"/>
      <c r="Z186" s="18"/>
      <c r="AA186" s="18"/>
      <c r="AB186" s="18"/>
      <c r="AC186" s="19"/>
    </row>
    <row r="187" spans="9:44">
      <c r="I187" s="5">
        <v>103</v>
      </c>
      <c r="J187" s="22">
        <f t="shared" ref="J187:T187" si="5">(J184+J189)/2</f>
        <v>0.1</v>
      </c>
      <c r="K187" s="22">
        <f t="shared" si="5"/>
        <v>9.5000000000000001E-2</v>
      </c>
      <c r="L187" s="22">
        <f t="shared" si="5"/>
        <v>9.2499999999999999E-2</v>
      </c>
      <c r="M187" s="22">
        <f t="shared" si="5"/>
        <v>8.7499999999999994E-2</v>
      </c>
      <c r="N187" s="22">
        <f t="shared" si="5"/>
        <v>8.2500000000000004E-2</v>
      </c>
      <c r="O187" s="22">
        <f t="shared" si="5"/>
        <v>0.08</v>
      </c>
      <c r="P187" s="22">
        <f t="shared" si="5"/>
        <v>7.4999999999999997E-2</v>
      </c>
      <c r="Q187" s="22">
        <f t="shared" si="5"/>
        <v>6.25E-2</v>
      </c>
      <c r="R187" s="22">
        <f t="shared" si="5"/>
        <v>0.05</v>
      </c>
      <c r="S187" s="22">
        <f t="shared" si="5"/>
        <v>3.7499999999999999E-2</v>
      </c>
      <c r="T187" s="22">
        <f t="shared" si="5"/>
        <v>2.5000000000000001E-2</v>
      </c>
      <c r="U187" s="23"/>
      <c r="X187" s="16" t="s">
        <v>48</v>
      </c>
      <c r="Y187" s="16" t="s">
        <v>49</v>
      </c>
      <c r="Z187" s="17">
        <v>20</v>
      </c>
      <c r="AA187" s="17">
        <v>30</v>
      </c>
      <c r="AB187" s="17">
        <v>40</v>
      </c>
      <c r="AC187" s="17">
        <v>50</v>
      </c>
      <c r="AD187" s="17">
        <v>60</v>
      </c>
      <c r="AE187" s="17">
        <v>70</v>
      </c>
      <c r="AF187" s="17">
        <v>80</v>
      </c>
      <c r="AG187" s="17">
        <v>90</v>
      </c>
      <c r="AH187" s="17">
        <v>100</v>
      </c>
      <c r="AI187" s="17">
        <v>110</v>
      </c>
      <c r="AJ187" s="17">
        <v>120</v>
      </c>
      <c r="AK187" s="17">
        <v>130</v>
      </c>
      <c r="AL187" s="17">
        <v>140</v>
      </c>
      <c r="AM187" s="17">
        <v>150</v>
      </c>
      <c r="AN187" s="17">
        <v>160</v>
      </c>
      <c r="AO187" s="17">
        <v>170</v>
      </c>
      <c r="AP187" s="17">
        <v>180</v>
      </c>
      <c r="AQ187" s="17">
        <v>190</v>
      </c>
      <c r="AR187" s="17">
        <v>200</v>
      </c>
    </row>
    <row r="188" spans="9:44">
      <c r="I188" s="5">
        <v>104</v>
      </c>
      <c r="J188" s="22">
        <f t="shared" ref="J188:T188" si="6">(J187+J189)/2</f>
        <v>0.15000000000000002</v>
      </c>
      <c r="K188" s="22">
        <f t="shared" si="6"/>
        <v>0.14250000000000002</v>
      </c>
      <c r="L188" s="22">
        <f t="shared" si="6"/>
        <v>0.13874999999999998</v>
      </c>
      <c r="M188" s="22">
        <f t="shared" si="6"/>
        <v>0.13124999999999998</v>
      </c>
      <c r="N188" s="22">
        <f t="shared" si="6"/>
        <v>0.12375</v>
      </c>
      <c r="O188" s="22">
        <f t="shared" si="6"/>
        <v>0.12</v>
      </c>
      <c r="P188" s="22">
        <f t="shared" si="6"/>
        <v>0.11249999999999999</v>
      </c>
      <c r="Q188" s="22">
        <f t="shared" si="6"/>
        <v>9.375E-2</v>
      </c>
      <c r="R188" s="22">
        <f t="shared" si="6"/>
        <v>7.5000000000000011E-2</v>
      </c>
      <c r="S188" s="22">
        <f t="shared" si="6"/>
        <v>5.6249999999999994E-2</v>
      </c>
      <c r="T188" s="22">
        <f t="shared" si="6"/>
        <v>3.7500000000000006E-2</v>
      </c>
      <c r="U188" s="23"/>
      <c r="X188" s="16" t="s">
        <v>51</v>
      </c>
      <c r="Y188" s="16" t="s">
        <v>3</v>
      </c>
      <c r="Z188" s="18">
        <v>0</v>
      </c>
      <c r="AA188" s="18">
        <v>0</v>
      </c>
      <c r="AB188" s="18">
        <v>0</v>
      </c>
      <c r="AC188" s="18">
        <v>0</v>
      </c>
      <c r="AD188" s="18">
        <v>0</v>
      </c>
      <c r="AE188" s="18">
        <v>0</v>
      </c>
      <c r="AF188" s="18">
        <v>0</v>
      </c>
      <c r="AG188" s="18">
        <v>0</v>
      </c>
      <c r="AH188" s="18">
        <v>0</v>
      </c>
      <c r="AI188" s="18">
        <v>0.4</v>
      </c>
      <c r="AJ188" s="18">
        <v>1.03</v>
      </c>
      <c r="AK188" s="18">
        <v>1.75</v>
      </c>
      <c r="AL188" s="18">
        <v>2.69</v>
      </c>
      <c r="AM188" s="18">
        <v>3.85</v>
      </c>
      <c r="AN188" s="18">
        <v>5.3</v>
      </c>
      <c r="AO188" s="18">
        <v>7.08</v>
      </c>
      <c r="AP188" s="18">
        <v>9.25</v>
      </c>
      <c r="AQ188" s="18">
        <v>11.8</v>
      </c>
      <c r="AR188" s="19">
        <v>14.5</v>
      </c>
    </row>
    <row r="189" spans="9:44">
      <c r="I189" s="5">
        <v>105</v>
      </c>
      <c r="J189" s="22">
        <f t="shared" ref="J189:T189" si="7">(J184+J194)/2</f>
        <v>0.2</v>
      </c>
      <c r="K189" s="22">
        <f t="shared" si="7"/>
        <v>0.19</v>
      </c>
      <c r="L189" s="22">
        <f t="shared" si="7"/>
        <v>0.185</v>
      </c>
      <c r="M189" s="22">
        <f t="shared" si="7"/>
        <v>0.17499999999999999</v>
      </c>
      <c r="N189" s="22">
        <f t="shared" si="7"/>
        <v>0.16500000000000001</v>
      </c>
      <c r="O189" s="22">
        <f t="shared" si="7"/>
        <v>0.16</v>
      </c>
      <c r="P189" s="22">
        <f t="shared" si="7"/>
        <v>0.15</v>
      </c>
      <c r="Q189" s="22">
        <f t="shared" si="7"/>
        <v>0.125</v>
      </c>
      <c r="R189" s="22">
        <f t="shared" si="7"/>
        <v>0.1</v>
      </c>
      <c r="S189" s="22">
        <f t="shared" si="7"/>
        <v>7.4999999999999997E-2</v>
      </c>
      <c r="T189" s="22">
        <f t="shared" si="7"/>
        <v>0.05</v>
      </c>
      <c r="U189" s="23"/>
      <c r="X189" s="16" t="s">
        <v>48</v>
      </c>
      <c r="Y189" s="16" t="s">
        <v>49</v>
      </c>
      <c r="Z189" s="17">
        <v>20</v>
      </c>
      <c r="AA189" s="17">
        <v>30</v>
      </c>
      <c r="AB189" s="17">
        <v>40</v>
      </c>
      <c r="AC189" s="17">
        <v>50</v>
      </c>
      <c r="AD189" s="17">
        <v>60</v>
      </c>
      <c r="AE189" s="17">
        <v>70</v>
      </c>
      <c r="AF189" s="17">
        <v>80</v>
      </c>
      <c r="AG189" s="17">
        <v>90</v>
      </c>
      <c r="AH189" s="17">
        <v>100</v>
      </c>
      <c r="AI189" s="17">
        <v>110</v>
      </c>
      <c r="AJ189" s="17">
        <v>120</v>
      </c>
      <c r="AK189" s="17">
        <v>130</v>
      </c>
      <c r="AL189" s="17">
        <v>140</v>
      </c>
      <c r="AM189" s="17">
        <v>150</v>
      </c>
      <c r="AN189" s="17">
        <v>160</v>
      </c>
      <c r="AO189" s="17">
        <v>170</v>
      </c>
      <c r="AP189" s="17">
        <v>180</v>
      </c>
      <c r="AQ189" s="17">
        <v>190</v>
      </c>
      <c r="AR189" s="17">
        <v>200</v>
      </c>
    </row>
    <row r="190" spans="9:44">
      <c r="I190" s="5">
        <v>106</v>
      </c>
      <c r="J190" s="22">
        <f t="shared" ref="J190:T190" si="8">(J189+J191)/2</f>
        <v>0.23750000000000002</v>
      </c>
      <c r="K190" s="22">
        <f t="shared" si="8"/>
        <v>0.22562499999999999</v>
      </c>
      <c r="L190" s="22">
        <f t="shared" si="8"/>
        <v>0.21968750000000001</v>
      </c>
      <c r="M190" s="22">
        <f t="shared" si="8"/>
        <v>0.20781249999999998</v>
      </c>
      <c r="N190" s="22">
        <f t="shared" si="8"/>
        <v>0.19593749999999999</v>
      </c>
      <c r="O190" s="22">
        <f t="shared" si="8"/>
        <v>0.19</v>
      </c>
      <c r="P190" s="22">
        <f t="shared" si="8"/>
        <v>0.17812499999999998</v>
      </c>
      <c r="Q190" s="22">
        <f t="shared" si="8"/>
        <v>0.1484375</v>
      </c>
      <c r="R190" s="22">
        <f t="shared" si="8"/>
        <v>0.11875000000000001</v>
      </c>
      <c r="S190" s="22">
        <f t="shared" si="8"/>
        <v>8.9062499999999989E-2</v>
      </c>
      <c r="T190" s="22">
        <f t="shared" si="8"/>
        <v>5.9375000000000004E-2</v>
      </c>
      <c r="U190" s="23"/>
      <c r="X190" s="16" t="s">
        <v>52</v>
      </c>
      <c r="Y190" s="16"/>
      <c r="Z190" s="496" t="s">
        <v>53</v>
      </c>
      <c r="AA190" s="496"/>
      <c r="AB190" s="496"/>
      <c r="AC190" s="496"/>
      <c r="AD190" s="496"/>
      <c r="AE190" s="496"/>
      <c r="AF190" s="20">
        <v>6.8999999999999999E-3</v>
      </c>
      <c r="AG190" s="20">
        <v>1.43E-2</v>
      </c>
      <c r="AH190" s="20">
        <v>2.2100000000000002E-2</v>
      </c>
      <c r="AI190" s="20">
        <v>3.04E-2</v>
      </c>
      <c r="AJ190" s="20">
        <v>3.7650000000000003E-2</v>
      </c>
      <c r="AK190" s="20">
        <v>4.9430000000000002E-2</v>
      </c>
      <c r="AL190" s="20">
        <v>5.5320000000000001E-2</v>
      </c>
      <c r="AM190" s="20">
        <v>6.1210000000000001E-2</v>
      </c>
      <c r="AN190" s="20">
        <v>6.7100000000000007E-2</v>
      </c>
      <c r="AO190" s="20">
        <v>7.2989999999999999E-2</v>
      </c>
      <c r="AP190" s="20">
        <v>7.8880000000000006E-2</v>
      </c>
      <c r="AQ190" s="20">
        <v>8.4769999999999998E-2</v>
      </c>
      <c r="AR190" s="20">
        <v>9.0660000000000004E-2</v>
      </c>
    </row>
    <row r="191" spans="9:44">
      <c r="I191" s="5">
        <v>107</v>
      </c>
      <c r="J191" s="22">
        <f t="shared" ref="J191:T191" si="9">(J189+J193)/2</f>
        <v>0.27500000000000002</v>
      </c>
      <c r="K191" s="22">
        <f t="shared" si="9"/>
        <v>0.26124999999999998</v>
      </c>
      <c r="L191" s="22">
        <f t="shared" si="9"/>
        <v>0.25437500000000002</v>
      </c>
      <c r="M191" s="22">
        <f t="shared" si="9"/>
        <v>0.24062499999999998</v>
      </c>
      <c r="N191" s="22">
        <f t="shared" si="9"/>
        <v>0.22687499999999999</v>
      </c>
      <c r="O191" s="22">
        <f t="shared" si="9"/>
        <v>0.22000000000000003</v>
      </c>
      <c r="P191" s="22">
        <f t="shared" si="9"/>
        <v>0.20624999999999999</v>
      </c>
      <c r="Q191" s="22">
        <f t="shared" si="9"/>
        <v>0.171875</v>
      </c>
      <c r="R191" s="22">
        <f t="shared" si="9"/>
        <v>0.13750000000000001</v>
      </c>
      <c r="S191" s="22">
        <f t="shared" si="9"/>
        <v>0.10312499999999999</v>
      </c>
      <c r="T191" s="22">
        <f t="shared" si="9"/>
        <v>6.8750000000000006E-2</v>
      </c>
      <c r="U191" s="23"/>
      <c r="X191" s="16"/>
      <c r="Y191" s="16"/>
      <c r="Z191" s="18"/>
      <c r="AA191" s="18"/>
      <c r="AB191" s="18"/>
      <c r="AC191" s="18"/>
      <c r="AD191" s="18"/>
      <c r="AE191" s="18"/>
      <c r="AF191" s="18"/>
      <c r="AG191" s="18"/>
      <c r="AH191" s="18"/>
      <c r="AI191" s="18"/>
      <c r="AJ191" s="18"/>
      <c r="AK191" s="18"/>
      <c r="AL191" s="18"/>
      <c r="AM191" s="18"/>
      <c r="AN191" s="18"/>
      <c r="AO191" s="18"/>
      <c r="AP191" s="18"/>
      <c r="AQ191" s="18"/>
      <c r="AR191" s="18"/>
    </row>
    <row r="192" spans="9:44">
      <c r="I192" s="5">
        <v>108</v>
      </c>
      <c r="J192" s="22">
        <f t="shared" ref="J192:T192" si="10">(J189+J194)/2</f>
        <v>0.30000000000000004</v>
      </c>
      <c r="K192" s="22">
        <f t="shared" si="10"/>
        <v>0.28500000000000003</v>
      </c>
      <c r="L192" s="22">
        <f t="shared" si="10"/>
        <v>0.27749999999999997</v>
      </c>
      <c r="M192" s="22">
        <f t="shared" si="10"/>
        <v>0.26249999999999996</v>
      </c>
      <c r="N192" s="22">
        <f t="shared" si="10"/>
        <v>0.2475</v>
      </c>
      <c r="O192" s="22">
        <f t="shared" si="10"/>
        <v>0.24</v>
      </c>
      <c r="P192" s="22">
        <f t="shared" si="10"/>
        <v>0.22499999999999998</v>
      </c>
      <c r="Q192" s="22">
        <f t="shared" si="10"/>
        <v>0.1875</v>
      </c>
      <c r="R192" s="22">
        <f t="shared" si="10"/>
        <v>0.15000000000000002</v>
      </c>
      <c r="S192" s="22">
        <f t="shared" si="10"/>
        <v>0.11249999999999999</v>
      </c>
      <c r="T192" s="22">
        <f t="shared" si="10"/>
        <v>7.5000000000000011E-2</v>
      </c>
      <c r="U192" s="23"/>
      <c r="X192" s="16" t="s">
        <v>48</v>
      </c>
      <c r="Y192" s="16" t="s">
        <v>49</v>
      </c>
      <c r="Z192" s="17">
        <v>20</v>
      </c>
      <c r="AA192" s="17">
        <v>30</v>
      </c>
      <c r="AB192" s="17">
        <v>40</v>
      </c>
      <c r="AC192" s="17">
        <v>50</v>
      </c>
      <c r="AD192" s="17">
        <v>60</v>
      </c>
      <c r="AE192" s="17">
        <v>70</v>
      </c>
      <c r="AF192" s="17">
        <v>80</v>
      </c>
      <c r="AG192" s="17">
        <v>90</v>
      </c>
      <c r="AH192" s="17">
        <v>100</v>
      </c>
      <c r="AI192" s="17">
        <v>110</v>
      </c>
      <c r="AJ192" s="17">
        <v>120</v>
      </c>
      <c r="AK192" s="17">
        <v>130</v>
      </c>
      <c r="AL192" s="17">
        <v>140</v>
      </c>
      <c r="AM192" s="17">
        <v>150</v>
      </c>
      <c r="AN192" s="17">
        <v>160</v>
      </c>
      <c r="AO192" s="17">
        <v>170</v>
      </c>
      <c r="AP192" s="17">
        <v>180</v>
      </c>
      <c r="AQ192" s="17">
        <v>190</v>
      </c>
      <c r="AR192" s="17">
        <v>200</v>
      </c>
    </row>
    <row r="193" spans="9:44">
      <c r="I193" s="5">
        <v>109</v>
      </c>
      <c r="J193" s="22">
        <f t="shared" ref="J193:T193" si="11">(J192+J194)/2</f>
        <v>0.35000000000000003</v>
      </c>
      <c r="K193" s="22">
        <f t="shared" si="11"/>
        <v>0.33250000000000002</v>
      </c>
      <c r="L193" s="22">
        <f t="shared" si="11"/>
        <v>0.32374999999999998</v>
      </c>
      <c r="M193" s="22">
        <f t="shared" si="11"/>
        <v>0.30624999999999997</v>
      </c>
      <c r="N193" s="22">
        <f t="shared" si="11"/>
        <v>0.28875000000000001</v>
      </c>
      <c r="O193" s="22">
        <f t="shared" si="11"/>
        <v>0.28000000000000003</v>
      </c>
      <c r="P193" s="22">
        <f t="shared" si="11"/>
        <v>0.26249999999999996</v>
      </c>
      <c r="Q193" s="22">
        <f t="shared" si="11"/>
        <v>0.21875</v>
      </c>
      <c r="R193" s="22">
        <f t="shared" si="11"/>
        <v>0.17500000000000002</v>
      </c>
      <c r="S193" s="22">
        <f t="shared" si="11"/>
        <v>0.13124999999999998</v>
      </c>
      <c r="T193" s="22">
        <f t="shared" si="11"/>
        <v>8.7500000000000008E-2</v>
      </c>
      <c r="U193" s="23"/>
      <c r="X193" s="16" t="s">
        <v>50</v>
      </c>
      <c r="Y193" s="16" t="s">
        <v>54</v>
      </c>
      <c r="Z193" s="18">
        <v>2.3900000000000001E-2</v>
      </c>
      <c r="AA193" s="18">
        <v>2.3900000000000001E-2</v>
      </c>
      <c r="AB193" s="18">
        <v>2.3900000000000001E-2</v>
      </c>
      <c r="AC193" s="18">
        <v>0.03</v>
      </c>
      <c r="AD193" s="18">
        <v>3.6400000000000002E-2</v>
      </c>
      <c r="AE193" s="18">
        <v>4.3099999999999999E-2</v>
      </c>
      <c r="AF193" s="18">
        <v>5.0200000000000002E-2</v>
      </c>
      <c r="AG193" s="18">
        <v>5.7599999999999998E-2</v>
      </c>
      <c r="AH193" s="18">
        <v>6.5299999999999997E-2</v>
      </c>
      <c r="AI193" s="18">
        <v>7.3400000000000007E-2</v>
      </c>
      <c r="AJ193" s="18"/>
      <c r="AK193" s="18"/>
      <c r="AL193" s="18">
        <v>7.3400000000000007E-2</v>
      </c>
      <c r="AM193" s="18"/>
      <c r="AN193" s="18"/>
      <c r="AO193" s="18">
        <v>7.3400000000000007E-2</v>
      </c>
      <c r="AP193" s="18"/>
      <c r="AQ193" s="18"/>
      <c r="AR193" s="19">
        <v>7.3400000000000007E-2</v>
      </c>
    </row>
    <row r="194" spans="9:44">
      <c r="I194" s="5">
        <v>110</v>
      </c>
      <c r="J194" s="21">
        <v>0.4</v>
      </c>
      <c r="K194" s="22">
        <v>0.38</v>
      </c>
      <c r="L194" s="22">
        <v>0.37</v>
      </c>
      <c r="M194" s="22">
        <v>0.35</v>
      </c>
      <c r="N194" s="22">
        <v>0.33</v>
      </c>
      <c r="O194" s="22">
        <v>0.32</v>
      </c>
      <c r="P194" s="22">
        <v>0.3</v>
      </c>
      <c r="Q194" s="22">
        <v>0.25</v>
      </c>
      <c r="R194" s="22">
        <v>0.2</v>
      </c>
      <c r="S194" s="22">
        <v>0.15</v>
      </c>
      <c r="T194" s="22">
        <v>0.1</v>
      </c>
      <c r="U194" s="23"/>
      <c r="X194" s="16" t="s">
        <v>48</v>
      </c>
      <c r="Y194" s="16" t="s">
        <v>49</v>
      </c>
      <c r="Z194" s="17">
        <v>20</v>
      </c>
      <c r="AA194" s="17">
        <v>30</v>
      </c>
      <c r="AB194" s="17">
        <v>40</v>
      </c>
      <c r="AC194" s="17">
        <v>50</v>
      </c>
      <c r="AD194" s="17">
        <v>60</v>
      </c>
      <c r="AE194" s="17">
        <v>70</v>
      </c>
      <c r="AF194" s="17">
        <v>80</v>
      </c>
      <c r="AG194" s="17">
        <v>90</v>
      </c>
      <c r="AH194" s="17">
        <v>100</v>
      </c>
      <c r="AI194" s="17">
        <v>110</v>
      </c>
      <c r="AJ194" s="17">
        <v>120</v>
      </c>
      <c r="AK194" s="17">
        <v>130</v>
      </c>
      <c r="AL194" s="17">
        <v>140</v>
      </c>
      <c r="AM194" s="17">
        <v>150</v>
      </c>
      <c r="AN194" s="17">
        <v>160</v>
      </c>
      <c r="AO194" s="17">
        <v>170</v>
      </c>
      <c r="AP194" s="17">
        <v>180</v>
      </c>
      <c r="AQ194" s="17">
        <v>190</v>
      </c>
      <c r="AR194" s="17">
        <v>200</v>
      </c>
    </row>
    <row r="195" spans="9:44">
      <c r="I195" s="5">
        <v>111</v>
      </c>
      <c r="J195" s="22">
        <f t="shared" ref="J195:T195" si="12">(J194+J197)/2</f>
        <v>0.47875000000000006</v>
      </c>
      <c r="K195" s="22">
        <f t="shared" si="12"/>
        <v>0.45875000000000005</v>
      </c>
      <c r="L195" s="22">
        <f t="shared" si="12"/>
        <v>0.44749999999999995</v>
      </c>
      <c r="M195" s="22">
        <f t="shared" si="12"/>
        <v>0.42749999999999994</v>
      </c>
      <c r="N195" s="22">
        <f t="shared" si="12"/>
        <v>0.40749999999999997</v>
      </c>
      <c r="O195" s="22">
        <f t="shared" si="12"/>
        <v>0.39624999999999999</v>
      </c>
      <c r="P195" s="22">
        <f t="shared" si="12"/>
        <v>0.37624999999999997</v>
      </c>
      <c r="Q195" s="22">
        <f t="shared" si="12"/>
        <v>0.32999999999999996</v>
      </c>
      <c r="R195" s="22">
        <f t="shared" si="12"/>
        <v>0.28374999999999995</v>
      </c>
      <c r="S195" s="22">
        <f t="shared" si="12"/>
        <v>0.23749999999999999</v>
      </c>
      <c r="T195" s="22">
        <f t="shared" si="12"/>
        <v>0.19124999999999998</v>
      </c>
      <c r="U195" s="23"/>
      <c r="X195" s="16" t="s">
        <v>55</v>
      </c>
      <c r="Y195" s="16" t="s">
        <v>56</v>
      </c>
      <c r="Z195" s="18">
        <v>0</v>
      </c>
      <c r="AA195" s="18">
        <v>0</v>
      </c>
      <c r="AB195" s="18">
        <v>0</v>
      </c>
      <c r="AC195" s="18">
        <v>0</v>
      </c>
      <c r="AD195" s="18">
        <v>0</v>
      </c>
      <c r="AE195" s="18">
        <v>0</v>
      </c>
      <c r="AF195" s="18">
        <v>0</v>
      </c>
      <c r="AG195" s="18">
        <v>0</v>
      </c>
      <c r="AH195" s="18">
        <v>0</v>
      </c>
      <c r="AI195" s="18">
        <v>0.2</v>
      </c>
      <c r="AJ195" s="18"/>
      <c r="AK195" s="18"/>
      <c r="AL195" s="18">
        <v>0.2</v>
      </c>
      <c r="AM195" s="18"/>
      <c r="AN195" s="18"/>
      <c r="AO195" s="18">
        <v>0.2</v>
      </c>
      <c r="AP195" s="18"/>
      <c r="AQ195" s="18"/>
      <c r="AR195" s="19">
        <v>0.2</v>
      </c>
    </row>
    <row r="196" spans="9:44">
      <c r="I196" s="5">
        <v>112</v>
      </c>
      <c r="J196" s="22">
        <f t="shared" ref="J196:T196" si="13">(J195+J197)/2</f>
        <v>0.51812500000000006</v>
      </c>
      <c r="K196" s="22">
        <f t="shared" si="13"/>
        <v>0.49812500000000004</v>
      </c>
      <c r="L196" s="22">
        <f t="shared" si="13"/>
        <v>0.48624999999999996</v>
      </c>
      <c r="M196" s="22">
        <f t="shared" si="13"/>
        <v>0.46624999999999994</v>
      </c>
      <c r="N196" s="22">
        <f t="shared" si="13"/>
        <v>0.44624999999999998</v>
      </c>
      <c r="O196" s="22">
        <f t="shared" si="13"/>
        <v>0.43437500000000001</v>
      </c>
      <c r="P196" s="22">
        <f t="shared" si="13"/>
        <v>0.41437499999999999</v>
      </c>
      <c r="Q196" s="22">
        <f t="shared" si="13"/>
        <v>0.37</v>
      </c>
      <c r="R196" s="22">
        <f t="shared" si="13"/>
        <v>0.32562499999999994</v>
      </c>
      <c r="S196" s="22">
        <f t="shared" si="13"/>
        <v>0.28125</v>
      </c>
      <c r="T196" s="22">
        <f t="shared" si="13"/>
        <v>0.23687499999999997</v>
      </c>
      <c r="U196" s="23"/>
    </row>
    <row r="197" spans="9:44">
      <c r="I197" s="5">
        <v>113</v>
      </c>
      <c r="J197" s="22">
        <f t="shared" ref="J197:T197" si="14">(J194+J199)/2</f>
        <v>0.55750000000000011</v>
      </c>
      <c r="K197" s="22">
        <f t="shared" si="14"/>
        <v>0.53750000000000009</v>
      </c>
      <c r="L197" s="22">
        <f t="shared" si="14"/>
        <v>0.52499999999999991</v>
      </c>
      <c r="M197" s="22">
        <f t="shared" si="14"/>
        <v>0.50499999999999989</v>
      </c>
      <c r="N197" s="22">
        <f t="shared" si="14"/>
        <v>0.48499999999999999</v>
      </c>
      <c r="O197" s="22">
        <f t="shared" si="14"/>
        <v>0.47250000000000003</v>
      </c>
      <c r="P197" s="22">
        <f t="shared" si="14"/>
        <v>0.45250000000000001</v>
      </c>
      <c r="Q197" s="22">
        <f t="shared" si="14"/>
        <v>0.41</v>
      </c>
      <c r="R197" s="22">
        <f t="shared" si="14"/>
        <v>0.36749999999999994</v>
      </c>
      <c r="S197" s="22">
        <f t="shared" si="14"/>
        <v>0.32499999999999996</v>
      </c>
      <c r="T197" s="22">
        <f t="shared" si="14"/>
        <v>0.28249999999999997</v>
      </c>
      <c r="U197" s="23"/>
    </row>
    <row r="198" spans="9:44">
      <c r="I198" s="5">
        <v>114</v>
      </c>
      <c r="J198" s="22">
        <f t="shared" ref="J198:T198" si="15">(J197+J199)/2</f>
        <v>0.63625000000000009</v>
      </c>
      <c r="K198" s="22">
        <f t="shared" si="15"/>
        <v>0.61625000000000008</v>
      </c>
      <c r="L198" s="22">
        <f t="shared" si="15"/>
        <v>0.60249999999999992</v>
      </c>
      <c r="M198" s="22">
        <f t="shared" si="15"/>
        <v>0.58249999999999991</v>
      </c>
      <c r="N198" s="22">
        <f t="shared" si="15"/>
        <v>0.5625</v>
      </c>
      <c r="O198" s="22">
        <f t="shared" si="15"/>
        <v>0.54875000000000007</v>
      </c>
      <c r="P198" s="22">
        <f t="shared" si="15"/>
        <v>0.52875000000000005</v>
      </c>
      <c r="Q198" s="22">
        <f t="shared" si="15"/>
        <v>0.49</v>
      </c>
      <c r="R198" s="22">
        <f t="shared" si="15"/>
        <v>0.45124999999999993</v>
      </c>
      <c r="S198" s="22">
        <f t="shared" si="15"/>
        <v>0.41249999999999998</v>
      </c>
      <c r="T198" s="22">
        <f t="shared" si="15"/>
        <v>0.37374999999999992</v>
      </c>
      <c r="U198" s="23"/>
    </row>
    <row r="199" spans="9:44">
      <c r="I199" s="5">
        <v>115</v>
      </c>
      <c r="J199" s="22">
        <f t="shared" ref="J199:T199" si="16">(J194+J204)/2</f>
        <v>0.71500000000000008</v>
      </c>
      <c r="K199" s="22">
        <f t="shared" si="16"/>
        <v>0.69500000000000006</v>
      </c>
      <c r="L199" s="22">
        <f t="shared" si="16"/>
        <v>0.67999999999999994</v>
      </c>
      <c r="M199" s="22">
        <f t="shared" si="16"/>
        <v>0.65999999999999992</v>
      </c>
      <c r="N199" s="22">
        <f t="shared" si="16"/>
        <v>0.64</v>
      </c>
      <c r="O199" s="22">
        <f t="shared" si="16"/>
        <v>0.625</v>
      </c>
      <c r="P199" s="22">
        <f t="shared" si="16"/>
        <v>0.60499999999999998</v>
      </c>
      <c r="Q199" s="22">
        <f t="shared" si="16"/>
        <v>0.56999999999999995</v>
      </c>
      <c r="R199" s="22">
        <f t="shared" si="16"/>
        <v>0.53499999999999992</v>
      </c>
      <c r="S199" s="22">
        <f t="shared" si="16"/>
        <v>0.49999999999999994</v>
      </c>
      <c r="T199" s="22">
        <f t="shared" si="16"/>
        <v>0.46499999999999991</v>
      </c>
      <c r="U199" s="23"/>
    </row>
    <row r="200" spans="9:44">
      <c r="I200" s="5">
        <v>116</v>
      </c>
      <c r="J200" s="22">
        <f t="shared" ref="J200:T200" si="17">(J199+J201)/2</f>
        <v>0.7740625000000001</v>
      </c>
      <c r="K200" s="22">
        <f t="shared" si="17"/>
        <v>0.75406250000000008</v>
      </c>
      <c r="L200" s="22">
        <f t="shared" si="17"/>
        <v>0.73812499999999992</v>
      </c>
      <c r="M200" s="22">
        <f t="shared" si="17"/>
        <v>0.7181249999999999</v>
      </c>
      <c r="N200" s="22">
        <f t="shared" si="17"/>
        <v>0.698125</v>
      </c>
      <c r="O200" s="22">
        <f t="shared" si="17"/>
        <v>0.68218749999999995</v>
      </c>
      <c r="P200" s="22">
        <f t="shared" si="17"/>
        <v>0.66218749999999993</v>
      </c>
      <c r="Q200" s="22">
        <f t="shared" si="17"/>
        <v>0.62999999999999989</v>
      </c>
      <c r="R200" s="22">
        <f t="shared" si="17"/>
        <v>0.59781249999999986</v>
      </c>
      <c r="S200" s="22">
        <f t="shared" si="17"/>
        <v>0.56562499999999993</v>
      </c>
      <c r="T200" s="22">
        <f t="shared" si="17"/>
        <v>0.5334374999999999</v>
      </c>
      <c r="U200" s="23"/>
    </row>
    <row r="201" spans="9:44">
      <c r="I201" s="5">
        <v>117</v>
      </c>
      <c r="J201" s="22">
        <f t="shared" ref="J201:T201" si="18">(J199+J203)/2</f>
        <v>0.83312500000000012</v>
      </c>
      <c r="K201" s="22">
        <f t="shared" si="18"/>
        <v>0.8131250000000001</v>
      </c>
      <c r="L201" s="22">
        <f t="shared" si="18"/>
        <v>0.7962499999999999</v>
      </c>
      <c r="M201" s="22">
        <f t="shared" si="18"/>
        <v>0.77624999999999988</v>
      </c>
      <c r="N201" s="22">
        <f t="shared" si="18"/>
        <v>0.75624999999999998</v>
      </c>
      <c r="O201" s="22">
        <f t="shared" si="18"/>
        <v>0.739375</v>
      </c>
      <c r="P201" s="22">
        <f t="shared" si="18"/>
        <v>0.71937499999999999</v>
      </c>
      <c r="Q201" s="22">
        <f t="shared" si="18"/>
        <v>0.69</v>
      </c>
      <c r="R201" s="22">
        <f t="shared" si="18"/>
        <v>0.66062499999999991</v>
      </c>
      <c r="S201" s="22">
        <f t="shared" si="18"/>
        <v>0.63124999999999998</v>
      </c>
      <c r="T201" s="22">
        <f t="shared" si="18"/>
        <v>0.60187499999999983</v>
      </c>
      <c r="U201" s="23"/>
    </row>
    <row r="202" spans="9:44">
      <c r="I202" s="5">
        <v>118</v>
      </c>
      <c r="J202" s="22">
        <f t="shared" ref="J202:T202" si="19">(J199+J204)/2</f>
        <v>0.87250000000000005</v>
      </c>
      <c r="K202" s="22">
        <f t="shared" si="19"/>
        <v>0.85250000000000004</v>
      </c>
      <c r="L202" s="22">
        <f t="shared" si="19"/>
        <v>0.83499999999999996</v>
      </c>
      <c r="M202" s="22">
        <f t="shared" si="19"/>
        <v>0.81499999999999995</v>
      </c>
      <c r="N202" s="22">
        <f t="shared" si="19"/>
        <v>0.79499999999999993</v>
      </c>
      <c r="O202" s="22">
        <f t="shared" si="19"/>
        <v>0.77749999999999997</v>
      </c>
      <c r="P202" s="22">
        <f t="shared" si="19"/>
        <v>0.75749999999999995</v>
      </c>
      <c r="Q202" s="22">
        <f t="shared" si="19"/>
        <v>0.73</v>
      </c>
      <c r="R202" s="22">
        <f t="shared" si="19"/>
        <v>0.7024999999999999</v>
      </c>
      <c r="S202" s="22">
        <f t="shared" si="19"/>
        <v>0.67499999999999993</v>
      </c>
      <c r="T202" s="22">
        <f t="shared" si="19"/>
        <v>0.64749999999999985</v>
      </c>
      <c r="U202" s="23"/>
    </row>
    <row r="203" spans="9:44">
      <c r="I203" s="5">
        <v>119</v>
      </c>
      <c r="J203" s="22">
        <f t="shared" ref="J203:T203" si="20">(J202+J204)/2</f>
        <v>0.95125000000000004</v>
      </c>
      <c r="K203" s="22">
        <f t="shared" si="20"/>
        <v>0.93125000000000002</v>
      </c>
      <c r="L203" s="22">
        <f t="shared" si="20"/>
        <v>0.91249999999999998</v>
      </c>
      <c r="M203" s="22">
        <f t="shared" si="20"/>
        <v>0.89249999999999996</v>
      </c>
      <c r="N203" s="22">
        <f t="shared" si="20"/>
        <v>0.87249999999999994</v>
      </c>
      <c r="O203" s="22">
        <f t="shared" si="20"/>
        <v>0.85375000000000001</v>
      </c>
      <c r="P203" s="22">
        <f t="shared" si="20"/>
        <v>0.83374999999999999</v>
      </c>
      <c r="Q203" s="22">
        <f t="shared" si="20"/>
        <v>0.80999999999999994</v>
      </c>
      <c r="R203" s="22">
        <f t="shared" si="20"/>
        <v>0.78624999999999989</v>
      </c>
      <c r="S203" s="22">
        <f t="shared" si="20"/>
        <v>0.76249999999999996</v>
      </c>
      <c r="T203" s="22">
        <f t="shared" si="20"/>
        <v>0.7387499999999998</v>
      </c>
      <c r="U203" s="23"/>
    </row>
    <row r="204" spans="9:44">
      <c r="I204" s="5">
        <v>120</v>
      </c>
      <c r="J204" s="21">
        <v>1.03</v>
      </c>
      <c r="K204" s="22">
        <f>J204-0.02</f>
        <v>1.01</v>
      </c>
      <c r="L204" s="22">
        <f t="shared" ref="L204:T204" si="21">K204-0.02</f>
        <v>0.99</v>
      </c>
      <c r="M204" s="22">
        <f t="shared" si="21"/>
        <v>0.97</v>
      </c>
      <c r="N204" s="22">
        <f t="shared" si="21"/>
        <v>0.95</v>
      </c>
      <c r="O204" s="22">
        <f t="shared" si="21"/>
        <v>0.92999999999999994</v>
      </c>
      <c r="P204" s="22">
        <f t="shared" si="21"/>
        <v>0.90999999999999992</v>
      </c>
      <c r="Q204" s="22">
        <f t="shared" si="21"/>
        <v>0.8899999999999999</v>
      </c>
      <c r="R204" s="22">
        <f t="shared" si="21"/>
        <v>0.86999999999999988</v>
      </c>
      <c r="S204" s="22">
        <f t="shared" si="21"/>
        <v>0.84999999999999987</v>
      </c>
      <c r="T204" s="22">
        <f t="shared" si="21"/>
        <v>0.82999999999999985</v>
      </c>
      <c r="U204" s="23"/>
    </row>
    <row r="205" spans="9:44">
      <c r="I205" s="5">
        <v>121</v>
      </c>
      <c r="J205" s="22">
        <f t="shared" ref="J205:T205" si="22">(J204+J207)/2</f>
        <v>1.1200000000000001</v>
      </c>
      <c r="K205" s="22">
        <f t="shared" si="22"/>
        <v>1.1000000000000001</v>
      </c>
      <c r="L205" s="22">
        <f t="shared" si="22"/>
        <v>1.08</v>
      </c>
      <c r="M205" s="22">
        <f t="shared" si="22"/>
        <v>1.06</v>
      </c>
      <c r="N205" s="22">
        <f t="shared" si="22"/>
        <v>1.04</v>
      </c>
      <c r="O205" s="22">
        <f t="shared" si="22"/>
        <v>1.02</v>
      </c>
      <c r="P205" s="22">
        <f t="shared" si="22"/>
        <v>0.99999999999999989</v>
      </c>
      <c r="Q205" s="22">
        <f t="shared" si="22"/>
        <v>0.97999999999999987</v>
      </c>
      <c r="R205" s="22">
        <f t="shared" si="22"/>
        <v>0.95999999999999985</v>
      </c>
      <c r="S205" s="22">
        <f t="shared" si="22"/>
        <v>0.93999999999999984</v>
      </c>
      <c r="T205" s="22">
        <f t="shared" si="22"/>
        <v>0.91999999999999982</v>
      </c>
      <c r="U205" s="23"/>
    </row>
    <row r="206" spans="9:44">
      <c r="I206" s="5">
        <v>122</v>
      </c>
      <c r="J206" s="22">
        <f t="shared" ref="J206:T206" si="23">(J205+J207)/2</f>
        <v>1.165</v>
      </c>
      <c r="K206" s="22">
        <f t="shared" si="23"/>
        <v>1.145</v>
      </c>
      <c r="L206" s="22">
        <f t="shared" si="23"/>
        <v>1.125</v>
      </c>
      <c r="M206" s="22">
        <f t="shared" si="23"/>
        <v>1.105</v>
      </c>
      <c r="N206" s="22">
        <f t="shared" si="23"/>
        <v>1.085</v>
      </c>
      <c r="O206" s="22">
        <f t="shared" si="23"/>
        <v>1.0649999999999999</v>
      </c>
      <c r="P206" s="22">
        <f t="shared" si="23"/>
        <v>1.0449999999999999</v>
      </c>
      <c r="Q206" s="22">
        <f t="shared" si="23"/>
        <v>1.0249999999999999</v>
      </c>
      <c r="R206" s="22">
        <f t="shared" si="23"/>
        <v>1.0049999999999999</v>
      </c>
      <c r="S206" s="22">
        <f t="shared" si="23"/>
        <v>0.98499999999999988</v>
      </c>
      <c r="T206" s="22">
        <f t="shared" si="23"/>
        <v>0.96499999999999986</v>
      </c>
      <c r="U206" s="23"/>
    </row>
    <row r="207" spans="9:44">
      <c r="I207" s="5">
        <v>123</v>
      </c>
      <c r="J207" s="22">
        <f t="shared" ref="J207:T207" si="24">(J204+J209)/2</f>
        <v>1.21</v>
      </c>
      <c r="K207" s="22">
        <f t="shared" si="24"/>
        <v>1.19</v>
      </c>
      <c r="L207" s="22">
        <f t="shared" si="24"/>
        <v>1.17</v>
      </c>
      <c r="M207" s="22">
        <f t="shared" si="24"/>
        <v>1.1499999999999999</v>
      </c>
      <c r="N207" s="22">
        <f t="shared" si="24"/>
        <v>1.1299999999999999</v>
      </c>
      <c r="O207" s="22">
        <f t="shared" si="24"/>
        <v>1.1099999999999999</v>
      </c>
      <c r="P207" s="22">
        <f t="shared" si="24"/>
        <v>1.0899999999999999</v>
      </c>
      <c r="Q207" s="22">
        <f t="shared" si="24"/>
        <v>1.0699999999999998</v>
      </c>
      <c r="R207" s="22">
        <f t="shared" si="24"/>
        <v>1.0499999999999998</v>
      </c>
      <c r="S207" s="22">
        <f t="shared" si="24"/>
        <v>1.0299999999999998</v>
      </c>
      <c r="T207" s="22">
        <f t="shared" si="24"/>
        <v>1.0099999999999998</v>
      </c>
      <c r="U207" s="23"/>
    </row>
    <row r="208" spans="9:44">
      <c r="I208" s="5">
        <v>124</v>
      </c>
      <c r="J208" s="22">
        <f t="shared" ref="J208:T208" si="25">(J207+J209)/2</f>
        <v>1.3</v>
      </c>
      <c r="K208" s="22">
        <f t="shared" si="25"/>
        <v>1.28</v>
      </c>
      <c r="L208" s="22">
        <f t="shared" si="25"/>
        <v>1.26</v>
      </c>
      <c r="M208" s="22">
        <f t="shared" si="25"/>
        <v>1.24</v>
      </c>
      <c r="N208" s="22">
        <f t="shared" si="25"/>
        <v>1.22</v>
      </c>
      <c r="O208" s="22">
        <f t="shared" si="25"/>
        <v>1.2</v>
      </c>
      <c r="P208" s="22">
        <f t="shared" si="25"/>
        <v>1.18</v>
      </c>
      <c r="Q208" s="22">
        <f t="shared" si="25"/>
        <v>1.1599999999999999</v>
      </c>
      <c r="R208" s="22">
        <f t="shared" si="25"/>
        <v>1.1399999999999999</v>
      </c>
      <c r="S208" s="22">
        <f t="shared" si="25"/>
        <v>1.1199999999999999</v>
      </c>
      <c r="T208" s="22">
        <f t="shared" si="25"/>
        <v>1.0999999999999999</v>
      </c>
      <c r="U208" s="23"/>
    </row>
    <row r="209" spans="9:21">
      <c r="I209" s="5">
        <v>125</v>
      </c>
      <c r="J209" s="22">
        <f t="shared" ref="J209:T209" si="26">(J204+J214)/2</f>
        <v>1.3900000000000001</v>
      </c>
      <c r="K209" s="22">
        <f t="shared" si="26"/>
        <v>1.37</v>
      </c>
      <c r="L209" s="22">
        <f t="shared" si="26"/>
        <v>1.35</v>
      </c>
      <c r="M209" s="22">
        <f t="shared" si="26"/>
        <v>1.33</v>
      </c>
      <c r="N209" s="22">
        <f t="shared" si="26"/>
        <v>1.31</v>
      </c>
      <c r="O209" s="22">
        <f t="shared" si="26"/>
        <v>1.29</v>
      </c>
      <c r="P209" s="22">
        <f t="shared" si="26"/>
        <v>1.27</v>
      </c>
      <c r="Q209" s="22">
        <f t="shared" si="26"/>
        <v>1.25</v>
      </c>
      <c r="R209" s="22">
        <f t="shared" si="26"/>
        <v>1.23</v>
      </c>
      <c r="S209" s="22">
        <f t="shared" si="26"/>
        <v>1.21</v>
      </c>
      <c r="T209" s="22">
        <f t="shared" si="26"/>
        <v>1.19</v>
      </c>
      <c r="U209" s="23"/>
    </row>
    <row r="210" spans="9:21">
      <c r="I210" s="5">
        <v>126</v>
      </c>
      <c r="J210" s="22">
        <f t="shared" ref="J210:T210" si="27">(J209+J211)/2</f>
        <v>1.4575</v>
      </c>
      <c r="K210" s="22">
        <f t="shared" si="27"/>
        <v>1.4375</v>
      </c>
      <c r="L210" s="22">
        <f t="shared" si="27"/>
        <v>1.4175</v>
      </c>
      <c r="M210" s="22">
        <f t="shared" si="27"/>
        <v>1.3975</v>
      </c>
      <c r="N210" s="22">
        <f t="shared" si="27"/>
        <v>1.3774999999999999</v>
      </c>
      <c r="O210" s="22">
        <f t="shared" si="27"/>
        <v>1.3574999999999999</v>
      </c>
      <c r="P210" s="22">
        <f t="shared" si="27"/>
        <v>1.3374999999999999</v>
      </c>
      <c r="Q210" s="22">
        <f t="shared" si="27"/>
        <v>1.3174999999999999</v>
      </c>
      <c r="R210" s="22">
        <f t="shared" si="27"/>
        <v>1.2974999999999999</v>
      </c>
      <c r="S210" s="22">
        <f t="shared" si="27"/>
        <v>1.2774999999999999</v>
      </c>
      <c r="T210" s="22">
        <f t="shared" si="27"/>
        <v>1.2574999999999998</v>
      </c>
      <c r="U210" s="23"/>
    </row>
    <row r="211" spans="9:21">
      <c r="I211" s="5">
        <v>127</v>
      </c>
      <c r="J211" s="22">
        <f t="shared" ref="J211:T211" si="28">(J209+J213)/2</f>
        <v>1.5250000000000001</v>
      </c>
      <c r="K211" s="22">
        <f t="shared" si="28"/>
        <v>1.5050000000000001</v>
      </c>
      <c r="L211" s="22">
        <f t="shared" si="28"/>
        <v>1.4850000000000001</v>
      </c>
      <c r="M211" s="22">
        <f t="shared" si="28"/>
        <v>1.4650000000000001</v>
      </c>
      <c r="N211" s="22">
        <f t="shared" si="28"/>
        <v>1.4450000000000001</v>
      </c>
      <c r="O211" s="22">
        <f t="shared" si="28"/>
        <v>1.425</v>
      </c>
      <c r="P211" s="22">
        <f t="shared" si="28"/>
        <v>1.405</v>
      </c>
      <c r="Q211" s="22">
        <f t="shared" si="28"/>
        <v>1.385</v>
      </c>
      <c r="R211" s="22">
        <f t="shared" si="28"/>
        <v>1.365</v>
      </c>
      <c r="S211" s="22">
        <f t="shared" si="28"/>
        <v>1.345</v>
      </c>
      <c r="T211" s="22">
        <f t="shared" si="28"/>
        <v>1.325</v>
      </c>
      <c r="U211" s="23"/>
    </row>
    <row r="212" spans="9:21">
      <c r="I212" s="5">
        <v>128</v>
      </c>
      <c r="J212" s="22">
        <f t="shared" ref="J212:T212" si="29">(J209+J214)/2</f>
        <v>1.57</v>
      </c>
      <c r="K212" s="22">
        <f t="shared" si="29"/>
        <v>1.55</v>
      </c>
      <c r="L212" s="22">
        <f t="shared" si="29"/>
        <v>1.53</v>
      </c>
      <c r="M212" s="22">
        <f t="shared" si="29"/>
        <v>1.51</v>
      </c>
      <c r="N212" s="22">
        <f t="shared" si="29"/>
        <v>1.49</v>
      </c>
      <c r="O212" s="22">
        <f t="shared" si="29"/>
        <v>1.47</v>
      </c>
      <c r="P212" s="22">
        <f t="shared" si="29"/>
        <v>1.45</v>
      </c>
      <c r="Q212" s="22">
        <f t="shared" si="29"/>
        <v>1.43</v>
      </c>
      <c r="R212" s="22">
        <f t="shared" si="29"/>
        <v>1.41</v>
      </c>
      <c r="S212" s="22">
        <f t="shared" si="29"/>
        <v>1.39</v>
      </c>
      <c r="T212" s="22">
        <f t="shared" si="29"/>
        <v>1.3699999999999999</v>
      </c>
      <c r="U212" s="23"/>
    </row>
    <row r="213" spans="9:21">
      <c r="I213" s="5">
        <v>129</v>
      </c>
      <c r="J213" s="22">
        <f t="shared" ref="J213:T213" si="30">(J212+J214)/2</f>
        <v>1.6600000000000001</v>
      </c>
      <c r="K213" s="22">
        <f t="shared" si="30"/>
        <v>1.6400000000000001</v>
      </c>
      <c r="L213" s="22">
        <f t="shared" si="30"/>
        <v>1.62</v>
      </c>
      <c r="M213" s="22">
        <f t="shared" si="30"/>
        <v>1.6</v>
      </c>
      <c r="N213" s="22">
        <f t="shared" si="30"/>
        <v>1.58</v>
      </c>
      <c r="O213" s="22">
        <f t="shared" si="30"/>
        <v>1.56</v>
      </c>
      <c r="P213" s="22">
        <f t="shared" si="30"/>
        <v>1.54</v>
      </c>
      <c r="Q213" s="22">
        <f t="shared" si="30"/>
        <v>1.52</v>
      </c>
      <c r="R213" s="22">
        <f t="shared" si="30"/>
        <v>1.5</v>
      </c>
      <c r="S213" s="22">
        <f t="shared" si="30"/>
        <v>1.48</v>
      </c>
      <c r="T213" s="22">
        <f t="shared" si="30"/>
        <v>1.46</v>
      </c>
      <c r="U213" s="23"/>
    </row>
    <row r="214" spans="9:21">
      <c r="I214" s="5">
        <v>130</v>
      </c>
      <c r="J214" s="21">
        <v>1.75</v>
      </c>
      <c r="K214" s="22">
        <f>J214-0.02</f>
        <v>1.73</v>
      </c>
      <c r="L214" s="22">
        <f t="shared" ref="L214:T214" si="31">K214-0.02</f>
        <v>1.71</v>
      </c>
      <c r="M214" s="22">
        <f t="shared" si="31"/>
        <v>1.69</v>
      </c>
      <c r="N214" s="22">
        <f t="shared" si="31"/>
        <v>1.67</v>
      </c>
      <c r="O214" s="22">
        <f t="shared" si="31"/>
        <v>1.65</v>
      </c>
      <c r="P214" s="22">
        <f t="shared" si="31"/>
        <v>1.63</v>
      </c>
      <c r="Q214" s="22">
        <f t="shared" si="31"/>
        <v>1.6099999999999999</v>
      </c>
      <c r="R214" s="22">
        <f t="shared" si="31"/>
        <v>1.5899999999999999</v>
      </c>
      <c r="S214" s="22">
        <f t="shared" si="31"/>
        <v>1.5699999999999998</v>
      </c>
      <c r="T214" s="22">
        <f t="shared" si="31"/>
        <v>1.5499999999999998</v>
      </c>
      <c r="U214" s="23"/>
    </row>
    <row r="215" spans="9:21">
      <c r="I215" s="5">
        <v>131</v>
      </c>
      <c r="J215" s="22">
        <f t="shared" ref="J215:T215" si="32">(J214+J217)/2</f>
        <v>1.8674999999999999</v>
      </c>
      <c r="K215" s="22">
        <f t="shared" si="32"/>
        <v>1.8475000000000001</v>
      </c>
      <c r="L215" s="22">
        <f t="shared" si="32"/>
        <v>1.8274999999999999</v>
      </c>
      <c r="M215" s="22">
        <f t="shared" si="32"/>
        <v>1.8075000000000001</v>
      </c>
      <c r="N215" s="22">
        <f t="shared" si="32"/>
        <v>1.7874999999999999</v>
      </c>
      <c r="O215" s="22">
        <f t="shared" si="32"/>
        <v>1.7675000000000001</v>
      </c>
      <c r="P215" s="22">
        <f t="shared" si="32"/>
        <v>1.7474999999999998</v>
      </c>
      <c r="Q215" s="22">
        <f t="shared" si="32"/>
        <v>1.7275</v>
      </c>
      <c r="R215" s="22">
        <f t="shared" si="32"/>
        <v>1.7074999999999998</v>
      </c>
      <c r="S215" s="22">
        <f t="shared" si="32"/>
        <v>1.6875</v>
      </c>
      <c r="T215" s="22">
        <f t="shared" si="32"/>
        <v>1.6674999999999998</v>
      </c>
      <c r="U215" s="23"/>
    </row>
    <row r="216" spans="9:21">
      <c r="I216" s="5">
        <v>132</v>
      </c>
      <c r="J216" s="22">
        <f t="shared" ref="J216:T216" si="33">(J215+J217)/2</f>
        <v>1.92625</v>
      </c>
      <c r="K216" s="22">
        <f t="shared" si="33"/>
        <v>1.90625</v>
      </c>
      <c r="L216" s="22">
        <f t="shared" si="33"/>
        <v>1.88625</v>
      </c>
      <c r="M216" s="22">
        <f t="shared" si="33"/>
        <v>1.86625</v>
      </c>
      <c r="N216" s="22">
        <f t="shared" si="33"/>
        <v>1.8462499999999999</v>
      </c>
      <c r="O216" s="22">
        <f t="shared" si="33"/>
        <v>1.8262499999999999</v>
      </c>
      <c r="P216" s="22">
        <f t="shared" si="33"/>
        <v>1.8062499999999999</v>
      </c>
      <c r="Q216" s="22">
        <f t="shared" si="33"/>
        <v>1.7862499999999999</v>
      </c>
      <c r="R216" s="22">
        <f t="shared" si="33"/>
        <v>1.7662499999999999</v>
      </c>
      <c r="S216" s="22">
        <f t="shared" si="33"/>
        <v>1.7462499999999999</v>
      </c>
      <c r="T216" s="22">
        <f t="shared" si="33"/>
        <v>1.7262499999999998</v>
      </c>
      <c r="U216" s="23"/>
    </row>
    <row r="217" spans="9:21">
      <c r="I217" s="5">
        <v>133</v>
      </c>
      <c r="J217" s="22">
        <f t="shared" ref="J217:T217" si="34">(J214+J219)/2</f>
        <v>1.9849999999999999</v>
      </c>
      <c r="K217" s="22">
        <f t="shared" si="34"/>
        <v>1.9650000000000001</v>
      </c>
      <c r="L217" s="22">
        <f t="shared" si="34"/>
        <v>1.9449999999999998</v>
      </c>
      <c r="M217" s="22">
        <f t="shared" si="34"/>
        <v>1.925</v>
      </c>
      <c r="N217" s="22">
        <f t="shared" si="34"/>
        <v>1.9049999999999998</v>
      </c>
      <c r="O217" s="22">
        <f t="shared" si="34"/>
        <v>1.885</v>
      </c>
      <c r="P217" s="22">
        <f t="shared" si="34"/>
        <v>1.8649999999999998</v>
      </c>
      <c r="Q217" s="22">
        <f t="shared" si="34"/>
        <v>1.845</v>
      </c>
      <c r="R217" s="22">
        <f t="shared" si="34"/>
        <v>1.8249999999999997</v>
      </c>
      <c r="S217" s="22">
        <f t="shared" si="34"/>
        <v>1.8049999999999999</v>
      </c>
      <c r="T217" s="22">
        <f t="shared" si="34"/>
        <v>1.7849999999999997</v>
      </c>
      <c r="U217" s="23"/>
    </row>
    <row r="218" spans="9:21">
      <c r="I218" s="5">
        <v>134</v>
      </c>
      <c r="J218" s="22">
        <f t="shared" ref="J218:T218" si="35">(J217+J219)/2</f>
        <v>2.1025</v>
      </c>
      <c r="K218" s="22">
        <f t="shared" si="35"/>
        <v>2.0825</v>
      </c>
      <c r="L218" s="22">
        <f t="shared" si="35"/>
        <v>2.0625</v>
      </c>
      <c r="M218" s="22">
        <f t="shared" si="35"/>
        <v>2.0425</v>
      </c>
      <c r="N218" s="22">
        <f t="shared" si="35"/>
        <v>2.0225</v>
      </c>
      <c r="O218" s="22">
        <f t="shared" si="35"/>
        <v>2.0024999999999999</v>
      </c>
      <c r="P218" s="22">
        <f t="shared" si="35"/>
        <v>1.9824999999999997</v>
      </c>
      <c r="Q218" s="22">
        <f t="shared" si="35"/>
        <v>1.9624999999999999</v>
      </c>
      <c r="R218" s="22">
        <f t="shared" si="35"/>
        <v>1.9424999999999997</v>
      </c>
      <c r="S218" s="22">
        <f t="shared" si="35"/>
        <v>1.9224999999999999</v>
      </c>
      <c r="T218" s="22">
        <f t="shared" si="35"/>
        <v>1.9024999999999996</v>
      </c>
      <c r="U218" s="23"/>
    </row>
    <row r="219" spans="9:21">
      <c r="I219" s="5">
        <v>135</v>
      </c>
      <c r="J219" s="22">
        <f t="shared" ref="J219:T219" si="36">(J214+J224)/2</f>
        <v>2.2199999999999998</v>
      </c>
      <c r="K219" s="22">
        <f t="shared" si="36"/>
        <v>2.2000000000000002</v>
      </c>
      <c r="L219" s="22">
        <f t="shared" si="36"/>
        <v>2.1799999999999997</v>
      </c>
      <c r="M219" s="22">
        <f t="shared" si="36"/>
        <v>2.16</v>
      </c>
      <c r="N219" s="22">
        <f t="shared" si="36"/>
        <v>2.1399999999999997</v>
      </c>
      <c r="O219" s="22">
        <f t="shared" si="36"/>
        <v>2.12</v>
      </c>
      <c r="P219" s="22">
        <f t="shared" si="36"/>
        <v>2.0999999999999996</v>
      </c>
      <c r="Q219" s="22">
        <f t="shared" si="36"/>
        <v>2.08</v>
      </c>
      <c r="R219" s="22">
        <f t="shared" si="36"/>
        <v>2.0599999999999996</v>
      </c>
      <c r="S219" s="22">
        <f t="shared" si="36"/>
        <v>2.04</v>
      </c>
      <c r="T219" s="22">
        <f t="shared" si="36"/>
        <v>2.0199999999999996</v>
      </c>
      <c r="U219" s="23"/>
    </row>
    <row r="220" spans="9:21">
      <c r="I220" s="5">
        <v>136</v>
      </c>
      <c r="J220" s="22">
        <f t="shared" ref="J220:T220" si="37">(J219+J221)/2</f>
        <v>2.3081249999999995</v>
      </c>
      <c r="K220" s="22">
        <f t="shared" si="37"/>
        <v>2.288125</v>
      </c>
      <c r="L220" s="22">
        <f t="shared" si="37"/>
        <v>2.2681249999999995</v>
      </c>
      <c r="M220" s="22">
        <f t="shared" si="37"/>
        <v>2.2481249999999999</v>
      </c>
      <c r="N220" s="22">
        <f t="shared" si="37"/>
        <v>2.2281249999999995</v>
      </c>
      <c r="O220" s="22">
        <f t="shared" si="37"/>
        <v>2.2081249999999999</v>
      </c>
      <c r="P220" s="22">
        <f t="shared" si="37"/>
        <v>2.1881249999999994</v>
      </c>
      <c r="Q220" s="22">
        <f t="shared" si="37"/>
        <v>2.1681249999999999</v>
      </c>
      <c r="R220" s="22">
        <f t="shared" si="37"/>
        <v>2.1481249999999994</v>
      </c>
      <c r="S220" s="22">
        <f t="shared" si="37"/>
        <v>2.1281249999999998</v>
      </c>
      <c r="T220" s="22">
        <f t="shared" si="37"/>
        <v>2.1081249999999994</v>
      </c>
      <c r="U220" s="23"/>
    </row>
    <row r="221" spans="9:21">
      <c r="I221" s="5">
        <v>137</v>
      </c>
      <c r="J221" s="22">
        <f t="shared" ref="J221:T221" si="38">(J219+J223)/2</f>
        <v>2.3962499999999998</v>
      </c>
      <c r="K221" s="22">
        <f t="shared" si="38"/>
        <v>2.3762500000000002</v>
      </c>
      <c r="L221" s="22">
        <f t="shared" si="38"/>
        <v>2.3562499999999997</v>
      </c>
      <c r="M221" s="22">
        <f t="shared" si="38"/>
        <v>2.3362500000000002</v>
      </c>
      <c r="N221" s="22">
        <f t="shared" si="38"/>
        <v>2.3162499999999997</v>
      </c>
      <c r="O221" s="22">
        <f t="shared" si="38"/>
        <v>2.2962500000000001</v>
      </c>
      <c r="P221" s="22">
        <f t="shared" si="38"/>
        <v>2.2762499999999997</v>
      </c>
      <c r="Q221" s="22">
        <f t="shared" si="38"/>
        <v>2.2562500000000001</v>
      </c>
      <c r="R221" s="22">
        <f t="shared" si="38"/>
        <v>2.2362499999999996</v>
      </c>
      <c r="S221" s="22">
        <f t="shared" si="38"/>
        <v>2.2162500000000001</v>
      </c>
      <c r="T221" s="22">
        <f t="shared" si="38"/>
        <v>2.1962499999999996</v>
      </c>
      <c r="U221" s="23"/>
    </row>
    <row r="222" spans="9:21">
      <c r="I222" s="5">
        <v>138</v>
      </c>
      <c r="J222" s="22">
        <f t="shared" ref="J222:T222" si="39">(J219+J224)/2</f>
        <v>2.4550000000000001</v>
      </c>
      <c r="K222" s="22">
        <f t="shared" si="39"/>
        <v>2.4350000000000001</v>
      </c>
      <c r="L222" s="22">
        <f t="shared" si="39"/>
        <v>2.415</v>
      </c>
      <c r="M222" s="22">
        <f t="shared" si="39"/>
        <v>2.395</v>
      </c>
      <c r="N222" s="22">
        <f t="shared" si="39"/>
        <v>2.375</v>
      </c>
      <c r="O222" s="22">
        <f t="shared" si="39"/>
        <v>2.355</v>
      </c>
      <c r="P222" s="22">
        <f t="shared" si="39"/>
        <v>2.335</v>
      </c>
      <c r="Q222" s="22">
        <f t="shared" si="39"/>
        <v>2.3149999999999999</v>
      </c>
      <c r="R222" s="22">
        <f t="shared" si="39"/>
        <v>2.2949999999999999</v>
      </c>
      <c r="S222" s="22">
        <f t="shared" si="39"/>
        <v>2.2749999999999999</v>
      </c>
      <c r="T222" s="22">
        <f t="shared" si="39"/>
        <v>2.2549999999999999</v>
      </c>
      <c r="U222" s="23"/>
    </row>
    <row r="223" spans="9:21">
      <c r="I223" s="5">
        <v>139</v>
      </c>
      <c r="J223" s="22">
        <f t="shared" ref="J223:T223" si="40">(J222+J224)/2</f>
        <v>2.5724999999999998</v>
      </c>
      <c r="K223" s="22">
        <f t="shared" si="40"/>
        <v>2.5525000000000002</v>
      </c>
      <c r="L223" s="22">
        <f t="shared" si="40"/>
        <v>2.5324999999999998</v>
      </c>
      <c r="M223" s="22">
        <f t="shared" si="40"/>
        <v>2.5125000000000002</v>
      </c>
      <c r="N223" s="22">
        <f t="shared" si="40"/>
        <v>2.4924999999999997</v>
      </c>
      <c r="O223" s="22">
        <f t="shared" si="40"/>
        <v>2.4725000000000001</v>
      </c>
      <c r="P223" s="22">
        <f t="shared" si="40"/>
        <v>2.4524999999999997</v>
      </c>
      <c r="Q223" s="22">
        <f t="shared" si="40"/>
        <v>2.4325000000000001</v>
      </c>
      <c r="R223" s="22">
        <f t="shared" si="40"/>
        <v>2.4124999999999996</v>
      </c>
      <c r="S223" s="22">
        <f t="shared" si="40"/>
        <v>2.3925000000000001</v>
      </c>
      <c r="T223" s="22">
        <f t="shared" si="40"/>
        <v>2.3724999999999996</v>
      </c>
      <c r="U223" s="23"/>
    </row>
    <row r="224" spans="9:21">
      <c r="I224" s="5">
        <v>140</v>
      </c>
      <c r="J224" s="21">
        <v>2.69</v>
      </c>
      <c r="K224" s="22">
        <f>J224-0.02</f>
        <v>2.67</v>
      </c>
      <c r="L224" s="22">
        <f t="shared" ref="L224:T224" si="41">K224-0.02</f>
        <v>2.65</v>
      </c>
      <c r="M224" s="22">
        <f t="shared" si="41"/>
        <v>2.63</v>
      </c>
      <c r="N224" s="22">
        <f t="shared" si="41"/>
        <v>2.61</v>
      </c>
      <c r="O224" s="22">
        <f t="shared" si="41"/>
        <v>2.59</v>
      </c>
      <c r="P224" s="22">
        <f t="shared" si="41"/>
        <v>2.57</v>
      </c>
      <c r="Q224" s="22">
        <f t="shared" si="41"/>
        <v>2.5499999999999998</v>
      </c>
      <c r="R224" s="22">
        <f t="shared" si="41"/>
        <v>2.5299999999999998</v>
      </c>
      <c r="S224" s="22">
        <f t="shared" si="41"/>
        <v>2.5099999999999998</v>
      </c>
      <c r="T224" s="22">
        <f t="shared" si="41"/>
        <v>2.4899999999999998</v>
      </c>
      <c r="U224" s="23"/>
    </row>
    <row r="225" spans="9:36">
      <c r="I225" s="5">
        <v>141</v>
      </c>
      <c r="J225" s="22">
        <f t="shared" ref="J225:T225" si="42">(J224+J227)/2</f>
        <v>2.835</v>
      </c>
      <c r="K225" s="22">
        <f t="shared" si="42"/>
        <v>2.8149999999999999</v>
      </c>
      <c r="L225" s="22">
        <f t="shared" si="42"/>
        <v>2.7949999999999999</v>
      </c>
      <c r="M225" s="22">
        <f t="shared" si="42"/>
        <v>2.7749999999999999</v>
      </c>
      <c r="N225" s="22">
        <f t="shared" si="42"/>
        <v>2.7549999999999999</v>
      </c>
      <c r="O225" s="22">
        <f t="shared" si="42"/>
        <v>2.7349999999999999</v>
      </c>
      <c r="P225" s="22">
        <f t="shared" si="42"/>
        <v>2.7149999999999999</v>
      </c>
      <c r="Q225" s="22">
        <f t="shared" si="42"/>
        <v>2.6949999999999998</v>
      </c>
      <c r="R225" s="22">
        <f t="shared" si="42"/>
        <v>2.6749999999999998</v>
      </c>
      <c r="S225" s="22">
        <f t="shared" si="42"/>
        <v>2.6549999999999998</v>
      </c>
      <c r="T225" s="22">
        <f t="shared" si="42"/>
        <v>2.6349999999999998</v>
      </c>
      <c r="U225" s="23"/>
    </row>
    <row r="226" spans="9:36">
      <c r="I226" s="5">
        <v>142</v>
      </c>
      <c r="J226" s="22">
        <f t="shared" ref="J226:T226" si="43">(J225+J227)/2</f>
        <v>2.9074999999999998</v>
      </c>
      <c r="K226" s="22">
        <f t="shared" si="43"/>
        <v>2.8875000000000002</v>
      </c>
      <c r="L226" s="22">
        <f t="shared" si="43"/>
        <v>2.8674999999999997</v>
      </c>
      <c r="M226" s="22">
        <f t="shared" si="43"/>
        <v>2.8475000000000001</v>
      </c>
      <c r="N226" s="22">
        <f t="shared" si="43"/>
        <v>2.8274999999999997</v>
      </c>
      <c r="O226" s="22">
        <f t="shared" si="43"/>
        <v>2.8075000000000001</v>
      </c>
      <c r="P226" s="22">
        <f t="shared" si="43"/>
        <v>2.7874999999999996</v>
      </c>
      <c r="Q226" s="22">
        <f t="shared" si="43"/>
        <v>2.7675000000000001</v>
      </c>
      <c r="R226" s="22">
        <f t="shared" si="43"/>
        <v>2.7474999999999996</v>
      </c>
      <c r="S226" s="22">
        <f t="shared" si="43"/>
        <v>2.7275</v>
      </c>
      <c r="T226" s="22">
        <f t="shared" si="43"/>
        <v>2.7074999999999996</v>
      </c>
      <c r="U226" s="23"/>
    </row>
    <row r="227" spans="9:36">
      <c r="I227" s="5">
        <v>143</v>
      </c>
      <c r="J227" s="22">
        <f t="shared" ref="J227:T227" si="44">(J224+J229)/2</f>
        <v>2.98</v>
      </c>
      <c r="K227" s="22">
        <f t="shared" si="44"/>
        <v>2.96</v>
      </c>
      <c r="L227" s="22">
        <f t="shared" si="44"/>
        <v>2.94</v>
      </c>
      <c r="M227" s="22">
        <f t="shared" si="44"/>
        <v>2.92</v>
      </c>
      <c r="N227" s="22">
        <f t="shared" si="44"/>
        <v>2.9</v>
      </c>
      <c r="O227" s="22">
        <f t="shared" si="44"/>
        <v>2.88</v>
      </c>
      <c r="P227" s="22">
        <f t="shared" si="44"/>
        <v>2.86</v>
      </c>
      <c r="Q227" s="22">
        <f t="shared" si="44"/>
        <v>2.84</v>
      </c>
      <c r="R227" s="22">
        <f t="shared" si="44"/>
        <v>2.82</v>
      </c>
      <c r="S227" s="22">
        <f t="shared" si="44"/>
        <v>2.8</v>
      </c>
      <c r="T227" s="22">
        <f t="shared" si="44"/>
        <v>2.78</v>
      </c>
      <c r="U227" s="23"/>
    </row>
    <row r="228" spans="9:36">
      <c r="I228" s="5">
        <v>144</v>
      </c>
      <c r="J228" s="22">
        <f t="shared" ref="J228:T228" si="45">(J227+J229)/2</f>
        <v>3.125</v>
      </c>
      <c r="K228" s="22">
        <f t="shared" si="45"/>
        <v>3.105</v>
      </c>
      <c r="L228" s="22">
        <f t="shared" si="45"/>
        <v>3.085</v>
      </c>
      <c r="M228" s="22">
        <f t="shared" si="45"/>
        <v>3.0649999999999999</v>
      </c>
      <c r="N228" s="22">
        <f t="shared" si="45"/>
        <v>3.0449999999999999</v>
      </c>
      <c r="O228" s="22">
        <f t="shared" si="45"/>
        <v>3.0249999999999999</v>
      </c>
      <c r="P228" s="22">
        <f t="shared" si="45"/>
        <v>3.0049999999999999</v>
      </c>
      <c r="Q228" s="22">
        <f t="shared" si="45"/>
        <v>2.9849999999999999</v>
      </c>
      <c r="R228" s="22">
        <f t="shared" si="45"/>
        <v>2.9649999999999999</v>
      </c>
      <c r="S228" s="22">
        <f t="shared" si="45"/>
        <v>2.9449999999999998</v>
      </c>
      <c r="T228" s="22">
        <f t="shared" si="45"/>
        <v>2.9249999999999998</v>
      </c>
      <c r="U228" s="23"/>
    </row>
    <row r="229" spans="9:36">
      <c r="I229" s="5">
        <v>145</v>
      </c>
      <c r="J229" s="22">
        <f t="shared" ref="J229:T229" si="46">(J224+J234)/2</f>
        <v>3.27</v>
      </c>
      <c r="K229" s="22">
        <f t="shared" si="46"/>
        <v>3.25</v>
      </c>
      <c r="L229" s="22">
        <f t="shared" si="46"/>
        <v>3.23</v>
      </c>
      <c r="M229" s="22">
        <f t="shared" si="46"/>
        <v>3.21</v>
      </c>
      <c r="N229" s="22">
        <f t="shared" si="46"/>
        <v>3.19</v>
      </c>
      <c r="O229" s="22">
        <f t="shared" si="46"/>
        <v>3.17</v>
      </c>
      <c r="P229" s="22">
        <f t="shared" si="46"/>
        <v>3.15</v>
      </c>
      <c r="Q229" s="22">
        <f t="shared" si="46"/>
        <v>3.13</v>
      </c>
      <c r="R229" s="22">
        <f t="shared" si="46"/>
        <v>3.11</v>
      </c>
      <c r="S229" s="22">
        <f t="shared" si="46"/>
        <v>3.09</v>
      </c>
      <c r="T229" s="22">
        <f t="shared" si="46"/>
        <v>3.07</v>
      </c>
      <c r="U229" s="23"/>
    </row>
    <row r="230" spans="9:36">
      <c r="I230" s="5">
        <v>146</v>
      </c>
      <c r="J230" s="22">
        <f t="shared" ref="J230:T230" si="47">(J229+J231)/2</f>
        <v>3.3787500000000001</v>
      </c>
      <c r="K230" s="22">
        <f t="shared" si="47"/>
        <v>3.3587500000000001</v>
      </c>
      <c r="L230" s="22">
        <f t="shared" si="47"/>
        <v>3.3387500000000001</v>
      </c>
      <c r="M230" s="22">
        <f t="shared" si="47"/>
        <v>3.3187500000000001</v>
      </c>
      <c r="N230" s="22">
        <f t="shared" si="47"/>
        <v>3.2987500000000001</v>
      </c>
      <c r="O230" s="22">
        <f t="shared" si="47"/>
        <v>3.2787500000000001</v>
      </c>
      <c r="P230" s="22">
        <f t="shared" si="47"/>
        <v>3.25875</v>
      </c>
      <c r="Q230" s="22">
        <f t="shared" si="47"/>
        <v>3.23875</v>
      </c>
      <c r="R230" s="22">
        <f t="shared" si="47"/>
        <v>3.21875</v>
      </c>
      <c r="S230" s="22">
        <f t="shared" si="47"/>
        <v>3.19875</v>
      </c>
      <c r="T230" s="22">
        <f t="shared" si="47"/>
        <v>3.17875</v>
      </c>
      <c r="U230" s="23"/>
    </row>
    <row r="231" spans="9:36">
      <c r="I231" s="5">
        <v>147</v>
      </c>
      <c r="J231" s="22">
        <f t="shared" ref="J231:T231" si="48">(J229+J233)/2</f>
        <v>3.4874999999999998</v>
      </c>
      <c r="K231" s="22">
        <f t="shared" si="48"/>
        <v>3.4675000000000002</v>
      </c>
      <c r="L231" s="22">
        <f t="shared" si="48"/>
        <v>3.4474999999999998</v>
      </c>
      <c r="M231" s="22">
        <f t="shared" si="48"/>
        <v>3.4275000000000002</v>
      </c>
      <c r="N231" s="22">
        <f t="shared" si="48"/>
        <v>3.4074999999999998</v>
      </c>
      <c r="O231" s="22">
        <f t="shared" si="48"/>
        <v>3.3875000000000002</v>
      </c>
      <c r="P231" s="22">
        <f t="shared" si="48"/>
        <v>3.3674999999999997</v>
      </c>
      <c r="Q231" s="22">
        <f t="shared" si="48"/>
        <v>3.3475000000000001</v>
      </c>
      <c r="R231" s="22">
        <f t="shared" si="48"/>
        <v>3.3274999999999997</v>
      </c>
      <c r="S231" s="22">
        <f t="shared" si="48"/>
        <v>3.3075000000000001</v>
      </c>
      <c r="T231" s="22">
        <f t="shared" si="48"/>
        <v>3.2874999999999996</v>
      </c>
      <c r="U231" s="23"/>
    </row>
    <row r="232" spans="9:36">
      <c r="I232" s="5">
        <v>148</v>
      </c>
      <c r="J232" s="22">
        <f t="shared" ref="J232:T232" si="49">(J229+J234)/2</f>
        <v>3.56</v>
      </c>
      <c r="K232" s="22">
        <f t="shared" si="49"/>
        <v>3.54</v>
      </c>
      <c r="L232" s="22">
        <f t="shared" si="49"/>
        <v>3.52</v>
      </c>
      <c r="M232" s="22">
        <f t="shared" si="49"/>
        <v>3.5</v>
      </c>
      <c r="N232" s="22">
        <f t="shared" si="49"/>
        <v>3.48</v>
      </c>
      <c r="O232" s="22">
        <f t="shared" si="49"/>
        <v>3.46</v>
      </c>
      <c r="P232" s="22">
        <f t="shared" si="49"/>
        <v>3.44</v>
      </c>
      <c r="Q232" s="22">
        <f t="shared" si="49"/>
        <v>3.42</v>
      </c>
      <c r="R232" s="22">
        <f t="shared" si="49"/>
        <v>3.4</v>
      </c>
      <c r="S232" s="22">
        <f t="shared" si="49"/>
        <v>3.38</v>
      </c>
      <c r="T232" s="22">
        <f t="shared" si="49"/>
        <v>3.36</v>
      </c>
      <c r="U232" s="23"/>
    </row>
    <row r="233" spans="9:36">
      <c r="I233" s="5">
        <v>149</v>
      </c>
      <c r="J233" s="22">
        <f t="shared" ref="J233:T233" si="50">(J232+J234)/2</f>
        <v>3.7050000000000001</v>
      </c>
      <c r="K233" s="22">
        <f t="shared" si="50"/>
        <v>3.6850000000000001</v>
      </c>
      <c r="L233" s="22">
        <f t="shared" si="50"/>
        <v>3.665</v>
      </c>
      <c r="M233" s="22">
        <f t="shared" si="50"/>
        <v>3.645</v>
      </c>
      <c r="N233" s="22">
        <f t="shared" si="50"/>
        <v>3.625</v>
      </c>
      <c r="O233" s="22">
        <f t="shared" si="50"/>
        <v>3.605</v>
      </c>
      <c r="P233" s="22">
        <f t="shared" si="50"/>
        <v>3.585</v>
      </c>
      <c r="Q233" s="22">
        <f t="shared" si="50"/>
        <v>3.5649999999999999</v>
      </c>
      <c r="R233" s="22">
        <f t="shared" si="50"/>
        <v>3.5449999999999999</v>
      </c>
      <c r="S233" s="22">
        <f t="shared" si="50"/>
        <v>3.5249999999999999</v>
      </c>
      <c r="T233" s="22">
        <f t="shared" si="50"/>
        <v>3.5049999999999999</v>
      </c>
      <c r="U233" s="23"/>
    </row>
    <row r="234" spans="9:36">
      <c r="I234" s="5">
        <v>150</v>
      </c>
      <c r="J234" s="21">
        <v>3.85</v>
      </c>
      <c r="K234" s="22">
        <f>J234-0.02</f>
        <v>3.83</v>
      </c>
      <c r="L234" s="22">
        <f t="shared" ref="L234:T234" si="51">K234-0.02</f>
        <v>3.81</v>
      </c>
      <c r="M234" s="22">
        <f t="shared" si="51"/>
        <v>3.79</v>
      </c>
      <c r="N234" s="22">
        <f t="shared" si="51"/>
        <v>3.77</v>
      </c>
      <c r="O234" s="22">
        <f t="shared" si="51"/>
        <v>3.75</v>
      </c>
      <c r="P234" s="22">
        <f t="shared" si="51"/>
        <v>3.73</v>
      </c>
      <c r="Q234" s="22">
        <f t="shared" si="51"/>
        <v>3.71</v>
      </c>
      <c r="R234" s="22">
        <f t="shared" si="51"/>
        <v>3.69</v>
      </c>
      <c r="S234" s="22">
        <f>R234-0.02</f>
        <v>3.67</v>
      </c>
      <c r="T234" s="22">
        <f t="shared" si="51"/>
        <v>3.65</v>
      </c>
      <c r="U234" s="23"/>
    </row>
    <row r="235" spans="9:36">
      <c r="W235" s="16"/>
      <c r="X235" s="16"/>
      <c r="Y235" s="17"/>
      <c r="Z235" s="17"/>
      <c r="AA235" s="17"/>
      <c r="AB235" s="17"/>
      <c r="AC235" s="17"/>
      <c r="AD235" s="17"/>
      <c r="AE235" s="17"/>
      <c r="AF235" s="17"/>
      <c r="AG235" s="17"/>
      <c r="AH235" s="17"/>
      <c r="AI235" s="17"/>
      <c r="AJ235" s="17"/>
    </row>
    <row r="236" spans="9:36">
      <c r="W236" s="16"/>
      <c r="X236" s="16"/>
      <c r="Y236" s="496"/>
      <c r="Z236" s="496"/>
      <c r="AA236" s="496"/>
      <c r="AB236" s="496"/>
      <c r="AC236" s="496"/>
      <c r="AD236" s="496"/>
      <c r="AE236" s="20"/>
      <c r="AF236" s="20"/>
      <c r="AG236" s="20"/>
      <c r="AH236" s="20"/>
      <c r="AI236" s="20"/>
      <c r="AJ236" s="20"/>
    </row>
    <row r="237" spans="9:36">
      <c r="I237" s="30"/>
      <c r="J237" s="12"/>
    </row>
    <row r="238" spans="9:36">
      <c r="J238" s="497" t="s">
        <v>31</v>
      </c>
      <c r="K238" s="497"/>
      <c r="L238" s="497"/>
      <c r="M238" s="497"/>
      <c r="N238" s="497"/>
      <c r="O238" s="497"/>
      <c r="P238" s="497"/>
      <c r="Q238" s="497"/>
      <c r="R238" s="497"/>
      <c r="S238" s="497"/>
      <c r="T238" s="497"/>
    </row>
    <row r="239" spans="9:36">
      <c r="I239" s="3" t="s">
        <v>360</v>
      </c>
      <c r="J239" s="4">
        <v>0</v>
      </c>
      <c r="K239" s="4">
        <v>5</v>
      </c>
      <c r="L239" s="4">
        <v>10</v>
      </c>
      <c r="M239" s="4">
        <v>15</v>
      </c>
      <c r="N239" s="4">
        <v>20</v>
      </c>
      <c r="O239" s="4">
        <v>25</v>
      </c>
      <c r="P239" s="4">
        <v>30</v>
      </c>
      <c r="Q239" s="4">
        <v>35</v>
      </c>
      <c r="R239" s="4">
        <v>40</v>
      </c>
      <c r="S239" s="4">
        <v>45</v>
      </c>
      <c r="T239" s="4">
        <v>50</v>
      </c>
    </row>
    <row r="240" spans="9:36">
      <c r="I240" s="8">
        <v>-34</v>
      </c>
      <c r="J240" s="105">
        <v>1.23E-2</v>
      </c>
      <c r="K240" s="14"/>
      <c r="L240" s="11"/>
      <c r="M240" s="14"/>
      <c r="N240" s="11"/>
      <c r="O240" s="14"/>
      <c r="P240" s="11"/>
      <c r="Q240" s="14"/>
      <c r="R240" s="11"/>
      <c r="S240" s="14"/>
      <c r="T240" s="11"/>
      <c r="U240" s="8">
        <f t="shared" ref="U240:U271" si="52">I280</f>
        <v>70</v>
      </c>
    </row>
    <row r="241" spans="9:21">
      <c r="I241" s="8">
        <v>-33</v>
      </c>
      <c r="J241" s="105">
        <f>(J240+J243)/2</f>
        <v>1.1724999999999999E-2</v>
      </c>
      <c r="K241" s="14"/>
      <c r="L241" s="11"/>
      <c r="M241" s="14"/>
      <c r="N241" s="11"/>
      <c r="O241" s="14"/>
      <c r="P241" s="11"/>
      <c r="Q241" s="14"/>
      <c r="R241" s="11"/>
      <c r="S241" s="14"/>
      <c r="T241" s="11"/>
      <c r="U241" s="8">
        <f t="shared" si="52"/>
        <v>71</v>
      </c>
    </row>
    <row r="242" spans="9:21">
      <c r="I242" s="8">
        <v>-32</v>
      </c>
      <c r="J242" s="105">
        <f>(J241+J243)/2</f>
        <v>1.14375E-2</v>
      </c>
      <c r="K242" s="14"/>
      <c r="L242" s="11"/>
      <c r="M242" s="14"/>
      <c r="N242" s="11"/>
      <c r="O242" s="14"/>
      <c r="P242" s="11"/>
      <c r="Q242" s="14"/>
      <c r="R242" s="11"/>
      <c r="S242" s="14"/>
      <c r="T242" s="11"/>
      <c r="U242" s="8">
        <f t="shared" si="52"/>
        <v>72</v>
      </c>
    </row>
    <row r="243" spans="9:21">
      <c r="I243" s="8">
        <v>-31</v>
      </c>
      <c r="J243" s="105">
        <f>(J240+J246)/2</f>
        <v>1.115E-2</v>
      </c>
      <c r="K243" s="14"/>
      <c r="L243" s="11"/>
      <c r="M243" s="14"/>
      <c r="N243" s="11"/>
      <c r="O243" s="14"/>
      <c r="P243" s="11"/>
      <c r="Q243" s="14"/>
      <c r="R243" s="11"/>
      <c r="S243" s="14"/>
      <c r="T243" s="11"/>
      <c r="U243" s="8">
        <f t="shared" si="52"/>
        <v>73</v>
      </c>
    </row>
    <row r="244" spans="9:21">
      <c r="I244" s="8">
        <v>-30</v>
      </c>
      <c r="J244" s="105">
        <f>(J243+J246)/2</f>
        <v>1.0575000000000001E-2</v>
      </c>
      <c r="K244" s="14"/>
      <c r="L244" s="11"/>
      <c r="M244" s="14"/>
      <c r="N244" s="11"/>
      <c r="O244" s="14"/>
      <c r="P244" s="11"/>
      <c r="Q244" s="14"/>
      <c r="R244" s="11"/>
      <c r="S244" s="14"/>
      <c r="T244" s="11"/>
      <c r="U244" s="8">
        <f t="shared" si="52"/>
        <v>74</v>
      </c>
    </row>
    <row r="245" spans="9:21">
      <c r="I245" s="8">
        <v>-29</v>
      </c>
      <c r="J245" s="105">
        <f>(J244+J246)/2</f>
        <v>1.0287500000000002E-2</v>
      </c>
      <c r="K245" s="14"/>
      <c r="L245" s="11"/>
      <c r="M245" s="14"/>
      <c r="N245" s="11"/>
      <c r="O245" s="14"/>
      <c r="P245" s="11"/>
      <c r="Q245" s="14"/>
      <c r="R245" s="11"/>
      <c r="S245" s="14"/>
      <c r="T245" s="11"/>
      <c r="U245" s="8">
        <f t="shared" si="52"/>
        <v>75</v>
      </c>
    </row>
    <row r="246" spans="9:21">
      <c r="I246" s="8">
        <v>-28</v>
      </c>
      <c r="J246" s="105">
        <v>0.01</v>
      </c>
      <c r="K246" s="14"/>
      <c r="L246" s="11"/>
      <c r="M246" s="14"/>
      <c r="N246" s="11"/>
      <c r="O246" s="14"/>
      <c r="P246" s="11"/>
      <c r="Q246" s="14"/>
      <c r="R246" s="11"/>
      <c r="S246" s="14"/>
      <c r="T246" s="11"/>
      <c r="U246" s="8">
        <f t="shared" si="52"/>
        <v>76</v>
      </c>
    </row>
    <row r="247" spans="9:21">
      <c r="I247" s="8">
        <v>-27</v>
      </c>
      <c r="J247" s="105">
        <f>(J246+J248)/2</f>
        <v>9.5000000000000015E-3</v>
      </c>
      <c r="K247" s="14"/>
      <c r="L247" s="11"/>
      <c r="M247" s="14"/>
      <c r="N247" s="11"/>
      <c r="O247" s="14"/>
      <c r="P247" s="11"/>
      <c r="Q247" s="14"/>
      <c r="R247" s="11"/>
      <c r="S247" s="14"/>
      <c r="T247" s="11"/>
      <c r="U247" s="8">
        <f t="shared" si="52"/>
        <v>77</v>
      </c>
    </row>
    <row r="248" spans="9:21">
      <c r="I248" s="8">
        <v>-26</v>
      </c>
      <c r="J248" s="105">
        <f>(J246+J250)/2</f>
        <v>9.0000000000000011E-3</v>
      </c>
      <c r="K248" s="14"/>
      <c r="L248" s="11"/>
      <c r="M248" s="14"/>
      <c r="N248" s="11"/>
      <c r="O248" s="14"/>
      <c r="P248" s="11"/>
      <c r="Q248" s="14"/>
      <c r="R248" s="11"/>
      <c r="S248" s="14"/>
      <c r="T248" s="11"/>
      <c r="U248" s="8">
        <f t="shared" si="52"/>
        <v>78</v>
      </c>
    </row>
    <row r="249" spans="9:21">
      <c r="I249" s="8">
        <v>-25</v>
      </c>
      <c r="J249" s="105">
        <f>(J248+J250)/2</f>
        <v>8.5000000000000006E-3</v>
      </c>
      <c r="K249" s="14"/>
      <c r="L249" s="11"/>
      <c r="M249" s="14"/>
      <c r="N249" s="11"/>
      <c r="O249" s="14"/>
      <c r="P249" s="11"/>
      <c r="Q249" s="14"/>
      <c r="R249" s="11"/>
      <c r="S249" s="14"/>
      <c r="T249" s="11"/>
      <c r="U249" s="8">
        <f t="shared" si="52"/>
        <v>79</v>
      </c>
    </row>
    <row r="250" spans="9:21">
      <c r="I250" s="8">
        <v>-24</v>
      </c>
      <c r="J250" s="105">
        <v>8.0000000000000002E-3</v>
      </c>
      <c r="K250" s="14"/>
      <c r="L250" s="11"/>
      <c r="M250" s="14"/>
      <c r="N250" s="11"/>
      <c r="O250" s="14"/>
      <c r="P250" s="11"/>
      <c r="Q250" s="14"/>
      <c r="R250" s="11"/>
      <c r="S250" s="14"/>
      <c r="T250" s="11"/>
      <c r="U250" s="8">
        <f t="shared" si="52"/>
        <v>80</v>
      </c>
    </row>
    <row r="251" spans="9:21">
      <c r="I251" s="8">
        <v>-23</v>
      </c>
      <c r="J251" s="105">
        <f>(J250+J252)/2</f>
        <v>7.4999999999999997E-3</v>
      </c>
      <c r="K251" s="14"/>
      <c r="L251" s="11"/>
      <c r="M251" s="14"/>
      <c r="N251" s="11"/>
      <c r="O251" s="14"/>
      <c r="P251" s="11"/>
      <c r="Q251" s="14"/>
      <c r="R251" s="11"/>
      <c r="S251" s="14"/>
      <c r="T251" s="11"/>
      <c r="U251" s="8">
        <f t="shared" si="52"/>
        <v>81</v>
      </c>
    </row>
    <row r="252" spans="9:21">
      <c r="I252" s="8">
        <v>-22</v>
      </c>
      <c r="J252" s="105">
        <f>(J250+J254)/2</f>
        <v>7.0000000000000001E-3</v>
      </c>
      <c r="K252" s="14"/>
      <c r="L252" s="11"/>
      <c r="M252" s="14"/>
      <c r="N252" s="11"/>
      <c r="O252" s="14"/>
      <c r="P252" s="11"/>
      <c r="Q252" s="14"/>
      <c r="R252" s="11"/>
      <c r="S252" s="14"/>
      <c r="T252" s="11"/>
      <c r="U252" s="8">
        <f t="shared" si="52"/>
        <v>82</v>
      </c>
    </row>
    <row r="253" spans="9:21">
      <c r="I253" s="8">
        <v>-21</v>
      </c>
      <c r="J253" s="105">
        <f>(J252+J254)/2</f>
        <v>6.5000000000000006E-3</v>
      </c>
      <c r="K253" s="14"/>
      <c r="L253" s="11"/>
      <c r="M253" s="14"/>
      <c r="N253" s="11"/>
      <c r="O253" s="14"/>
      <c r="P253" s="11"/>
      <c r="Q253" s="14"/>
      <c r="R253" s="11"/>
      <c r="S253" s="14"/>
      <c r="T253" s="11"/>
      <c r="U253" s="8">
        <f t="shared" si="52"/>
        <v>83</v>
      </c>
    </row>
    <row r="254" spans="9:21">
      <c r="I254" s="8">
        <v>-20</v>
      </c>
      <c r="J254" s="105">
        <f>(J250+J258)/2</f>
        <v>6.0000000000000001E-3</v>
      </c>
      <c r="K254" s="14"/>
      <c r="L254" s="11"/>
      <c r="M254" s="14"/>
      <c r="N254" s="11"/>
      <c r="O254" s="14"/>
      <c r="P254" s="11"/>
      <c r="Q254" s="14"/>
      <c r="R254" s="11"/>
      <c r="S254" s="14"/>
      <c r="T254" s="11"/>
      <c r="U254" s="8">
        <f t="shared" si="52"/>
        <v>84</v>
      </c>
    </row>
    <row r="255" spans="9:21">
      <c r="I255" s="8">
        <v>-19</v>
      </c>
      <c r="J255" s="105">
        <f>(J254+J256)/2</f>
        <v>5.4999999999999997E-3</v>
      </c>
      <c r="K255" s="14"/>
      <c r="L255" s="11"/>
      <c r="M255" s="14"/>
      <c r="N255" s="11"/>
      <c r="O255" s="14"/>
      <c r="P255" s="11"/>
      <c r="Q255" s="14"/>
      <c r="R255" s="11"/>
      <c r="S255" s="14"/>
      <c r="T255" s="11"/>
      <c r="U255" s="8">
        <f t="shared" si="52"/>
        <v>85</v>
      </c>
    </row>
    <row r="256" spans="9:21">
      <c r="I256" s="8">
        <v>-18</v>
      </c>
      <c r="J256" s="105">
        <f>(J254+J258)/2</f>
        <v>5.0000000000000001E-3</v>
      </c>
      <c r="K256" s="14"/>
      <c r="L256" s="11"/>
      <c r="M256" s="14"/>
      <c r="N256" s="11"/>
      <c r="O256" s="14"/>
      <c r="P256" s="11"/>
      <c r="Q256" s="14"/>
      <c r="R256" s="11"/>
      <c r="S256" s="14"/>
      <c r="T256" s="11"/>
      <c r="U256" s="8">
        <f t="shared" si="52"/>
        <v>86</v>
      </c>
    </row>
    <row r="257" spans="9:21">
      <c r="I257" s="8">
        <v>-17</v>
      </c>
      <c r="J257" s="105">
        <f>(J256+J258)/2</f>
        <v>4.5000000000000005E-3</v>
      </c>
      <c r="K257" s="14"/>
      <c r="L257" s="11"/>
      <c r="M257" s="14"/>
      <c r="N257" s="11"/>
      <c r="O257" s="14"/>
      <c r="P257" s="11"/>
      <c r="Q257" s="14"/>
      <c r="R257" s="11"/>
      <c r="S257" s="14"/>
      <c r="T257" s="11"/>
      <c r="U257" s="8">
        <f t="shared" si="52"/>
        <v>87</v>
      </c>
    </row>
    <row r="258" spans="9:21">
      <c r="I258" s="8">
        <v>-16</v>
      </c>
      <c r="J258" s="105">
        <v>4.0000000000000001E-3</v>
      </c>
      <c r="K258" s="14"/>
      <c r="L258" s="11"/>
      <c r="M258" s="14"/>
      <c r="N258" s="11"/>
      <c r="O258" s="14"/>
      <c r="P258" s="11"/>
      <c r="Q258" s="14"/>
      <c r="R258" s="11"/>
      <c r="S258" s="14"/>
      <c r="T258" s="11"/>
      <c r="U258" s="8">
        <f t="shared" si="52"/>
        <v>88</v>
      </c>
    </row>
    <row r="259" spans="9:21">
      <c r="I259" s="8">
        <v>-15</v>
      </c>
      <c r="J259" s="105">
        <f>(J258+J261)/2</f>
        <v>3.2500000000000003E-3</v>
      </c>
      <c r="K259" s="14"/>
      <c r="L259" s="11"/>
      <c r="M259" s="14"/>
      <c r="N259" s="11"/>
      <c r="O259" s="14"/>
      <c r="P259" s="11"/>
      <c r="Q259" s="14"/>
      <c r="R259" s="11"/>
      <c r="S259" s="14"/>
      <c r="T259" s="11"/>
      <c r="U259" s="8">
        <f t="shared" si="52"/>
        <v>89</v>
      </c>
    </row>
    <row r="260" spans="9:21">
      <c r="I260" s="8">
        <v>-14</v>
      </c>
      <c r="J260" s="105">
        <f>(J259+J261)/2</f>
        <v>2.875E-3</v>
      </c>
      <c r="K260" s="14"/>
      <c r="L260" s="11"/>
      <c r="M260" s="14"/>
      <c r="N260" s="11"/>
      <c r="O260" s="14"/>
      <c r="P260" s="11"/>
      <c r="Q260" s="14"/>
      <c r="R260" s="11"/>
      <c r="S260" s="14"/>
      <c r="T260" s="11"/>
      <c r="U260" s="8">
        <f t="shared" si="52"/>
        <v>90</v>
      </c>
    </row>
    <row r="261" spans="9:21">
      <c r="I261" s="8">
        <v>-13</v>
      </c>
      <c r="J261" s="105">
        <f>(J258+J264)/2</f>
        <v>2.5000000000000001E-3</v>
      </c>
      <c r="K261" s="14"/>
      <c r="L261" s="11"/>
      <c r="M261" s="14"/>
      <c r="N261" s="11"/>
      <c r="O261" s="14"/>
      <c r="P261" s="11"/>
      <c r="Q261" s="14"/>
      <c r="R261" s="11"/>
      <c r="S261" s="14"/>
      <c r="T261" s="11"/>
      <c r="U261" s="8">
        <f t="shared" si="52"/>
        <v>91</v>
      </c>
    </row>
    <row r="262" spans="9:21">
      <c r="I262" s="8">
        <v>-12</v>
      </c>
      <c r="J262" s="105">
        <f>(J261+J264)/2</f>
        <v>1.75E-3</v>
      </c>
      <c r="K262" s="14"/>
      <c r="L262" s="11"/>
      <c r="M262" s="14"/>
      <c r="N262" s="11"/>
      <c r="O262" s="14"/>
      <c r="P262" s="11"/>
      <c r="Q262" s="14"/>
      <c r="R262" s="11"/>
      <c r="S262" s="14"/>
      <c r="T262" s="11"/>
      <c r="U262" s="8">
        <f t="shared" si="52"/>
        <v>92</v>
      </c>
    </row>
    <row r="263" spans="9:21">
      <c r="I263" s="8">
        <v>-11</v>
      </c>
      <c r="J263" s="105">
        <f>(J262+J264)/2</f>
        <v>1.3749999999999999E-3</v>
      </c>
      <c r="K263" s="14"/>
      <c r="L263" s="11"/>
      <c r="M263" s="14"/>
      <c r="N263" s="11"/>
      <c r="O263" s="14"/>
      <c r="P263" s="11"/>
      <c r="Q263" s="14"/>
      <c r="R263" s="11"/>
      <c r="S263" s="14"/>
      <c r="T263" s="11"/>
      <c r="U263" s="8">
        <f t="shared" si="52"/>
        <v>93</v>
      </c>
    </row>
    <row r="264" spans="9:21">
      <c r="I264" s="8">
        <v>-10</v>
      </c>
      <c r="J264" s="105">
        <v>1E-3</v>
      </c>
      <c r="K264" s="14"/>
      <c r="L264" s="11"/>
      <c r="M264" s="14"/>
      <c r="N264" s="11"/>
      <c r="O264" s="14"/>
      <c r="P264" s="11"/>
      <c r="Q264" s="14"/>
      <c r="R264" s="11"/>
      <c r="S264" s="14"/>
      <c r="T264" s="11"/>
      <c r="U264" s="8">
        <f t="shared" si="52"/>
        <v>94</v>
      </c>
    </row>
    <row r="265" spans="9:21">
      <c r="I265" s="8">
        <v>-9</v>
      </c>
      <c r="J265" s="105">
        <f>(J264+J266)/2</f>
        <v>9.3749999999999997E-4</v>
      </c>
      <c r="K265" s="14"/>
      <c r="L265" s="11"/>
      <c r="M265" s="14"/>
      <c r="N265" s="11"/>
      <c r="O265" s="14"/>
      <c r="P265" s="11"/>
      <c r="Q265" s="14"/>
      <c r="R265" s="11"/>
      <c r="S265" s="14"/>
      <c r="T265" s="11"/>
      <c r="U265" s="8">
        <f t="shared" si="52"/>
        <v>95</v>
      </c>
    </row>
    <row r="266" spans="9:21">
      <c r="I266" s="8">
        <v>-8</v>
      </c>
      <c r="J266" s="105">
        <f>(J264+J268)/2</f>
        <v>8.7500000000000002E-4</v>
      </c>
      <c r="K266" s="14"/>
      <c r="L266" s="11"/>
      <c r="M266" s="14"/>
      <c r="N266" s="11"/>
      <c r="O266" s="14"/>
      <c r="P266" s="11"/>
      <c r="Q266" s="14"/>
      <c r="R266" s="11"/>
      <c r="S266" s="14"/>
      <c r="T266" s="11"/>
      <c r="U266" s="8">
        <f t="shared" si="52"/>
        <v>96</v>
      </c>
    </row>
    <row r="267" spans="9:21">
      <c r="I267" s="8">
        <v>-7</v>
      </c>
      <c r="J267" s="105">
        <f>(J266+J268)/2</f>
        <v>8.1250000000000007E-4</v>
      </c>
      <c r="K267" s="14"/>
      <c r="L267" s="11"/>
      <c r="M267" s="14"/>
      <c r="N267" s="11"/>
      <c r="O267" s="14"/>
      <c r="P267" s="11"/>
      <c r="Q267" s="14"/>
      <c r="R267" s="11"/>
      <c r="S267" s="14"/>
      <c r="T267" s="11"/>
      <c r="U267" s="8">
        <f t="shared" si="52"/>
        <v>97</v>
      </c>
    </row>
    <row r="268" spans="9:21">
      <c r="I268" s="8">
        <v>-6</v>
      </c>
      <c r="J268" s="105">
        <f>(J264+J272)/2</f>
        <v>7.5000000000000002E-4</v>
      </c>
      <c r="K268" s="14"/>
      <c r="L268" s="11"/>
      <c r="M268" s="14"/>
      <c r="N268" s="11"/>
      <c r="O268" s="14"/>
      <c r="P268" s="11"/>
      <c r="Q268" s="14"/>
      <c r="R268" s="11"/>
      <c r="S268" s="14"/>
      <c r="T268" s="11"/>
      <c r="U268" s="8">
        <f t="shared" si="52"/>
        <v>98</v>
      </c>
    </row>
    <row r="269" spans="9:21">
      <c r="I269" s="8">
        <v>-5</v>
      </c>
      <c r="J269" s="105">
        <f>(J268+J270)/2</f>
        <v>6.8749999999999996E-4</v>
      </c>
      <c r="K269" s="14"/>
      <c r="L269" s="11"/>
      <c r="M269" s="14"/>
      <c r="N269" s="11"/>
      <c r="O269" s="14"/>
      <c r="P269" s="11"/>
      <c r="Q269" s="14"/>
      <c r="R269" s="11"/>
      <c r="S269" s="14"/>
      <c r="T269" s="11"/>
      <c r="U269" s="8">
        <f t="shared" si="52"/>
        <v>99</v>
      </c>
    </row>
    <row r="270" spans="9:21">
      <c r="I270" s="8">
        <v>-4</v>
      </c>
      <c r="J270" s="105">
        <f>(J268+J272)/2</f>
        <v>6.2500000000000001E-4</v>
      </c>
      <c r="K270" s="14"/>
      <c r="L270" s="11"/>
      <c r="M270" s="14"/>
      <c r="N270" s="11"/>
      <c r="O270" s="14"/>
      <c r="P270" s="11"/>
      <c r="Q270" s="14"/>
      <c r="R270" s="11"/>
      <c r="S270" s="14"/>
      <c r="T270" s="11"/>
      <c r="U270" s="8">
        <f t="shared" si="52"/>
        <v>100</v>
      </c>
    </row>
    <row r="271" spans="9:21">
      <c r="I271" s="8">
        <v>-3</v>
      </c>
      <c r="J271" s="105">
        <f>(J270+J272)/2</f>
        <v>5.6250000000000007E-4</v>
      </c>
      <c r="K271" s="14"/>
      <c r="L271" s="11"/>
      <c r="M271" s="14"/>
      <c r="N271" s="11"/>
      <c r="O271" s="14"/>
      <c r="P271" s="11"/>
      <c r="Q271" s="14"/>
      <c r="R271" s="11"/>
      <c r="S271" s="14"/>
      <c r="T271" s="11"/>
      <c r="U271" s="8">
        <f t="shared" si="52"/>
        <v>101</v>
      </c>
    </row>
    <row r="272" spans="9:21">
      <c r="I272" s="8">
        <v>-2</v>
      </c>
      <c r="J272" s="105">
        <f>(J264+J279)/2</f>
        <v>5.0000000000000001E-4</v>
      </c>
      <c r="K272" s="14"/>
      <c r="L272" s="11"/>
      <c r="M272" s="14"/>
      <c r="N272" s="11"/>
      <c r="O272" s="14"/>
      <c r="P272" s="11"/>
      <c r="Q272" s="14"/>
      <c r="R272" s="11"/>
      <c r="S272" s="14"/>
      <c r="T272" s="11"/>
      <c r="U272" s="8">
        <f t="shared" ref="U272:U300" si="53">I312</f>
        <v>102</v>
      </c>
    </row>
    <row r="273" spans="9:21">
      <c r="I273" s="8">
        <v>-1</v>
      </c>
      <c r="J273" s="105">
        <f>(J272+J274)/2</f>
        <v>4.3750000000000001E-4</v>
      </c>
      <c r="K273" s="14"/>
      <c r="L273" s="11"/>
      <c r="M273" s="14"/>
      <c r="N273" s="11"/>
      <c r="O273" s="14"/>
      <c r="P273" s="11"/>
      <c r="Q273" s="14"/>
      <c r="R273" s="11"/>
      <c r="S273" s="14"/>
      <c r="T273" s="11"/>
      <c r="U273" s="8">
        <f t="shared" si="53"/>
        <v>103</v>
      </c>
    </row>
    <row r="274" spans="9:21">
      <c r="I274" s="8">
        <v>0</v>
      </c>
      <c r="J274" s="105">
        <f>(J272+J276)/2</f>
        <v>3.7500000000000001E-4</v>
      </c>
      <c r="K274" s="14"/>
      <c r="L274" s="11"/>
      <c r="M274" s="14"/>
      <c r="N274" s="11"/>
      <c r="O274" s="14"/>
      <c r="P274" s="11"/>
      <c r="Q274" s="14"/>
      <c r="R274" s="11"/>
      <c r="S274" s="14"/>
      <c r="T274" s="11"/>
      <c r="U274" s="8">
        <f t="shared" si="53"/>
        <v>104</v>
      </c>
    </row>
    <row r="275" spans="9:21">
      <c r="I275" s="8">
        <v>1</v>
      </c>
      <c r="J275" s="105">
        <f>(J274+J276)/2</f>
        <v>3.1250000000000001E-4</v>
      </c>
      <c r="K275" s="14"/>
      <c r="L275" s="11"/>
      <c r="M275" s="14"/>
      <c r="N275" s="11"/>
      <c r="O275" s="14"/>
      <c r="P275" s="11"/>
      <c r="Q275" s="14"/>
      <c r="R275" s="11"/>
      <c r="S275" s="14"/>
      <c r="T275" s="11"/>
      <c r="U275" s="8">
        <f t="shared" si="53"/>
        <v>105</v>
      </c>
    </row>
    <row r="276" spans="9:21">
      <c r="I276" s="8">
        <v>2</v>
      </c>
      <c r="J276" s="105">
        <f>(J272+J279)/2</f>
        <v>2.5000000000000001E-4</v>
      </c>
      <c r="K276" s="14"/>
      <c r="L276" s="11"/>
      <c r="M276" s="14"/>
      <c r="N276" s="11"/>
      <c r="O276" s="14"/>
      <c r="P276" s="11"/>
      <c r="Q276" s="14"/>
      <c r="R276" s="11"/>
      <c r="S276" s="14"/>
      <c r="T276" s="11"/>
      <c r="U276" s="8">
        <f t="shared" si="53"/>
        <v>106</v>
      </c>
    </row>
    <row r="277" spans="9:21">
      <c r="I277" s="8">
        <v>3</v>
      </c>
      <c r="J277" s="105">
        <f>(J276+J279)/2</f>
        <v>1.25E-4</v>
      </c>
      <c r="K277" s="14"/>
      <c r="L277" s="11"/>
      <c r="M277" s="14"/>
      <c r="N277" s="11"/>
      <c r="O277" s="14"/>
      <c r="P277" s="11"/>
      <c r="Q277" s="14"/>
      <c r="R277" s="11"/>
      <c r="S277" s="14"/>
      <c r="T277" s="11"/>
      <c r="U277" s="8">
        <f t="shared" si="53"/>
        <v>107</v>
      </c>
    </row>
    <row r="278" spans="9:21">
      <c r="I278" s="8">
        <v>4</v>
      </c>
      <c r="J278" s="105">
        <f>(J277+J279)/2</f>
        <v>6.2500000000000001E-5</v>
      </c>
      <c r="K278" s="14"/>
      <c r="L278" s="11"/>
      <c r="M278" s="14"/>
      <c r="N278" s="11"/>
      <c r="O278" s="14"/>
      <c r="P278" s="11"/>
      <c r="Q278" s="14"/>
      <c r="R278" s="11"/>
      <c r="S278" s="14"/>
      <c r="T278" s="11"/>
      <c r="U278" s="8">
        <f t="shared" si="53"/>
        <v>108</v>
      </c>
    </row>
    <row r="279" spans="9:21">
      <c r="I279" s="8">
        <v>5</v>
      </c>
      <c r="J279" s="11">
        <v>0</v>
      </c>
      <c r="K279" s="14"/>
      <c r="L279" s="11"/>
      <c r="M279" s="14"/>
      <c r="N279" s="11"/>
      <c r="O279" s="14"/>
      <c r="P279" s="11"/>
      <c r="Q279" s="14"/>
      <c r="R279" s="11"/>
      <c r="S279" s="14"/>
      <c r="T279" s="11"/>
      <c r="U279" s="8">
        <f t="shared" si="53"/>
        <v>109</v>
      </c>
    </row>
    <row r="280" spans="9:21">
      <c r="I280" s="5">
        <v>70</v>
      </c>
      <c r="J280" s="11">
        <v>0</v>
      </c>
      <c r="K280" s="14"/>
      <c r="L280" s="11"/>
      <c r="M280" s="14"/>
      <c r="N280" s="11"/>
      <c r="O280" s="14"/>
      <c r="P280" s="11"/>
      <c r="Q280" s="14"/>
      <c r="R280" s="11"/>
      <c r="S280" s="14"/>
      <c r="T280" s="11"/>
      <c r="U280" s="8">
        <f t="shared" si="53"/>
        <v>110</v>
      </c>
    </row>
    <row r="281" spans="9:21">
      <c r="I281" s="5">
        <v>71</v>
      </c>
      <c r="J281" s="11">
        <f>(J280+J282)/2</f>
        <v>8.6249999999999999E-4</v>
      </c>
      <c r="K281" s="14"/>
      <c r="L281" s="11"/>
      <c r="M281" s="14"/>
      <c r="N281" s="11"/>
      <c r="O281" s="14"/>
      <c r="P281" s="11"/>
      <c r="Q281" s="14"/>
      <c r="R281" s="11"/>
      <c r="S281" s="14"/>
      <c r="T281" s="11"/>
      <c r="U281" s="8">
        <f t="shared" si="53"/>
        <v>111</v>
      </c>
    </row>
    <row r="282" spans="9:21">
      <c r="I282" s="5">
        <v>72</v>
      </c>
      <c r="J282" s="11">
        <f>(J280+J285)/2</f>
        <v>1.725E-3</v>
      </c>
      <c r="K282" s="14"/>
      <c r="L282" s="11"/>
      <c r="M282" s="14"/>
      <c r="N282" s="11"/>
      <c r="O282" s="14"/>
      <c r="P282" s="11"/>
      <c r="Q282" s="14"/>
      <c r="R282" s="11"/>
      <c r="S282" s="14"/>
      <c r="T282" s="11"/>
      <c r="U282" s="8">
        <f t="shared" si="53"/>
        <v>112</v>
      </c>
    </row>
    <row r="283" spans="9:21">
      <c r="I283" s="5">
        <v>73</v>
      </c>
      <c r="J283" s="11">
        <f>(J281+J285)/2</f>
        <v>2.1562500000000002E-3</v>
      </c>
      <c r="K283" s="14"/>
      <c r="L283" s="11"/>
      <c r="M283" s="14"/>
      <c r="N283" s="11"/>
      <c r="O283" s="14"/>
      <c r="P283" s="11"/>
      <c r="Q283" s="14"/>
      <c r="R283" s="11"/>
      <c r="S283" s="14"/>
      <c r="T283" s="11"/>
      <c r="U283" s="8">
        <f t="shared" si="53"/>
        <v>113</v>
      </c>
    </row>
    <row r="284" spans="9:21">
      <c r="I284" s="5">
        <v>74</v>
      </c>
      <c r="J284" s="11">
        <f>(J283+J285)/2</f>
        <v>2.8031250000000001E-3</v>
      </c>
      <c r="K284" s="14"/>
      <c r="L284" s="11"/>
      <c r="M284" s="14"/>
      <c r="N284" s="11"/>
      <c r="O284" s="14"/>
      <c r="P284" s="11"/>
      <c r="Q284" s="14"/>
      <c r="R284" s="11"/>
      <c r="S284" s="14"/>
      <c r="T284" s="11"/>
      <c r="U284" s="8">
        <f t="shared" si="53"/>
        <v>114</v>
      </c>
    </row>
    <row r="285" spans="9:21">
      <c r="I285" s="5">
        <v>75</v>
      </c>
      <c r="J285" s="11">
        <f>(J280+J290)/2</f>
        <v>3.4499999999999999E-3</v>
      </c>
      <c r="K285" s="14"/>
      <c r="L285" s="11"/>
      <c r="M285" s="14"/>
      <c r="N285" s="11"/>
      <c r="O285" s="14"/>
      <c r="P285" s="11"/>
      <c r="Q285" s="14"/>
      <c r="R285" s="11"/>
      <c r="S285" s="14"/>
      <c r="T285" s="11"/>
      <c r="U285" s="8">
        <f t="shared" si="53"/>
        <v>115</v>
      </c>
    </row>
    <row r="286" spans="9:21">
      <c r="I286" s="5">
        <v>76</v>
      </c>
      <c r="J286" s="11">
        <f>(J284+J288)/2</f>
        <v>3.9890624999999996E-3</v>
      </c>
      <c r="K286" s="14"/>
      <c r="L286" s="11"/>
      <c r="M286" s="14"/>
      <c r="N286" s="11"/>
      <c r="O286" s="14"/>
      <c r="P286" s="11"/>
      <c r="Q286" s="14"/>
      <c r="R286" s="11"/>
      <c r="S286" s="14"/>
      <c r="T286" s="11"/>
      <c r="U286" s="8">
        <f t="shared" si="53"/>
        <v>116</v>
      </c>
    </row>
    <row r="287" spans="9:21">
      <c r="I287" s="5">
        <v>77</v>
      </c>
      <c r="J287" s="11">
        <f>(J286+J288)/2</f>
        <v>4.5820312500000002E-3</v>
      </c>
      <c r="K287" s="14"/>
      <c r="L287" s="11"/>
      <c r="M287" s="14"/>
      <c r="N287" s="11"/>
      <c r="O287" s="14"/>
      <c r="P287" s="11"/>
      <c r="Q287" s="14"/>
      <c r="R287" s="11"/>
      <c r="S287" s="14"/>
      <c r="T287" s="11"/>
      <c r="U287" s="8">
        <f t="shared" si="53"/>
        <v>117</v>
      </c>
    </row>
    <row r="288" spans="9:21">
      <c r="I288" s="5">
        <v>78</v>
      </c>
      <c r="J288" s="11">
        <f>(J285+J290)/2</f>
        <v>5.1749999999999999E-3</v>
      </c>
      <c r="K288" s="14"/>
      <c r="L288" s="11"/>
      <c r="M288" s="14"/>
      <c r="N288" s="11"/>
      <c r="O288" s="14"/>
      <c r="P288" s="11"/>
      <c r="Q288" s="14"/>
      <c r="R288" s="11"/>
      <c r="S288" s="14"/>
      <c r="T288" s="11"/>
      <c r="U288" s="8">
        <f t="shared" si="53"/>
        <v>118</v>
      </c>
    </row>
    <row r="289" spans="9:21">
      <c r="I289" s="5">
        <v>79</v>
      </c>
      <c r="J289" s="11">
        <f>(J288+J290)/2</f>
        <v>6.0374999999999995E-3</v>
      </c>
      <c r="K289" s="14"/>
      <c r="L289" s="11"/>
      <c r="M289" s="14"/>
      <c r="N289" s="11"/>
      <c r="O289" s="14"/>
      <c r="P289" s="11"/>
      <c r="Q289" s="14"/>
      <c r="R289" s="11"/>
      <c r="S289" s="14"/>
      <c r="T289" s="11"/>
      <c r="U289" s="8">
        <f t="shared" si="53"/>
        <v>119</v>
      </c>
    </row>
    <row r="290" spans="9:21">
      <c r="I290" s="5">
        <v>80</v>
      </c>
      <c r="J290" s="11">
        <v>6.8999999999999999E-3</v>
      </c>
      <c r="K290" s="14"/>
      <c r="L290" s="11"/>
      <c r="M290" s="14"/>
      <c r="N290" s="11"/>
      <c r="O290" s="14"/>
      <c r="P290" s="11"/>
      <c r="Q290" s="14"/>
      <c r="R290" s="11"/>
      <c r="S290" s="14"/>
      <c r="T290" s="11"/>
      <c r="U290" s="8">
        <f t="shared" si="53"/>
        <v>120</v>
      </c>
    </row>
    <row r="291" spans="9:21">
      <c r="I291" s="5">
        <v>81</v>
      </c>
      <c r="J291" s="11">
        <f>(J290+J292)/2</f>
        <v>7.8250000000000004E-3</v>
      </c>
      <c r="K291" s="14"/>
      <c r="L291" s="11"/>
      <c r="M291" s="14"/>
      <c r="N291" s="11"/>
      <c r="O291" s="14"/>
      <c r="P291" s="11"/>
      <c r="Q291" s="14"/>
      <c r="R291" s="11"/>
      <c r="S291" s="14"/>
      <c r="T291" s="11"/>
      <c r="U291" s="8">
        <f t="shared" si="53"/>
        <v>121</v>
      </c>
    </row>
    <row r="292" spans="9:21">
      <c r="I292" s="5">
        <v>82</v>
      </c>
      <c r="J292" s="11">
        <f>(J290+J295)/2</f>
        <v>8.7500000000000008E-3</v>
      </c>
      <c r="K292" s="14"/>
      <c r="L292" s="11"/>
      <c r="M292" s="14"/>
      <c r="N292" s="11"/>
      <c r="O292" s="14"/>
      <c r="P292" s="11"/>
      <c r="Q292" s="14"/>
      <c r="R292" s="11"/>
      <c r="S292" s="14"/>
      <c r="T292" s="11"/>
      <c r="U292" s="8">
        <f t="shared" si="53"/>
        <v>122</v>
      </c>
    </row>
    <row r="293" spans="9:21">
      <c r="I293" s="5">
        <v>83</v>
      </c>
      <c r="J293" s="11">
        <f>(J291+J295)/2</f>
        <v>9.2125000000000002E-3</v>
      </c>
      <c r="K293" s="14"/>
      <c r="L293" s="11"/>
      <c r="M293" s="14"/>
      <c r="N293" s="11"/>
      <c r="O293" s="14"/>
      <c r="P293" s="11"/>
      <c r="Q293" s="14"/>
      <c r="R293" s="11"/>
      <c r="S293" s="14"/>
      <c r="T293" s="11"/>
      <c r="U293" s="8">
        <f t="shared" si="53"/>
        <v>123</v>
      </c>
    </row>
    <row r="294" spans="9:21">
      <c r="I294" s="5">
        <v>84</v>
      </c>
      <c r="J294" s="11">
        <f>(J293+J295)/2</f>
        <v>9.9062500000000001E-3</v>
      </c>
      <c r="K294" s="14"/>
      <c r="L294" s="11"/>
      <c r="M294" s="14"/>
      <c r="N294" s="11"/>
      <c r="O294" s="14"/>
      <c r="P294" s="11"/>
      <c r="Q294" s="14"/>
      <c r="R294" s="11"/>
      <c r="S294" s="14"/>
      <c r="T294" s="11"/>
      <c r="U294" s="8">
        <f t="shared" si="53"/>
        <v>124</v>
      </c>
    </row>
    <row r="295" spans="9:21">
      <c r="I295" s="5">
        <v>85</v>
      </c>
      <c r="J295" s="11">
        <f>(J290+J300)/2</f>
        <v>1.06E-2</v>
      </c>
      <c r="K295" s="14"/>
      <c r="L295" s="11"/>
      <c r="M295" s="14"/>
      <c r="N295" s="11"/>
      <c r="O295" s="14"/>
      <c r="P295" s="11"/>
      <c r="Q295" s="14"/>
      <c r="R295" s="11"/>
      <c r="S295" s="14"/>
      <c r="T295" s="11"/>
      <c r="U295" s="8">
        <f t="shared" si="53"/>
        <v>125</v>
      </c>
    </row>
    <row r="296" spans="9:21">
      <c r="I296" s="5">
        <v>86</v>
      </c>
      <c r="J296" s="11">
        <f>(J294+J298)/2</f>
        <v>1.1178125000000001E-2</v>
      </c>
      <c r="K296" s="14"/>
      <c r="L296" s="11"/>
      <c r="M296" s="14"/>
      <c r="N296" s="11"/>
      <c r="O296" s="14"/>
      <c r="P296" s="11"/>
      <c r="Q296" s="14"/>
      <c r="R296" s="11"/>
      <c r="S296" s="14"/>
      <c r="T296" s="11"/>
      <c r="U296" s="8">
        <f t="shared" si="53"/>
        <v>126</v>
      </c>
    </row>
    <row r="297" spans="9:21">
      <c r="I297" s="5">
        <v>87</v>
      </c>
      <c r="J297" s="11">
        <f>(J296+J298)/2</f>
        <v>1.18140625E-2</v>
      </c>
      <c r="K297" s="14"/>
      <c r="L297" s="11"/>
      <c r="M297" s="14"/>
      <c r="N297" s="11"/>
      <c r="O297" s="14"/>
      <c r="P297" s="11"/>
      <c r="Q297" s="14"/>
      <c r="R297" s="11"/>
      <c r="S297" s="14"/>
      <c r="T297" s="11"/>
      <c r="U297" s="8">
        <f t="shared" si="53"/>
        <v>127</v>
      </c>
    </row>
    <row r="298" spans="9:21">
      <c r="I298" s="5">
        <v>88</v>
      </c>
      <c r="J298" s="11">
        <f>(J295+J300)/2</f>
        <v>1.2449999999999999E-2</v>
      </c>
      <c r="K298" s="14"/>
      <c r="L298" s="11"/>
      <c r="M298" s="14"/>
      <c r="N298" s="11"/>
      <c r="O298" s="14"/>
      <c r="P298" s="11"/>
      <c r="Q298" s="14"/>
      <c r="R298" s="11"/>
      <c r="S298" s="14"/>
      <c r="T298" s="11"/>
      <c r="U298" s="8">
        <f t="shared" si="53"/>
        <v>128</v>
      </c>
    </row>
    <row r="299" spans="9:21">
      <c r="I299" s="5">
        <v>89</v>
      </c>
      <c r="J299" s="11">
        <f>(J298+J300)/2</f>
        <v>1.3375E-2</v>
      </c>
      <c r="K299" s="14"/>
      <c r="L299" s="11"/>
      <c r="M299" s="14"/>
      <c r="N299" s="11"/>
      <c r="O299" s="14"/>
      <c r="P299" s="11"/>
      <c r="Q299" s="14"/>
      <c r="R299" s="11"/>
      <c r="S299" s="14"/>
      <c r="T299" s="11"/>
      <c r="U299" s="8">
        <f t="shared" si="53"/>
        <v>129</v>
      </c>
    </row>
    <row r="300" spans="9:21">
      <c r="I300" s="5">
        <v>90</v>
      </c>
      <c r="J300" s="11">
        <v>1.43E-2</v>
      </c>
      <c r="K300" s="14"/>
      <c r="L300" s="11"/>
      <c r="M300" s="14"/>
      <c r="N300" s="11"/>
      <c r="O300" s="14"/>
      <c r="P300" s="11"/>
      <c r="Q300" s="14"/>
      <c r="R300" s="11"/>
      <c r="S300" s="14"/>
      <c r="T300" s="11"/>
      <c r="U300" s="8">
        <f t="shared" si="53"/>
        <v>130</v>
      </c>
    </row>
    <row r="301" spans="9:21">
      <c r="I301" s="5">
        <v>91</v>
      </c>
      <c r="J301" s="11">
        <f>(J300+J302)/2</f>
        <v>1.5275E-2</v>
      </c>
    </row>
    <row r="302" spans="9:21">
      <c r="I302" s="5">
        <v>92</v>
      </c>
      <c r="J302" s="11">
        <f>(J300+J305)/2</f>
        <v>1.6250000000000001E-2</v>
      </c>
    </row>
    <row r="303" spans="9:21">
      <c r="I303" s="5">
        <v>93</v>
      </c>
      <c r="J303" s="11">
        <f>(J301+J305)/2</f>
        <v>1.6737500000000002E-2</v>
      </c>
    </row>
    <row r="304" spans="9:21">
      <c r="I304" s="5">
        <v>94</v>
      </c>
      <c r="J304" s="11">
        <f>(J303+J305)/2</f>
        <v>1.7468750000000002E-2</v>
      </c>
    </row>
    <row r="305" spans="9:10">
      <c r="I305" s="5">
        <v>95</v>
      </c>
      <c r="J305" s="11">
        <f>(J300+J310)/2</f>
        <v>1.8200000000000001E-2</v>
      </c>
    </row>
    <row r="306" spans="9:10">
      <c r="I306" s="5">
        <v>96</v>
      </c>
      <c r="J306" s="11">
        <f>(J304+J308)/2</f>
        <v>1.8809375000000003E-2</v>
      </c>
    </row>
    <row r="307" spans="9:10">
      <c r="I307" s="5">
        <v>97</v>
      </c>
      <c r="J307" s="11">
        <f>(J306+J308)/2</f>
        <v>1.9479687500000002E-2</v>
      </c>
    </row>
    <row r="308" spans="9:10">
      <c r="I308" s="5">
        <v>98</v>
      </c>
      <c r="J308" s="11">
        <f>(J305+J310)/2</f>
        <v>2.0150000000000001E-2</v>
      </c>
    </row>
    <row r="309" spans="9:10">
      <c r="I309" s="5">
        <v>99</v>
      </c>
      <c r="J309" s="11">
        <f>(J308+J310)/2</f>
        <v>2.1125000000000001E-2</v>
      </c>
    </row>
    <row r="310" spans="9:10">
      <c r="I310" s="5">
        <v>100</v>
      </c>
      <c r="J310" s="11">
        <v>2.2100000000000002E-2</v>
      </c>
    </row>
    <row r="311" spans="9:10">
      <c r="I311" s="5">
        <v>101</v>
      </c>
      <c r="J311" s="11">
        <f>(J310+J312)/2</f>
        <v>2.3137500000000002E-2</v>
      </c>
    </row>
    <row r="312" spans="9:10">
      <c r="I312" s="5">
        <v>102</v>
      </c>
      <c r="J312" s="11">
        <f>(J310+J315)/2</f>
        <v>2.4175000000000002E-2</v>
      </c>
    </row>
    <row r="313" spans="9:10">
      <c r="I313" s="5">
        <v>103</v>
      </c>
      <c r="J313" s="11">
        <f>(J311+J315)/2</f>
        <v>2.469375E-2</v>
      </c>
    </row>
    <row r="314" spans="9:10">
      <c r="I314" s="5">
        <v>104</v>
      </c>
      <c r="J314" s="11">
        <f>(J313+J315)/2</f>
        <v>2.5471875000000001E-2</v>
      </c>
    </row>
    <row r="315" spans="9:10">
      <c r="I315" s="5">
        <v>105</v>
      </c>
      <c r="J315" s="11">
        <f>(J310+J320)/2</f>
        <v>2.6250000000000002E-2</v>
      </c>
    </row>
    <row r="316" spans="9:10">
      <c r="I316" s="5">
        <v>106</v>
      </c>
      <c r="J316" s="11">
        <f>(J314+J318)/2</f>
        <v>2.6898437500000004E-2</v>
      </c>
    </row>
    <row r="317" spans="9:10">
      <c r="I317" s="5">
        <v>107</v>
      </c>
      <c r="J317" s="11">
        <f>(J316+J318)/2</f>
        <v>2.7611718750000003E-2</v>
      </c>
    </row>
    <row r="318" spans="9:10">
      <c r="I318" s="5">
        <v>108</v>
      </c>
      <c r="J318" s="11">
        <f>(J315+J320)/2</f>
        <v>2.8325000000000003E-2</v>
      </c>
    </row>
    <row r="319" spans="9:10">
      <c r="I319" s="5">
        <v>109</v>
      </c>
      <c r="J319" s="11">
        <f>(J318+J320)/2</f>
        <v>2.93625E-2</v>
      </c>
    </row>
    <row r="320" spans="9:10">
      <c r="I320" s="5">
        <v>110</v>
      </c>
      <c r="J320" s="11">
        <v>3.04E-2</v>
      </c>
    </row>
    <row r="321" spans="9:10">
      <c r="I321" s="5">
        <v>111</v>
      </c>
      <c r="J321" s="11">
        <f>(J320+J322)/2</f>
        <v>3.13125E-2</v>
      </c>
    </row>
    <row r="322" spans="9:10">
      <c r="I322" s="5">
        <v>112</v>
      </c>
      <c r="J322" s="11">
        <f>(J320+J325)/2</f>
        <v>3.2224999999999997E-2</v>
      </c>
    </row>
    <row r="323" spans="9:10">
      <c r="I323" s="5">
        <v>113</v>
      </c>
      <c r="J323" s="11">
        <f>(J321+J325)/2</f>
        <v>3.2681249999999995E-2</v>
      </c>
    </row>
    <row r="324" spans="9:10">
      <c r="I324" s="5">
        <v>114</v>
      </c>
      <c r="J324" s="11">
        <f>(J323+J325)/2</f>
        <v>3.3365624999999996E-2</v>
      </c>
    </row>
    <row r="325" spans="9:10">
      <c r="I325" s="5">
        <v>115</v>
      </c>
      <c r="J325" s="11">
        <f>(J320+J330)/2</f>
        <v>3.4049999999999997E-2</v>
      </c>
    </row>
    <row r="326" spans="9:10">
      <c r="I326" s="5">
        <v>116</v>
      </c>
      <c r="J326" s="11">
        <f>(J324+J328)/2</f>
        <v>3.46203125E-2</v>
      </c>
    </row>
    <row r="327" spans="9:10">
      <c r="I327" s="5">
        <v>117</v>
      </c>
      <c r="J327" s="11">
        <f>(J326+J328)/2</f>
        <v>3.5247656249999995E-2</v>
      </c>
    </row>
    <row r="328" spans="9:10">
      <c r="I328" s="5">
        <v>118</v>
      </c>
      <c r="J328" s="11">
        <f>(J325+J330)/2</f>
        <v>3.5874999999999997E-2</v>
      </c>
    </row>
    <row r="329" spans="9:10">
      <c r="I329" s="5">
        <v>119</v>
      </c>
      <c r="J329" s="11">
        <f>(J328+J330)/2</f>
        <v>3.6787500000000001E-2</v>
      </c>
    </row>
    <row r="330" spans="9:10">
      <c r="I330" s="5">
        <v>120</v>
      </c>
      <c r="J330" s="11">
        <v>3.7699999999999997E-2</v>
      </c>
    </row>
    <row r="331" spans="9:10">
      <c r="I331" s="5">
        <v>121</v>
      </c>
      <c r="J331" s="11">
        <f>(J330+J332)/2</f>
        <v>3.9162499999999996E-2</v>
      </c>
    </row>
    <row r="332" spans="9:10">
      <c r="I332" s="5">
        <v>122</v>
      </c>
      <c r="J332" s="11">
        <f>(J330+J335)/2</f>
        <v>4.0624999999999994E-2</v>
      </c>
    </row>
    <row r="333" spans="9:10">
      <c r="I333" s="5">
        <v>123</v>
      </c>
      <c r="J333" s="11">
        <f>(J331+J335)/2</f>
        <v>4.1356249999999997E-2</v>
      </c>
    </row>
    <row r="334" spans="9:10">
      <c r="I334" s="5">
        <v>124</v>
      </c>
      <c r="J334" s="11">
        <f>(J333+J335)/2</f>
        <v>4.2453124999999994E-2</v>
      </c>
    </row>
    <row r="335" spans="9:10">
      <c r="I335" s="5">
        <v>125</v>
      </c>
      <c r="J335" s="11">
        <f>(J330+J340)/2</f>
        <v>4.3549999999999998E-2</v>
      </c>
    </row>
    <row r="336" spans="9:10">
      <c r="I336" s="5">
        <v>126</v>
      </c>
      <c r="J336" s="11">
        <f>(J334+J338)/2</f>
        <v>4.4464062499999998E-2</v>
      </c>
    </row>
    <row r="337" spans="9:10">
      <c r="I337" s="5">
        <v>127</v>
      </c>
      <c r="J337" s="11">
        <f>(J336+J338)/2</f>
        <v>4.546953125E-2</v>
      </c>
    </row>
    <row r="338" spans="9:10">
      <c r="I338" s="5">
        <v>128</v>
      </c>
      <c r="J338" s="11">
        <f>(J335+J340)/2</f>
        <v>4.6475000000000002E-2</v>
      </c>
    </row>
    <row r="339" spans="9:10">
      <c r="I339" s="5">
        <v>129</v>
      </c>
      <c r="J339" s="11">
        <f>(J338+J340)/2</f>
        <v>4.7937500000000001E-2</v>
      </c>
    </row>
    <row r="340" spans="9:10">
      <c r="I340" s="5">
        <v>130</v>
      </c>
      <c r="J340" s="11">
        <v>4.9399999999999999E-2</v>
      </c>
    </row>
  </sheetData>
  <mergeCells count="5">
    <mergeCell ref="Z190:AE190"/>
    <mergeCell ref="J182:T182"/>
    <mergeCell ref="Y236:AD236"/>
    <mergeCell ref="J238:T238"/>
    <mergeCell ref="Z1:AJ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0"/>
  <dimension ref="A1:AR347"/>
  <sheetViews>
    <sheetView topLeftCell="A19" workbookViewId="0">
      <selection activeCell="C44" sqref="C44"/>
    </sheetView>
  </sheetViews>
  <sheetFormatPr defaultColWidth="9" defaultRowHeight="14.4"/>
  <cols>
    <col min="1" max="1" width="9" style="3"/>
    <col min="2" max="2" width="19.8984375" style="3" customWidth="1"/>
    <col min="3" max="5" width="9" style="3"/>
    <col min="6" max="6" width="12.5" style="3" customWidth="1"/>
    <col min="7" max="8" width="9" style="3"/>
    <col min="9" max="9" width="11.8984375" style="3" bestFit="1" customWidth="1"/>
    <col min="10" max="24" width="9" style="3"/>
    <col min="25" max="25" width="28.19921875" style="3" customWidth="1"/>
    <col min="26" max="28" width="9" style="3"/>
    <col min="29" max="29" width="20.5" style="3" customWidth="1"/>
    <col min="30" max="16384" width="9" style="3"/>
  </cols>
  <sheetData>
    <row r="1" spans="9:21">
      <c r="I1" s="288"/>
      <c r="J1" s="289"/>
      <c r="K1" s="497" t="s">
        <v>666</v>
      </c>
      <c r="L1" s="498"/>
      <c r="M1" s="498"/>
      <c r="N1" s="498"/>
      <c r="O1" s="498"/>
      <c r="P1" s="497" t="s">
        <v>667</v>
      </c>
      <c r="Q1" s="498"/>
      <c r="R1" s="498"/>
      <c r="S1" s="498"/>
      <c r="T1" s="498"/>
    </row>
    <row r="2" spans="9:21">
      <c r="I2" s="3" t="s">
        <v>640</v>
      </c>
      <c r="J2" s="4">
        <v>0</v>
      </c>
      <c r="K2" s="4">
        <v>20</v>
      </c>
      <c r="L2" s="4">
        <v>25</v>
      </c>
      <c r="M2" s="4">
        <v>30</v>
      </c>
      <c r="N2" s="4">
        <v>35</v>
      </c>
      <c r="O2" s="4">
        <v>40</v>
      </c>
      <c r="P2" s="4">
        <v>20</v>
      </c>
      <c r="Q2" s="4">
        <v>25</v>
      </c>
      <c r="R2" s="4">
        <v>30</v>
      </c>
      <c r="S2" s="4">
        <v>35</v>
      </c>
      <c r="T2" s="4">
        <v>40</v>
      </c>
      <c r="U2" s="3" t="s">
        <v>640</v>
      </c>
    </row>
    <row r="3" spans="9:21">
      <c r="J3" s="4">
        <v>1</v>
      </c>
      <c r="K3" s="4">
        <v>2</v>
      </c>
      <c r="L3" s="4">
        <v>3</v>
      </c>
      <c r="M3" s="4">
        <v>4</v>
      </c>
      <c r="N3" s="4">
        <v>5</v>
      </c>
      <c r="O3" s="4">
        <v>6</v>
      </c>
      <c r="P3" s="3">
        <v>7</v>
      </c>
      <c r="Q3" s="3">
        <v>8</v>
      </c>
      <c r="R3" s="4">
        <v>9</v>
      </c>
      <c r="S3" s="4">
        <v>10</v>
      </c>
      <c r="T3" s="3">
        <v>11</v>
      </c>
    </row>
    <row r="4" spans="9:21">
      <c r="I4" s="269">
        <v>-26</v>
      </c>
      <c r="J4" s="4"/>
      <c r="K4" s="4"/>
      <c r="L4" s="4"/>
      <c r="M4" s="4"/>
      <c r="N4" s="4"/>
      <c r="O4" s="270">
        <v>1072.9000000000001</v>
      </c>
      <c r="R4" s="4"/>
      <c r="S4" s="4"/>
      <c r="U4" s="269">
        <v>-26</v>
      </c>
    </row>
    <row r="5" spans="9:21">
      <c r="I5" s="269">
        <v>-25</v>
      </c>
      <c r="J5" s="4"/>
      <c r="K5" s="4"/>
      <c r="L5" s="4"/>
      <c r="M5" s="4"/>
      <c r="N5" s="4"/>
      <c r="O5" s="270">
        <v>1072.7</v>
      </c>
      <c r="R5" s="4"/>
      <c r="S5" s="4"/>
      <c r="U5" s="269">
        <v>-25</v>
      </c>
    </row>
    <row r="6" spans="9:21">
      <c r="I6" s="246">
        <v>-24</v>
      </c>
      <c r="J6" s="248"/>
      <c r="K6" s="248"/>
      <c r="L6" s="248"/>
      <c r="M6" s="248"/>
      <c r="N6" s="248"/>
      <c r="O6" s="248">
        <v>1072.5</v>
      </c>
      <c r="P6" s="248"/>
      <c r="Q6" s="248"/>
      <c r="R6" s="248"/>
      <c r="S6" s="248"/>
      <c r="U6" s="246">
        <v>-24</v>
      </c>
    </row>
    <row r="7" spans="9:21">
      <c r="I7" s="246">
        <v>-23</v>
      </c>
      <c r="J7" s="248"/>
      <c r="K7" s="248"/>
      <c r="L7" s="248"/>
      <c r="M7" s="248"/>
      <c r="N7" s="248"/>
      <c r="O7" s="248">
        <v>1072.3</v>
      </c>
      <c r="P7" s="248"/>
      <c r="Q7" s="248"/>
      <c r="R7" s="248"/>
      <c r="S7" s="248"/>
      <c r="U7" s="246">
        <v>-23</v>
      </c>
    </row>
    <row r="8" spans="9:21">
      <c r="I8" s="246">
        <v>-22</v>
      </c>
      <c r="J8" s="248"/>
      <c r="K8" s="248"/>
      <c r="L8" s="248"/>
      <c r="M8" s="248"/>
      <c r="N8" s="248">
        <v>1064.2</v>
      </c>
      <c r="O8" s="248">
        <v>1072.0999999999999</v>
      </c>
      <c r="P8" s="248"/>
      <c r="Q8" s="248"/>
      <c r="R8" s="248"/>
      <c r="S8" s="248"/>
      <c r="U8" s="246">
        <v>-22</v>
      </c>
    </row>
    <row r="9" spans="9:21">
      <c r="I9" s="246">
        <v>-21</v>
      </c>
      <c r="J9" s="248"/>
      <c r="K9" s="248"/>
      <c r="L9" s="248"/>
      <c r="M9" s="248"/>
      <c r="N9" s="248">
        <v>1064</v>
      </c>
      <c r="O9" s="248">
        <v>1071.9000000000001</v>
      </c>
      <c r="P9" s="248"/>
      <c r="Q9" s="248"/>
      <c r="R9" s="248"/>
      <c r="S9" s="248"/>
      <c r="T9" s="248">
        <v>1057.5999999999999</v>
      </c>
      <c r="U9" s="246">
        <v>-21</v>
      </c>
    </row>
    <row r="10" spans="9:21">
      <c r="I10" s="246">
        <v>-20</v>
      </c>
      <c r="J10" s="248"/>
      <c r="K10" s="248"/>
      <c r="L10" s="248"/>
      <c r="M10" s="248"/>
      <c r="N10" s="248">
        <v>1063.8</v>
      </c>
      <c r="O10" s="248">
        <v>1071.7</v>
      </c>
      <c r="P10" s="248"/>
      <c r="Q10" s="248"/>
      <c r="R10" s="248"/>
      <c r="S10" s="248"/>
      <c r="T10" s="248">
        <v>1057.0999999999999</v>
      </c>
      <c r="U10" s="246">
        <v>-20</v>
      </c>
    </row>
    <row r="11" spans="9:21">
      <c r="I11" s="246">
        <v>-19</v>
      </c>
      <c r="J11" s="248"/>
      <c r="K11" s="248"/>
      <c r="L11" s="248"/>
      <c r="M11" s="248"/>
      <c r="N11" s="248">
        <v>1063.5</v>
      </c>
      <c r="O11" s="248">
        <v>1071.4000000000001</v>
      </c>
      <c r="P11" s="248"/>
      <c r="Q11" s="248"/>
      <c r="R11" s="248"/>
      <c r="S11" s="248"/>
      <c r="T11" s="248">
        <v>1056.5999999999999</v>
      </c>
      <c r="U11" s="246">
        <v>-19</v>
      </c>
    </row>
    <row r="12" spans="9:21">
      <c r="I12" s="246">
        <v>-18</v>
      </c>
      <c r="J12" s="248"/>
      <c r="K12" s="248"/>
      <c r="L12" s="248"/>
      <c r="M12" s="248"/>
      <c r="N12" s="248">
        <v>1063.3</v>
      </c>
      <c r="O12" s="248">
        <v>1071.0999999999999</v>
      </c>
      <c r="P12" s="248"/>
      <c r="Q12" s="248"/>
      <c r="R12" s="248"/>
      <c r="S12" s="248"/>
      <c r="T12" s="248">
        <v>1056.0999999999999</v>
      </c>
      <c r="U12" s="246">
        <v>-18</v>
      </c>
    </row>
    <row r="13" spans="9:21">
      <c r="I13" s="246">
        <v>-17</v>
      </c>
      <c r="J13" s="248"/>
      <c r="K13" s="248"/>
      <c r="L13" s="248"/>
      <c r="M13" s="248"/>
      <c r="N13" s="248">
        <v>1063.0999999999999</v>
      </c>
      <c r="O13" s="248">
        <v>1070.8</v>
      </c>
      <c r="P13" s="248"/>
      <c r="Q13" s="248"/>
      <c r="R13" s="248"/>
      <c r="S13" s="248">
        <v>1051.5</v>
      </c>
      <c r="T13" s="248">
        <v>1055.5999999999999</v>
      </c>
      <c r="U13" s="246">
        <v>-17</v>
      </c>
    </row>
    <row r="14" spans="9:21">
      <c r="I14" s="246">
        <v>-16</v>
      </c>
      <c r="J14" s="248"/>
      <c r="K14" s="248"/>
      <c r="L14" s="248"/>
      <c r="M14" s="248">
        <v>1051.9000000000001</v>
      </c>
      <c r="N14" s="248">
        <v>1062.8</v>
      </c>
      <c r="O14" s="248">
        <v>1070.5</v>
      </c>
      <c r="P14" s="248"/>
      <c r="Q14" s="248"/>
      <c r="R14" s="248"/>
      <c r="S14" s="248">
        <v>1051.0999999999999</v>
      </c>
      <c r="T14" s="248">
        <v>1055.0999999999999</v>
      </c>
      <c r="U14" s="246">
        <v>-16</v>
      </c>
    </row>
    <row r="15" spans="9:21">
      <c r="I15" s="246">
        <v>-15</v>
      </c>
      <c r="J15" s="248"/>
      <c r="K15" s="248"/>
      <c r="L15" s="248"/>
      <c r="M15" s="248">
        <v>1051.7</v>
      </c>
      <c r="N15" s="248">
        <v>1062.5999999999999</v>
      </c>
      <c r="O15" s="248">
        <v>1070.2</v>
      </c>
      <c r="P15" s="248"/>
      <c r="Q15" s="248"/>
      <c r="R15" s="248"/>
      <c r="S15" s="248">
        <v>1050.5999999999999</v>
      </c>
      <c r="T15" s="248">
        <v>1054.5999999999999</v>
      </c>
      <c r="U15" s="246">
        <v>-15</v>
      </c>
    </row>
    <row r="16" spans="9:21">
      <c r="I16" s="246">
        <v>-14</v>
      </c>
      <c r="J16" s="248"/>
      <c r="K16" s="248"/>
      <c r="L16" s="248"/>
      <c r="M16" s="248">
        <v>1051.5</v>
      </c>
      <c r="N16" s="248">
        <v>1062.3</v>
      </c>
      <c r="O16" s="248">
        <v>1069.9000000000001</v>
      </c>
      <c r="P16" s="248"/>
      <c r="Q16" s="248"/>
      <c r="R16" s="248">
        <v>1045.8</v>
      </c>
      <c r="S16" s="248">
        <v>1050.0999999999999</v>
      </c>
      <c r="T16" s="248">
        <v>1054.0999999999999</v>
      </c>
      <c r="U16" s="246">
        <v>-14</v>
      </c>
    </row>
    <row r="17" spans="9:21">
      <c r="I17" s="246">
        <v>-13</v>
      </c>
      <c r="J17" s="248"/>
      <c r="K17" s="248"/>
      <c r="L17" s="248"/>
      <c r="M17" s="248">
        <v>1051.3</v>
      </c>
      <c r="N17" s="248">
        <v>1062.0999999999999</v>
      </c>
      <c r="O17" s="248">
        <v>1069.5999999999999</v>
      </c>
      <c r="P17" s="248"/>
      <c r="Q17" s="248"/>
      <c r="R17" s="248">
        <v>1045.5999999999999</v>
      </c>
      <c r="S17" s="248">
        <v>1049.5999999999999</v>
      </c>
      <c r="T17" s="248">
        <v>1053.5999999999999</v>
      </c>
      <c r="U17" s="246">
        <v>-13</v>
      </c>
    </row>
    <row r="18" spans="9:21">
      <c r="I18" s="246">
        <v>-12</v>
      </c>
      <c r="J18" s="248"/>
      <c r="K18" s="248"/>
      <c r="L18" s="248">
        <v>1043.7</v>
      </c>
      <c r="M18" s="248">
        <v>1051.0999999999999</v>
      </c>
      <c r="N18" s="248">
        <v>1061.8</v>
      </c>
      <c r="O18" s="248">
        <v>1069.3</v>
      </c>
      <c r="P18" s="248"/>
      <c r="Q18" s="248"/>
      <c r="R18" s="248">
        <v>1045.0999999999999</v>
      </c>
      <c r="S18" s="248">
        <v>1049.2</v>
      </c>
      <c r="T18" s="248">
        <v>1053.0999999999999</v>
      </c>
      <c r="U18" s="246">
        <v>-12</v>
      </c>
    </row>
    <row r="19" spans="9:21">
      <c r="I19" s="246">
        <v>-11</v>
      </c>
      <c r="J19" s="248"/>
      <c r="K19" s="248"/>
      <c r="L19" s="248">
        <v>1043.5</v>
      </c>
      <c r="M19" s="248">
        <v>1050.9000000000001</v>
      </c>
      <c r="N19" s="248">
        <v>1061.5999999999999</v>
      </c>
      <c r="O19" s="248">
        <v>1069</v>
      </c>
      <c r="P19" s="248"/>
      <c r="Q19" s="248"/>
      <c r="R19" s="248">
        <v>1044.7</v>
      </c>
      <c r="S19" s="248">
        <v>1048.7</v>
      </c>
      <c r="T19" s="248">
        <v>1052.5999999999999</v>
      </c>
      <c r="U19" s="246">
        <v>-11</v>
      </c>
    </row>
    <row r="20" spans="9:21">
      <c r="I20" s="246">
        <v>-10</v>
      </c>
      <c r="J20" s="248"/>
      <c r="K20" s="248"/>
      <c r="L20" s="248">
        <v>1043.3</v>
      </c>
      <c r="M20" s="248">
        <v>1050.7</v>
      </c>
      <c r="N20" s="248">
        <v>1061.4000000000001</v>
      </c>
      <c r="O20" s="248">
        <v>1068.7</v>
      </c>
      <c r="P20" s="248"/>
      <c r="Q20" s="248">
        <v>1039.4000000000001</v>
      </c>
      <c r="R20" s="248">
        <v>1044.3</v>
      </c>
      <c r="S20" s="248">
        <v>1048.2</v>
      </c>
      <c r="T20" s="248">
        <v>1052.0999999999999</v>
      </c>
      <c r="U20" s="246">
        <v>-10</v>
      </c>
    </row>
    <row r="21" spans="9:21">
      <c r="I21" s="246">
        <v>-9</v>
      </c>
      <c r="J21" s="248"/>
      <c r="K21" s="248">
        <v>1034.4000000000001</v>
      </c>
      <c r="L21" s="248">
        <v>1043.0999999999999</v>
      </c>
      <c r="M21" s="248">
        <v>1050.5</v>
      </c>
      <c r="N21" s="248">
        <v>1061</v>
      </c>
      <c r="O21" s="248">
        <v>1068.3</v>
      </c>
      <c r="P21" s="248"/>
      <c r="Q21" s="248">
        <v>1039</v>
      </c>
      <c r="R21" s="248">
        <v>1043.8</v>
      </c>
      <c r="S21" s="248">
        <v>1047.7</v>
      </c>
      <c r="T21" s="248">
        <v>1051.5999999999999</v>
      </c>
      <c r="U21" s="246">
        <v>-9</v>
      </c>
    </row>
    <row r="22" spans="9:21">
      <c r="I22" s="246">
        <v>-8</v>
      </c>
      <c r="J22" s="248"/>
      <c r="K22" s="248">
        <v>1034.2</v>
      </c>
      <c r="L22" s="248">
        <v>1042.9000000000001</v>
      </c>
      <c r="M22" s="248">
        <v>1050.3</v>
      </c>
      <c r="N22" s="248">
        <v>1060.7</v>
      </c>
      <c r="O22" s="248">
        <v>1067.9000000000001</v>
      </c>
      <c r="P22" s="248">
        <v>1033</v>
      </c>
      <c r="Q22" s="248">
        <v>1038.5</v>
      </c>
      <c r="R22" s="248">
        <v>1043.3</v>
      </c>
      <c r="S22" s="248">
        <v>1047.2</v>
      </c>
      <c r="T22" s="248">
        <v>1051</v>
      </c>
      <c r="U22" s="246">
        <v>-8</v>
      </c>
    </row>
    <row r="23" spans="9:21">
      <c r="I23" s="246">
        <v>-7</v>
      </c>
      <c r="J23" s="248"/>
      <c r="K23" s="248">
        <v>1034</v>
      </c>
      <c r="L23" s="248">
        <v>1042.7</v>
      </c>
      <c r="M23" s="248">
        <v>1050</v>
      </c>
      <c r="N23" s="248">
        <v>1060.3</v>
      </c>
      <c r="O23" s="248">
        <v>1067.5</v>
      </c>
      <c r="P23" s="248">
        <v>1032.7</v>
      </c>
      <c r="Q23" s="248">
        <v>1038.0999999999999</v>
      </c>
      <c r="R23" s="248">
        <v>1042.9000000000001</v>
      </c>
      <c r="S23" s="248">
        <v>1046.8</v>
      </c>
      <c r="T23" s="248">
        <v>1050.5</v>
      </c>
      <c r="U23" s="246">
        <v>-7</v>
      </c>
    </row>
    <row r="24" spans="9:21">
      <c r="I24" s="246">
        <v>-6</v>
      </c>
      <c r="J24" s="248"/>
      <c r="K24" s="248">
        <v>1033.8</v>
      </c>
      <c r="L24" s="248">
        <v>1042.5</v>
      </c>
      <c r="M24" s="248">
        <v>1049.8</v>
      </c>
      <c r="N24" s="248">
        <v>1060</v>
      </c>
      <c r="O24" s="248">
        <v>1067.0999999999999</v>
      </c>
      <c r="P24" s="248">
        <v>1032.3</v>
      </c>
      <c r="Q24" s="248">
        <v>1037.7</v>
      </c>
      <c r="R24" s="248">
        <v>1042.4000000000001</v>
      </c>
      <c r="S24" s="248">
        <v>1046.3</v>
      </c>
      <c r="T24" s="248">
        <v>1050</v>
      </c>
      <c r="U24" s="246">
        <v>-6</v>
      </c>
    </row>
    <row r="25" spans="9:21">
      <c r="I25" s="246">
        <v>-5</v>
      </c>
      <c r="J25" s="248"/>
      <c r="K25" s="248">
        <v>1033.5999999999999</v>
      </c>
      <c r="L25" s="248">
        <v>1042.3</v>
      </c>
      <c r="M25" s="248">
        <v>1049.5999999999999</v>
      </c>
      <c r="N25" s="248">
        <v>1059.7</v>
      </c>
      <c r="O25" s="248">
        <v>1066.7</v>
      </c>
      <c r="P25" s="248">
        <v>1031.9000000000001</v>
      </c>
      <c r="Q25" s="248">
        <v>1037.3</v>
      </c>
      <c r="R25" s="248">
        <v>1041.9000000000001</v>
      </c>
      <c r="S25" s="248">
        <v>1045.8</v>
      </c>
      <c r="T25" s="248">
        <v>1049.4000000000001</v>
      </c>
      <c r="U25" s="246">
        <v>-5</v>
      </c>
    </row>
    <row r="26" spans="9:21">
      <c r="I26" s="246">
        <v>-4</v>
      </c>
      <c r="J26" s="248"/>
      <c r="K26" s="248">
        <v>1033.4000000000001</v>
      </c>
      <c r="L26" s="248">
        <v>1042.0999999999999</v>
      </c>
      <c r="M26" s="248">
        <v>1049.4000000000001</v>
      </c>
      <c r="N26" s="248">
        <v>1059.3</v>
      </c>
      <c r="O26" s="248">
        <v>1066.3</v>
      </c>
      <c r="P26" s="248">
        <v>1031.5999999999999</v>
      </c>
      <c r="Q26" s="248">
        <v>1036.9000000000001</v>
      </c>
      <c r="R26" s="248">
        <v>1041.5</v>
      </c>
      <c r="S26" s="248">
        <v>1045.3</v>
      </c>
      <c r="T26" s="248">
        <v>1048.9000000000001</v>
      </c>
      <c r="U26" s="246">
        <v>-4</v>
      </c>
    </row>
    <row r="27" spans="9:21">
      <c r="I27" s="246">
        <v>-3</v>
      </c>
      <c r="J27" s="248"/>
      <c r="K27" s="248">
        <v>1033.2</v>
      </c>
      <c r="L27" s="248">
        <v>1041.9000000000001</v>
      </c>
      <c r="M27" s="248">
        <v>1049.0999999999999</v>
      </c>
      <c r="N27" s="248">
        <v>1059</v>
      </c>
      <c r="O27" s="248">
        <v>1065.9000000000001</v>
      </c>
      <c r="P27" s="248">
        <v>1031.2</v>
      </c>
      <c r="Q27" s="248">
        <v>1036.4000000000001</v>
      </c>
      <c r="R27" s="248">
        <v>1041</v>
      </c>
      <c r="S27" s="248">
        <v>1044.8</v>
      </c>
      <c r="T27" s="248">
        <v>1048.4000000000001</v>
      </c>
      <c r="U27" s="246">
        <v>-3</v>
      </c>
    </row>
    <row r="28" spans="9:21">
      <c r="I28" s="246">
        <v>-2</v>
      </c>
      <c r="J28" s="248"/>
      <c r="K28" s="248">
        <v>1033</v>
      </c>
      <c r="L28" s="248">
        <v>1041.7</v>
      </c>
      <c r="M28" s="248">
        <v>1048.9000000000001</v>
      </c>
      <c r="N28" s="248">
        <v>1058.5999999999999</v>
      </c>
      <c r="O28" s="248">
        <v>1065.5</v>
      </c>
      <c r="P28" s="248">
        <v>1030.8</v>
      </c>
      <c r="Q28" s="248">
        <v>1036</v>
      </c>
      <c r="R28" s="248">
        <v>1040.5999999999999</v>
      </c>
      <c r="S28" s="248">
        <v>1044.3</v>
      </c>
      <c r="T28" s="248">
        <v>1047.9000000000001</v>
      </c>
      <c r="U28" s="246">
        <v>-2</v>
      </c>
    </row>
    <row r="29" spans="9:21">
      <c r="I29" s="246">
        <v>-1</v>
      </c>
      <c r="J29" s="248"/>
      <c r="K29" s="248">
        <v>1032.8</v>
      </c>
      <c r="L29" s="248">
        <v>1041.5</v>
      </c>
      <c r="M29" s="248">
        <v>1048.7</v>
      </c>
      <c r="N29" s="248">
        <v>1058.3</v>
      </c>
      <c r="O29" s="248">
        <v>1065.0999999999999</v>
      </c>
      <c r="P29" s="248">
        <v>1030.4000000000001</v>
      </c>
      <c r="Q29" s="248">
        <v>1035.5999999999999</v>
      </c>
      <c r="R29" s="248">
        <v>1040.0999999999999</v>
      </c>
      <c r="S29" s="248">
        <v>1043.8</v>
      </c>
      <c r="T29" s="248">
        <v>1047.3</v>
      </c>
      <c r="U29" s="246">
        <v>-1</v>
      </c>
    </row>
    <row r="30" spans="9:21">
      <c r="I30" s="246">
        <v>0</v>
      </c>
      <c r="J30" s="248">
        <v>999.9</v>
      </c>
      <c r="K30" s="248">
        <v>1032.5999999999999</v>
      </c>
      <c r="L30" s="248">
        <v>1041.3</v>
      </c>
      <c r="M30" s="248">
        <v>1048.5</v>
      </c>
      <c r="N30" s="248">
        <v>1057.9000000000001</v>
      </c>
      <c r="O30" s="248">
        <v>1064.7</v>
      </c>
      <c r="P30" s="248">
        <v>1030</v>
      </c>
      <c r="Q30" s="248">
        <v>1035.2</v>
      </c>
      <c r="R30" s="248">
        <v>1039.5999999999999</v>
      </c>
      <c r="S30" s="248">
        <v>1043.3</v>
      </c>
      <c r="T30" s="248">
        <v>1046.8</v>
      </c>
      <c r="U30" s="246">
        <v>0</v>
      </c>
    </row>
    <row r="31" spans="9:21">
      <c r="I31" s="5">
        <v>1</v>
      </c>
      <c r="J31" s="247">
        <v>999.9</v>
      </c>
      <c r="K31" s="247">
        <v>1032.4000000000001</v>
      </c>
      <c r="L31" s="248">
        <v>1041</v>
      </c>
      <c r="M31" s="247">
        <v>1048.0999999999999</v>
      </c>
      <c r="N31" s="248">
        <v>1057.5</v>
      </c>
      <c r="O31" s="247">
        <v>1064.2</v>
      </c>
      <c r="P31" s="248">
        <v>1029.5999999999999</v>
      </c>
      <c r="Q31" s="248">
        <v>1034.7</v>
      </c>
      <c r="R31" s="247">
        <v>1039.0999999999999</v>
      </c>
      <c r="S31" s="248">
        <v>1042.7</v>
      </c>
      <c r="T31" s="248">
        <v>1046.2</v>
      </c>
      <c r="U31" s="5">
        <v>1</v>
      </c>
    </row>
    <row r="32" spans="9:21">
      <c r="I32" s="5">
        <v>2</v>
      </c>
      <c r="J32" s="247">
        <v>999.9</v>
      </c>
      <c r="K32" s="247">
        <v>1032.3</v>
      </c>
      <c r="L32" s="248">
        <v>1040.8</v>
      </c>
      <c r="M32" s="247">
        <v>1047.8</v>
      </c>
      <c r="N32" s="248">
        <v>1057.0999999999999</v>
      </c>
      <c r="O32" s="247">
        <v>1063.8</v>
      </c>
      <c r="P32" s="247">
        <v>1029.0999999999999</v>
      </c>
      <c r="Q32" s="248">
        <v>1034.3</v>
      </c>
      <c r="R32" s="247">
        <v>1038.5999999999999</v>
      </c>
      <c r="S32" s="248">
        <v>1042.2</v>
      </c>
      <c r="T32" s="248">
        <v>1045.7</v>
      </c>
      <c r="U32" s="5">
        <v>2</v>
      </c>
    </row>
    <row r="33" spans="2:26">
      <c r="F33" s="35"/>
      <c r="G33" s="35"/>
      <c r="H33" s="3">
        <v>5</v>
      </c>
      <c r="I33" s="5">
        <v>3</v>
      </c>
      <c r="J33" s="247">
        <v>1000</v>
      </c>
      <c r="K33" s="247">
        <v>1032.0999999999999</v>
      </c>
      <c r="L33" s="248">
        <v>1040.5</v>
      </c>
      <c r="M33" s="247">
        <v>1047.5</v>
      </c>
      <c r="N33" s="248">
        <v>1056.7</v>
      </c>
      <c r="O33" s="247">
        <v>1063.4000000000001</v>
      </c>
      <c r="P33" s="247">
        <v>1028.7</v>
      </c>
      <c r="Q33" s="248">
        <v>1033.8</v>
      </c>
      <c r="R33" s="247">
        <v>1038.0999999999999</v>
      </c>
      <c r="S33" s="248">
        <v>1041.7</v>
      </c>
      <c r="T33" s="248">
        <v>1045.0999999999999</v>
      </c>
      <c r="U33" s="5">
        <v>3</v>
      </c>
    </row>
    <row r="34" spans="2:26">
      <c r="I34" s="5">
        <v>4</v>
      </c>
      <c r="J34" s="247">
        <v>1000</v>
      </c>
      <c r="K34" s="247">
        <v>1031.9000000000001</v>
      </c>
      <c r="L34" s="248">
        <v>1040.3</v>
      </c>
      <c r="M34" s="247">
        <v>1047.0999999999999</v>
      </c>
      <c r="N34" s="248">
        <v>1056.3</v>
      </c>
      <c r="O34" s="247">
        <v>1062.9000000000001</v>
      </c>
      <c r="P34" s="247">
        <v>1028.3</v>
      </c>
      <c r="Q34" s="248">
        <v>1033.3</v>
      </c>
      <c r="R34" s="247">
        <v>1037.5999999999999</v>
      </c>
      <c r="S34" s="248">
        <v>1041.2</v>
      </c>
      <c r="T34" s="248">
        <v>1044.5999999999999</v>
      </c>
      <c r="U34" s="5">
        <v>4</v>
      </c>
    </row>
    <row r="35" spans="2:26">
      <c r="I35" s="5">
        <v>5</v>
      </c>
      <c r="J35" s="247">
        <v>1000</v>
      </c>
      <c r="K35" s="247">
        <v>1031.7</v>
      </c>
      <c r="L35" s="248">
        <v>1040</v>
      </c>
      <c r="M35" s="247">
        <v>1046.8</v>
      </c>
      <c r="N35" s="248">
        <v>1055.9000000000001</v>
      </c>
      <c r="O35" s="247">
        <v>1062.5</v>
      </c>
      <c r="P35" s="247">
        <v>1027.9000000000001</v>
      </c>
      <c r="Q35" s="248">
        <v>1032.9000000000001</v>
      </c>
      <c r="R35" s="247">
        <v>1037.0999999999999</v>
      </c>
      <c r="S35" s="248">
        <v>1040.5999999999999</v>
      </c>
      <c r="T35" s="248">
        <v>1044</v>
      </c>
      <c r="U35" s="5">
        <v>5</v>
      </c>
    </row>
    <row r="36" spans="2:26">
      <c r="I36" s="5">
        <v>6</v>
      </c>
      <c r="J36" s="247">
        <v>999.9</v>
      </c>
      <c r="K36" s="247">
        <v>1031.5</v>
      </c>
      <c r="L36" s="248">
        <v>1039.7</v>
      </c>
      <c r="M36" s="247">
        <v>1046.5</v>
      </c>
      <c r="N36" s="248">
        <v>1055.5</v>
      </c>
      <c r="O36" s="247">
        <v>1062.0999999999999</v>
      </c>
      <c r="P36" s="247">
        <v>1027.4000000000001</v>
      </c>
      <c r="Q36" s="248">
        <v>1032.4000000000001</v>
      </c>
      <c r="R36" s="247">
        <v>1036.5999999999999</v>
      </c>
      <c r="S36" s="248">
        <v>1040.0999999999999</v>
      </c>
      <c r="T36" s="248">
        <v>1043.5</v>
      </c>
      <c r="U36" s="5">
        <v>6</v>
      </c>
    </row>
    <row r="37" spans="2:26">
      <c r="E37" s="9" t="s">
        <v>275</v>
      </c>
      <c r="F37" s="10">
        <f>0.7*('NW wg PN-B-02414'!E210)^0.5</f>
        <v>3.5797630122485433</v>
      </c>
      <c r="I37" s="5">
        <v>7</v>
      </c>
      <c r="J37" s="247">
        <v>999.9</v>
      </c>
      <c r="K37" s="247">
        <v>1031.3</v>
      </c>
      <c r="L37" s="248">
        <v>1039.5</v>
      </c>
      <c r="M37" s="247">
        <v>1046.2</v>
      </c>
      <c r="N37" s="248">
        <v>1055.0999999999999</v>
      </c>
      <c r="O37" s="247">
        <v>1061.5999999999999</v>
      </c>
      <c r="P37" s="247">
        <v>1027</v>
      </c>
      <c r="Q37" s="248">
        <v>1031.9000000000001</v>
      </c>
      <c r="R37" s="247">
        <v>1036.0999999999999</v>
      </c>
      <c r="S37" s="248">
        <v>1039.5999999999999</v>
      </c>
      <c r="T37" s="248">
        <v>1042.9000000000001</v>
      </c>
      <c r="U37" s="5">
        <v>7</v>
      </c>
      <c r="X37" s="33"/>
      <c r="Y37" s="34"/>
      <c r="Z37" s="36"/>
    </row>
    <row r="38" spans="2:26">
      <c r="E38" s="9" t="s">
        <v>276</v>
      </c>
      <c r="F38" s="15">
        <f>('NW wg PN-B-02414'!E111+1)/('NW wg PN-B-02414'!E111-'NW wg PN-B-02414'!E112)</f>
        <v>2.1875</v>
      </c>
      <c r="I38" s="5">
        <v>8</v>
      </c>
      <c r="J38" s="247">
        <v>999.8</v>
      </c>
      <c r="K38" s="247">
        <v>1031.2</v>
      </c>
      <c r="L38" s="248">
        <v>1039.2</v>
      </c>
      <c r="M38" s="247">
        <v>1045.8</v>
      </c>
      <c r="N38" s="248">
        <v>1054.7</v>
      </c>
      <c r="O38" s="247">
        <v>1061.2</v>
      </c>
      <c r="P38" s="247">
        <v>1026.5999999999999</v>
      </c>
      <c r="Q38" s="248">
        <v>1031.5</v>
      </c>
      <c r="R38" s="247">
        <v>1035.5999999999999</v>
      </c>
      <c r="S38" s="248">
        <v>1039.0999999999999</v>
      </c>
      <c r="T38" s="248">
        <v>1042.4000000000001</v>
      </c>
      <c r="U38" s="5">
        <v>8</v>
      </c>
      <c r="Y38" s="15"/>
      <c r="Z38" s="105"/>
    </row>
    <row r="39" spans="2:26">
      <c r="E39" s="1"/>
      <c r="F39" s="15"/>
      <c r="I39" s="5">
        <v>9</v>
      </c>
      <c r="J39" s="247">
        <v>999.8</v>
      </c>
      <c r="K39" s="247">
        <v>1031</v>
      </c>
      <c r="L39" s="248">
        <v>1039</v>
      </c>
      <c r="M39" s="247">
        <v>1045.5</v>
      </c>
      <c r="N39" s="248">
        <v>1054.3</v>
      </c>
      <c r="O39" s="247">
        <v>1060.8</v>
      </c>
      <c r="P39" s="247">
        <v>1026.2</v>
      </c>
      <c r="Q39" s="248">
        <v>1031</v>
      </c>
      <c r="R39" s="247">
        <v>1035.0999999999999</v>
      </c>
      <c r="S39" s="248">
        <v>1038.5</v>
      </c>
      <c r="T39" s="248">
        <v>1041.8</v>
      </c>
      <c r="U39" s="5">
        <v>9</v>
      </c>
      <c r="Y39" s="15"/>
      <c r="Z39" s="105"/>
    </row>
    <row r="40" spans="2:26">
      <c r="E40" s="9"/>
      <c r="I40" s="5">
        <v>10</v>
      </c>
      <c r="J40" s="247">
        <v>999.7</v>
      </c>
      <c r="K40" s="247">
        <v>1030.8</v>
      </c>
      <c r="L40" s="248">
        <v>1038.7</v>
      </c>
      <c r="M40" s="247">
        <v>1045.2</v>
      </c>
      <c r="N40" s="248">
        <v>1053.9000000000001</v>
      </c>
      <c r="O40" s="247">
        <v>1060.3</v>
      </c>
      <c r="P40" s="247">
        <v>1025.7</v>
      </c>
      <c r="Q40" s="248">
        <v>1030.5</v>
      </c>
      <c r="R40" s="247">
        <v>1034.7</v>
      </c>
      <c r="S40" s="248">
        <v>1038</v>
      </c>
      <c r="T40" s="248">
        <v>1041.2</v>
      </c>
      <c r="U40" s="5">
        <v>10</v>
      </c>
      <c r="Y40" s="15"/>
      <c r="Z40" s="105"/>
    </row>
    <row r="41" spans="2:26">
      <c r="E41" s="9" t="s">
        <v>709</v>
      </c>
      <c r="F41" s="15">
        <f>'NW wg PN-B-02414'!E236</f>
        <v>2.1825878283156572</v>
      </c>
      <c r="I41" s="5">
        <v>11</v>
      </c>
      <c r="J41" s="247">
        <v>999.6</v>
      </c>
      <c r="K41" s="247">
        <v>1030.5</v>
      </c>
      <c r="L41" s="248">
        <v>1038.4000000000001</v>
      </c>
      <c r="M41" s="247">
        <v>1044.8</v>
      </c>
      <c r="N41" s="248">
        <v>1053.5</v>
      </c>
      <c r="O41" s="247">
        <v>1059.9000000000001</v>
      </c>
      <c r="P41" s="247">
        <v>1025.3</v>
      </c>
      <c r="Q41" s="248">
        <v>1030</v>
      </c>
      <c r="R41" s="247">
        <v>1034.0999999999999</v>
      </c>
      <c r="S41" s="248">
        <v>1037.4000000000001</v>
      </c>
      <c r="T41" s="248">
        <v>1040.7</v>
      </c>
      <c r="U41" s="5">
        <v>11</v>
      </c>
      <c r="Y41" s="15"/>
      <c r="Z41" s="105"/>
    </row>
    <row r="42" spans="2:26" ht="15.6">
      <c r="E42" s="1" t="s">
        <v>61</v>
      </c>
      <c r="F42" s="10">
        <f>'NW wg PN-B-02414'!$E$234-(('NW wg PN-B-02414'!E234*('NW wg PN-B-02414'!E235+1))/('NW wg PN-B-02414'!E236+1))</f>
        <v>32.240124012400308</v>
      </c>
      <c r="I42" s="5">
        <v>12</v>
      </c>
      <c r="J42" s="247">
        <v>999.4</v>
      </c>
      <c r="K42" s="247">
        <v>1030.2</v>
      </c>
      <c r="L42" s="248">
        <v>1038</v>
      </c>
      <c r="M42" s="247">
        <v>1044.4000000000001</v>
      </c>
      <c r="N42" s="248">
        <v>1053.0999999999999</v>
      </c>
      <c r="O42" s="247">
        <v>1059.5</v>
      </c>
      <c r="P42" s="247">
        <v>1024.8</v>
      </c>
      <c r="Q42" s="248">
        <v>1029.5</v>
      </c>
      <c r="R42" s="247">
        <v>1033.5999999999999</v>
      </c>
      <c r="S42" s="248">
        <v>1036.9000000000001</v>
      </c>
      <c r="T42" s="248">
        <v>1040.0999999999999</v>
      </c>
      <c r="U42" s="5">
        <v>12</v>
      </c>
      <c r="Y42" s="15"/>
      <c r="Z42" s="105"/>
    </row>
    <row r="43" spans="2:26">
      <c r="I43" s="5">
        <v>13</v>
      </c>
      <c r="J43" s="247">
        <v>999.3</v>
      </c>
      <c r="K43" s="247">
        <v>1029.9000000000001</v>
      </c>
      <c r="L43" s="248">
        <v>1037.5999999999999</v>
      </c>
      <c r="M43" s="247">
        <v>1044</v>
      </c>
      <c r="N43" s="248">
        <v>1052.7</v>
      </c>
      <c r="O43" s="247">
        <v>1059</v>
      </c>
      <c r="P43" s="247">
        <v>1024.4000000000001</v>
      </c>
      <c r="Q43" s="248">
        <v>1029</v>
      </c>
      <c r="R43" s="247">
        <v>1033</v>
      </c>
      <c r="S43" s="248">
        <v>1036.3</v>
      </c>
      <c r="T43" s="248">
        <v>1039.5</v>
      </c>
      <c r="U43" s="5">
        <v>13</v>
      </c>
      <c r="Y43" s="15"/>
      <c r="Z43" s="105"/>
    </row>
    <row r="44" spans="2:26">
      <c r="I44" s="5">
        <v>14</v>
      </c>
      <c r="J44" s="247">
        <v>999.1</v>
      </c>
      <c r="K44" s="247">
        <v>1029.7</v>
      </c>
      <c r="L44" s="248">
        <v>1037.3</v>
      </c>
      <c r="M44" s="247">
        <v>1043.5999999999999</v>
      </c>
      <c r="N44" s="248">
        <v>1052.3</v>
      </c>
      <c r="O44" s="247">
        <v>1058.5999999999999</v>
      </c>
      <c r="P44" s="247">
        <v>1023.9</v>
      </c>
      <c r="Q44" s="248">
        <v>1028.5</v>
      </c>
      <c r="R44" s="247">
        <v>1032.5</v>
      </c>
      <c r="S44" s="248">
        <v>1035.8</v>
      </c>
      <c r="T44" s="248">
        <v>1038.9000000000001</v>
      </c>
      <c r="U44" s="5">
        <v>14</v>
      </c>
      <c r="Y44" s="15"/>
      <c r="Z44" s="105"/>
    </row>
    <row r="45" spans="2:26">
      <c r="I45" s="5">
        <v>15</v>
      </c>
      <c r="J45" s="247">
        <v>999</v>
      </c>
      <c r="K45" s="247">
        <v>1029.4000000000001</v>
      </c>
      <c r="L45" s="248">
        <v>1036.9000000000001</v>
      </c>
      <c r="M45" s="247">
        <v>1043.2</v>
      </c>
      <c r="N45" s="248">
        <v>1051.9000000000001</v>
      </c>
      <c r="O45" s="247">
        <v>1058.2</v>
      </c>
      <c r="P45" s="247">
        <v>1023.4</v>
      </c>
      <c r="Q45" s="248">
        <v>1028</v>
      </c>
      <c r="R45" s="247">
        <v>1032</v>
      </c>
      <c r="S45" s="248">
        <v>1035.2</v>
      </c>
      <c r="T45" s="248">
        <v>1038.3</v>
      </c>
      <c r="U45" s="5">
        <v>15</v>
      </c>
      <c r="Y45" s="15"/>
      <c r="Z45" s="105"/>
    </row>
    <row r="46" spans="2:26">
      <c r="I46" s="5">
        <v>16</v>
      </c>
      <c r="J46" s="247">
        <v>998.8</v>
      </c>
      <c r="K46" s="247">
        <v>1029.0999999999999</v>
      </c>
      <c r="L46" s="248">
        <v>1036.5999999999999</v>
      </c>
      <c r="M46" s="247">
        <v>1042.8</v>
      </c>
      <c r="N46" s="248">
        <v>1051.5</v>
      </c>
      <c r="O46" s="247">
        <v>1057.7</v>
      </c>
      <c r="P46" s="247">
        <v>1023</v>
      </c>
      <c r="Q46" s="248">
        <v>1027.5</v>
      </c>
      <c r="R46" s="247">
        <v>1031.4000000000001</v>
      </c>
      <c r="S46" s="248">
        <v>1034.5999999999999</v>
      </c>
      <c r="T46" s="248">
        <v>1037.7</v>
      </c>
      <c r="U46" s="5">
        <v>16</v>
      </c>
      <c r="Y46" s="15"/>
      <c r="Z46" s="105"/>
    </row>
    <row r="47" spans="2:26">
      <c r="B47" s="9" t="s">
        <v>16</v>
      </c>
      <c r="C47" s="3">
        <v>30</v>
      </c>
      <c r="I47" s="5">
        <v>17</v>
      </c>
      <c r="J47" s="247">
        <v>998.7</v>
      </c>
      <c r="K47" s="247">
        <v>1028.8</v>
      </c>
      <c r="L47" s="248">
        <v>1036.2</v>
      </c>
      <c r="M47" s="247">
        <v>1042.4000000000001</v>
      </c>
      <c r="N47" s="248">
        <v>1051.0999999999999</v>
      </c>
      <c r="O47" s="247">
        <v>1057.3</v>
      </c>
      <c r="P47" s="247">
        <v>1022.5</v>
      </c>
      <c r="Q47" s="248">
        <v>1027</v>
      </c>
      <c r="R47" s="247">
        <v>1030.9000000000001</v>
      </c>
      <c r="S47" s="248">
        <v>1034.0999999999999</v>
      </c>
      <c r="T47" s="248">
        <v>1037.0999999999999</v>
      </c>
      <c r="U47" s="5">
        <v>17</v>
      </c>
      <c r="Y47" s="15"/>
      <c r="Z47" s="105"/>
    </row>
    <row r="48" spans="2:26">
      <c r="I48" s="5">
        <v>18</v>
      </c>
      <c r="J48" s="247">
        <v>998.5</v>
      </c>
      <c r="K48" s="247">
        <v>1028.5</v>
      </c>
      <c r="L48" s="248">
        <v>1035.9000000000001</v>
      </c>
      <c r="M48" s="247">
        <v>1042</v>
      </c>
      <c r="N48" s="248">
        <v>1050.7</v>
      </c>
      <c r="O48" s="247">
        <v>1056.9000000000001</v>
      </c>
      <c r="P48" s="247">
        <v>1022</v>
      </c>
      <c r="Q48" s="248">
        <v>1026.5</v>
      </c>
      <c r="R48" s="247">
        <v>1030.4000000000001</v>
      </c>
      <c r="S48" s="248">
        <v>1033.5</v>
      </c>
      <c r="T48" s="248">
        <v>1036.5</v>
      </c>
      <c r="U48" s="5">
        <v>18</v>
      </c>
      <c r="Z48" s="105"/>
    </row>
    <row r="49" spans="1:26">
      <c r="I49" s="5">
        <v>19</v>
      </c>
      <c r="J49" s="247">
        <v>998.4</v>
      </c>
      <c r="K49" s="247">
        <v>1028.2</v>
      </c>
      <c r="L49" s="248">
        <v>1035.5</v>
      </c>
      <c r="M49" s="247">
        <v>1041.5999999999999</v>
      </c>
      <c r="N49" s="248">
        <v>1050.3</v>
      </c>
      <c r="O49" s="247">
        <v>1056.4000000000001</v>
      </c>
      <c r="P49" s="247">
        <v>1021.6</v>
      </c>
      <c r="Q49" s="248">
        <v>1026</v>
      </c>
      <c r="R49" s="247">
        <v>1029.8</v>
      </c>
      <c r="S49" s="248">
        <v>1032.9000000000001</v>
      </c>
      <c r="T49" s="248">
        <v>1035.9000000000001</v>
      </c>
      <c r="U49" s="5">
        <v>19</v>
      </c>
      <c r="Y49" s="15"/>
      <c r="Z49" s="105"/>
    </row>
    <row r="50" spans="1:26">
      <c r="I50" s="5">
        <v>20</v>
      </c>
      <c r="J50" s="248">
        <v>998.2</v>
      </c>
      <c r="K50" s="247">
        <v>1027.9000000000001</v>
      </c>
      <c r="L50" s="248">
        <v>1035.0999999999999</v>
      </c>
      <c r="M50" s="247">
        <v>1041.2</v>
      </c>
      <c r="N50" s="248">
        <v>1049.9000000000001</v>
      </c>
      <c r="O50" s="247">
        <v>1056</v>
      </c>
      <c r="P50" s="247">
        <v>1021.1</v>
      </c>
      <c r="Q50" s="248">
        <v>1025.5999999999999</v>
      </c>
      <c r="R50" s="247">
        <v>1029.3</v>
      </c>
      <c r="S50" s="248">
        <v>1032.4000000000001</v>
      </c>
      <c r="T50" s="248">
        <v>1035.4000000000001</v>
      </c>
      <c r="U50" s="5">
        <v>20</v>
      </c>
      <c r="Y50" s="15"/>
      <c r="Z50" s="105"/>
    </row>
    <row r="51" spans="1:26">
      <c r="B51" s="9" t="s">
        <v>17</v>
      </c>
      <c r="C51" s="10">
        <f>IF(D51&gt;E51,D51,E51)</f>
        <v>2</v>
      </c>
      <c r="D51" s="10">
        <f>IF('NW wg PN-B-02414'!K19&lt;38,'NW wg PN-B-02414'!K19/10+1.3,('NW wg PN-B-02414'!K19/10+1)/0.9)</f>
        <v>2</v>
      </c>
      <c r="E51" s="10">
        <f>IF('NW wg PN-B-02414'!K21&gt;5,('NW wg PN-B-02414'!E83+0.1*'NW wg PN-B-02414'!K21)+0.5,'NW wg PN-B-02414'!E83+1)</f>
        <v>1.9</v>
      </c>
      <c r="I51" s="5">
        <v>21</v>
      </c>
      <c r="J51" s="248">
        <v>998</v>
      </c>
      <c r="K51" s="247">
        <v>1027.5999999999999</v>
      </c>
      <c r="L51" s="248">
        <v>1034.8</v>
      </c>
      <c r="M51" s="247">
        <v>1040.8</v>
      </c>
      <c r="N51" s="248">
        <v>1049.5</v>
      </c>
      <c r="O51" s="247">
        <v>1055.5</v>
      </c>
      <c r="P51" s="247">
        <v>1020.6</v>
      </c>
      <c r="Q51" s="248">
        <v>1025</v>
      </c>
      <c r="R51" s="247">
        <v>1028.7</v>
      </c>
      <c r="S51" s="248">
        <v>1031.8</v>
      </c>
      <c r="T51" s="248">
        <v>1034.7</v>
      </c>
      <c r="U51" s="5">
        <v>21</v>
      </c>
      <c r="Y51" s="15"/>
      <c r="Z51" s="105"/>
    </row>
    <row r="52" spans="1:26">
      <c r="C52" s="3">
        <f>IF(C53,1,0)</f>
        <v>0</v>
      </c>
      <c r="I52" s="5">
        <v>22</v>
      </c>
      <c r="J52" s="248">
        <v>997.7</v>
      </c>
      <c r="K52" s="247">
        <v>1027.2</v>
      </c>
      <c r="L52" s="248">
        <v>1034.4000000000001</v>
      </c>
      <c r="M52" s="247">
        <v>1040.4000000000001</v>
      </c>
      <c r="N52" s="248">
        <v>1049</v>
      </c>
      <c r="O52" s="247">
        <v>1055</v>
      </c>
      <c r="P52" s="247">
        <v>1020.1</v>
      </c>
      <c r="Q52" s="248">
        <v>1024.5</v>
      </c>
      <c r="R52" s="247">
        <v>1028.2</v>
      </c>
      <c r="S52" s="248">
        <v>1031.2</v>
      </c>
      <c r="T52" s="248">
        <v>1034.0999999999999</v>
      </c>
      <c r="U52" s="5">
        <v>22</v>
      </c>
      <c r="Y52" s="15"/>
      <c r="Z52" s="105"/>
    </row>
    <row r="53" spans="1:26">
      <c r="B53" s="9" t="s">
        <v>19</v>
      </c>
      <c r="C53" s="26" t="b">
        <v>0</v>
      </c>
      <c r="D53" s="3">
        <f>IF(C52=1,5,0)</f>
        <v>0</v>
      </c>
      <c r="I53" s="5">
        <v>23</v>
      </c>
      <c r="J53" s="248">
        <v>997.5</v>
      </c>
      <c r="K53" s="247">
        <v>1026.9000000000001</v>
      </c>
      <c r="L53" s="248">
        <v>1034</v>
      </c>
      <c r="M53" s="247">
        <v>1040</v>
      </c>
      <c r="N53" s="248">
        <v>1048.5</v>
      </c>
      <c r="O53" s="247">
        <v>1054.5</v>
      </c>
      <c r="P53" s="247">
        <v>1019.6</v>
      </c>
      <c r="Q53" s="248">
        <v>1023.9</v>
      </c>
      <c r="R53" s="247">
        <v>1027.5999999999999</v>
      </c>
      <c r="S53" s="248">
        <v>1030.5999999999999</v>
      </c>
      <c r="T53" s="248">
        <v>1033.5</v>
      </c>
      <c r="U53" s="5">
        <v>23</v>
      </c>
      <c r="Y53" s="15"/>
      <c r="Z53" s="105"/>
    </row>
    <row r="54" spans="1:26">
      <c r="I54" s="5">
        <v>24</v>
      </c>
      <c r="J54" s="248">
        <v>997.2</v>
      </c>
      <c r="K54" s="247">
        <v>1026.5</v>
      </c>
      <c r="L54" s="248">
        <v>1033.5999999999999</v>
      </c>
      <c r="M54" s="247">
        <v>1039.5999999999999</v>
      </c>
      <c r="N54" s="248">
        <v>1048.0999999999999</v>
      </c>
      <c r="O54" s="247">
        <v>1053.9000000000001</v>
      </c>
      <c r="P54" s="247">
        <v>1019.1</v>
      </c>
      <c r="Q54" s="248">
        <v>1023.4</v>
      </c>
      <c r="R54" s="247">
        <v>1027</v>
      </c>
      <c r="S54" s="248">
        <v>1030</v>
      </c>
      <c r="T54" s="248">
        <v>1032.8</v>
      </c>
      <c r="U54" s="5">
        <v>24</v>
      </c>
      <c r="Y54" s="15"/>
      <c r="Z54" s="105"/>
    </row>
    <row r="55" spans="1:26">
      <c r="B55" s="9"/>
      <c r="C55" s="13"/>
      <c r="E55" s="9" t="s">
        <v>4</v>
      </c>
      <c r="F55" s="3">
        <f>VLOOKUP('2'!B59,'2'!A61:F106,3,0)</f>
        <v>80</v>
      </c>
      <c r="I55" s="5">
        <v>25</v>
      </c>
      <c r="J55" s="248">
        <v>997</v>
      </c>
      <c r="K55" s="247">
        <v>1026.0999999999999</v>
      </c>
      <c r="L55" s="248">
        <v>1033.3</v>
      </c>
      <c r="M55" s="247">
        <v>1039.2</v>
      </c>
      <c r="N55" s="248">
        <v>1047.5999999999999</v>
      </c>
      <c r="O55" s="247">
        <v>1053.4000000000001</v>
      </c>
      <c r="P55" s="247">
        <v>1018.6</v>
      </c>
      <c r="Q55" s="248">
        <v>1022.8</v>
      </c>
      <c r="R55" s="247">
        <v>1026.5</v>
      </c>
      <c r="S55" s="248">
        <v>1029.4000000000001</v>
      </c>
      <c r="T55" s="248">
        <v>1032.2</v>
      </c>
      <c r="U55" s="5">
        <v>25</v>
      </c>
      <c r="Y55" s="15"/>
      <c r="Z55" s="105"/>
    </row>
    <row r="56" spans="1:26">
      <c r="B56" s="1"/>
      <c r="C56" s="15"/>
      <c r="E56" s="9" t="s">
        <v>138</v>
      </c>
      <c r="F56" s="3">
        <f>VLOOKUP('2'!B59,'2'!A61:F106,4,0)</f>
        <v>10</v>
      </c>
      <c r="I56" s="5">
        <v>26</v>
      </c>
      <c r="J56" s="248">
        <v>996.7</v>
      </c>
      <c r="K56" s="247">
        <v>1025.8</v>
      </c>
      <c r="L56" s="248">
        <v>1032.9000000000001</v>
      </c>
      <c r="M56" s="247">
        <v>1038.8</v>
      </c>
      <c r="N56" s="248">
        <v>1047.0999999999999</v>
      </c>
      <c r="O56" s="247">
        <v>1052.9000000000001</v>
      </c>
      <c r="P56" s="247">
        <v>1018.1</v>
      </c>
      <c r="Q56" s="248">
        <v>1022.3</v>
      </c>
      <c r="R56" s="247">
        <v>1025.9000000000001</v>
      </c>
      <c r="S56" s="248">
        <v>1028.8</v>
      </c>
      <c r="T56" s="248">
        <v>1031.5999999999999</v>
      </c>
      <c r="U56" s="5">
        <v>26</v>
      </c>
      <c r="Y56" s="15"/>
      <c r="Z56" s="105"/>
    </row>
    <row r="57" spans="1:26">
      <c r="B57" s="1"/>
      <c r="E57" s="9" t="s">
        <v>144</v>
      </c>
      <c r="F57" s="3">
        <f>VLOOKUP('2'!B59,'2'!A61:G106,7,0)</f>
        <v>16</v>
      </c>
      <c r="I57" s="5">
        <v>27</v>
      </c>
      <c r="J57" s="248">
        <v>996.5</v>
      </c>
      <c r="K57" s="247">
        <v>1025.4000000000001</v>
      </c>
      <c r="L57" s="248">
        <v>1032.5</v>
      </c>
      <c r="M57" s="247">
        <v>1038.4000000000001</v>
      </c>
      <c r="N57" s="248">
        <v>1046.5999999999999</v>
      </c>
      <c r="O57" s="247">
        <v>1052.4000000000001</v>
      </c>
      <c r="P57" s="247">
        <v>1017.6</v>
      </c>
      <c r="Q57" s="248">
        <v>1021.7</v>
      </c>
      <c r="R57" s="247">
        <v>1025.3</v>
      </c>
      <c r="S57" s="248">
        <v>1028.2</v>
      </c>
      <c r="T57" s="248">
        <v>1031</v>
      </c>
      <c r="U57" s="5">
        <v>27</v>
      </c>
      <c r="Y57" s="15"/>
      <c r="Z57" s="105"/>
    </row>
    <row r="58" spans="1:26">
      <c r="I58" s="5">
        <v>28</v>
      </c>
      <c r="J58" s="248">
        <v>996.2</v>
      </c>
      <c r="K58" s="247">
        <v>1025</v>
      </c>
      <c r="L58" s="248">
        <v>1032.0999999999999</v>
      </c>
      <c r="M58" s="247">
        <v>1038</v>
      </c>
      <c r="N58" s="248">
        <v>1046.2</v>
      </c>
      <c r="O58" s="247">
        <v>1051.9000000000001</v>
      </c>
      <c r="P58" s="247">
        <v>1017.1</v>
      </c>
      <c r="Q58" s="248">
        <v>1021.2</v>
      </c>
      <c r="R58" s="247">
        <v>1024.7</v>
      </c>
      <c r="S58" s="248">
        <v>1027.5999999999999</v>
      </c>
      <c r="T58" s="248">
        <v>1030.3</v>
      </c>
      <c r="U58" s="5">
        <v>28</v>
      </c>
      <c r="Y58" s="15"/>
      <c r="Z58" s="105"/>
    </row>
    <row r="59" spans="1:26">
      <c r="B59" s="27">
        <v>14</v>
      </c>
      <c r="C59" s="27"/>
      <c r="D59" s="27"/>
      <c r="E59" s="27"/>
      <c r="F59" s="27"/>
      <c r="I59" s="5">
        <v>29</v>
      </c>
      <c r="J59" s="248">
        <v>996</v>
      </c>
      <c r="K59" s="247">
        <v>1024.7</v>
      </c>
      <c r="L59" s="248">
        <v>1031.7</v>
      </c>
      <c r="M59" s="247">
        <v>1037.5999999999999</v>
      </c>
      <c r="N59" s="248">
        <v>1045.7</v>
      </c>
      <c r="O59" s="247">
        <v>1051.4000000000001</v>
      </c>
      <c r="P59" s="247">
        <v>1016.6</v>
      </c>
      <c r="Q59" s="248">
        <v>1020.6</v>
      </c>
      <c r="R59" s="247">
        <v>1024.2</v>
      </c>
      <c r="S59" s="248">
        <v>1027</v>
      </c>
      <c r="T59" s="248">
        <v>1029.7</v>
      </c>
      <c r="U59" s="5">
        <v>29</v>
      </c>
      <c r="Y59" s="15"/>
      <c r="Z59" s="105"/>
    </row>
    <row r="60" spans="1:26">
      <c r="B60" s="27"/>
      <c r="C60" s="27" t="s">
        <v>125</v>
      </c>
      <c r="D60" s="27" t="s">
        <v>126</v>
      </c>
      <c r="E60" s="27" t="s">
        <v>127</v>
      </c>
      <c r="F60" s="27" t="s">
        <v>128</v>
      </c>
      <c r="G60" s="27" t="s">
        <v>143</v>
      </c>
      <c r="H60" s="27"/>
      <c r="I60" s="5">
        <v>30</v>
      </c>
      <c r="J60" s="248">
        <v>995.7</v>
      </c>
      <c r="K60" s="247">
        <v>1024.3</v>
      </c>
      <c r="L60" s="248">
        <v>1031.4000000000001</v>
      </c>
      <c r="M60" s="247">
        <v>1037.2</v>
      </c>
      <c r="N60" s="248">
        <v>1045.2</v>
      </c>
      <c r="O60" s="247">
        <v>1050.9000000000001</v>
      </c>
      <c r="P60" s="247">
        <v>1016.1</v>
      </c>
      <c r="Q60" s="248">
        <v>1020.1</v>
      </c>
      <c r="R60" s="247">
        <v>1023.6</v>
      </c>
      <c r="S60" s="248">
        <v>1026.4000000000001</v>
      </c>
      <c r="T60" s="248">
        <v>1029.0999999999999</v>
      </c>
      <c r="U60" s="5">
        <v>30</v>
      </c>
      <c r="Y60" s="15"/>
      <c r="Z60" s="105"/>
    </row>
    <row r="61" spans="1:26">
      <c r="A61" s="27">
        <v>1</v>
      </c>
      <c r="B61" s="28" t="s">
        <v>83</v>
      </c>
      <c r="C61" s="27">
        <v>8</v>
      </c>
      <c r="D61" s="27">
        <v>3</v>
      </c>
      <c r="E61" s="27">
        <v>1</v>
      </c>
      <c r="F61" s="29">
        <v>7101000</v>
      </c>
      <c r="G61" s="27">
        <v>3.5</v>
      </c>
      <c r="H61" s="27"/>
      <c r="I61" s="5">
        <v>31</v>
      </c>
      <c r="J61" s="248">
        <v>995.4</v>
      </c>
      <c r="K61" s="247">
        <v>1024</v>
      </c>
      <c r="L61" s="248">
        <v>1031</v>
      </c>
      <c r="M61" s="247">
        <v>1036.8</v>
      </c>
      <c r="N61" s="248">
        <v>1044.8</v>
      </c>
      <c r="O61" s="247">
        <v>1050.4000000000001</v>
      </c>
      <c r="P61" s="247">
        <v>1015.5</v>
      </c>
      <c r="Q61" s="248">
        <v>1019.5</v>
      </c>
      <c r="R61" s="247">
        <v>1023</v>
      </c>
      <c r="S61" s="248">
        <v>1025.8</v>
      </c>
      <c r="T61" s="248">
        <v>1028.4000000000001</v>
      </c>
      <c r="U61" s="5">
        <v>31</v>
      </c>
      <c r="Y61" s="15"/>
      <c r="Z61" s="105"/>
    </row>
    <row r="62" spans="1:26">
      <c r="A62" s="27">
        <v>2</v>
      </c>
      <c r="B62" s="28" t="s">
        <v>77</v>
      </c>
      <c r="C62" s="27">
        <v>12</v>
      </c>
      <c r="D62" s="27">
        <v>3</v>
      </c>
      <c r="E62" s="27">
        <v>1</v>
      </c>
      <c r="F62" s="29">
        <v>7101001</v>
      </c>
      <c r="G62" s="27">
        <v>3.7</v>
      </c>
      <c r="H62" s="27"/>
      <c r="I62" s="5">
        <v>32</v>
      </c>
      <c r="J62" s="248">
        <v>995</v>
      </c>
      <c r="K62" s="247">
        <v>1023.6</v>
      </c>
      <c r="L62" s="248">
        <v>1030.5999999999999</v>
      </c>
      <c r="M62" s="247">
        <v>1036.3</v>
      </c>
      <c r="N62" s="248">
        <v>1044.3</v>
      </c>
      <c r="O62" s="247">
        <v>1049.8</v>
      </c>
      <c r="P62" s="247">
        <v>1015</v>
      </c>
      <c r="Q62" s="248">
        <v>1018.9</v>
      </c>
      <c r="R62" s="247">
        <v>1022.4</v>
      </c>
      <c r="S62" s="248">
        <v>1025.2</v>
      </c>
      <c r="T62" s="248">
        <v>1027.8</v>
      </c>
      <c r="U62" s="5">
        <v>32</v>
      </c>
      <c r="Y62" s="15"/>
      <c r="Z62" s="105"/>
    </row>
    <row r="63" spans="1:26">
      <c r="A63" s="27">
        <v>3</v>
      </c>
      <c r="B63" s="28" t="s">
        <v>78</v>
      </c>
      <c r="C63" s="27">
        <v>18</v>
      </c>
      <c r="D63" s="27">
        <v>3</v>
      </c>
      <c r="E63" s="27">
        <v>1</v>
      </c>
      <c r="F63" s="29">
        <v>7101002</v>
      </c>
      <c r="G63" s="27">
        <v>4.0999999999999996</v>
      </c>
      <c r="H63" s="27"/>
      <c r="I63" s="5">
        <v>33</v>
      </c>
      <c r="J63" s="248">
        <v>994.7</v>
      </c>
      <c r="K63" s="247">
        <v>1023.2</v>
      </c>
      <c r="L63" s="248">
        <v>1030.2</v>
      </c>
      <c r="M63" s="247">
        <v>1035.9000000000001</v>
      </c>
      <c r="N63" s="248">
        <v>1043.8</v>
      </c>
      <c r="O63" s="247">
        <v>1049.3</v>
      </c>
      <c r="P63" s="247">
        <v>1014.4</v>
      </c>
      <c r="Q63" s="248">
        <v>1018.4</v>
      </c>
      <c r="R63" s="247">
        <v>1021.8</v>
      </c>
      <c r="S63" s="248">
        <v>1024.5</v>
      </c>
      <c r="T63" s="248">
        <v>1027.0999999999999</v>
      </c>
      <c r="U63" s="5">
        <v>33</v>
      </c>
      <c r="Y63" s="15"/>
      <c r="Z63" s="105"/>
    </row>
    <row r="64" spans="1:26">
      <c r="A64" s="27">
        <v>4</v>
      </c>
      <c r="B64" s="28" t="s">
        <v>79</v>
      </c>
      <c r="C64" s="27">
        <v>25</v>
      </c>
      <c r="D64" s="27">
        <v>3</v>
      </c>
      <c r="E64" s="27">
        <v>1</v>
      </c>
      <c r="F64" s="29">
        <v>7101003</v>
      </c>
      <c r="G64" s="27">
        <v>5</v>
      </c>
      <c r="H64" s="27"/>
      <c r="I64" s="5">
        <v>34</v>
      </c>
      <c r="J64" s="248">
        <v>994.3</v>
      </c>
      <c r="K64" s="247">
        <v>1022.9</v>
      </c>
      <c r="L64" s="248">
        <v>1029.8</v>
      </c>
      <c r="M64" s="247">
        <v>1035.5</v>
      </c>
      <c r="N64" s="248">
        <v>1043.3</v>
      </c>
      <c r="O64" s="247">
        <v>1048.8</v>
      </c>
      <c r="P64" s="247">
        <v>1013.9</v>
      </c>
      <c r="Q64" s="248">
        <v>1017.8</v>
      </c>
      <c r="R64" s="247">
        <v>1021.2</v>
      </c>
      <c r="S64" s="248">
        <v>1023.9</v>
      </c>
      <c r="T64" s="248">
        <v>1026.4000000000001</v>
      </c>
      <c r="U64" s="5">
        <v>34</v>
      </c>
      <c r="Y64" s="15"/>
      <c r="Z64" s="105"/>
    </row>
    <row r="65" spans="1:26">
      <c r="A65" s="27">
        <v>5</v>
      </c>
      <c r="B65" s="28" t="s">
        <v>80</v>
      </c>
      <c r="C65" s="27">
        <v>35</v>
      </c>
      <c r="D65" s="27">
        <v>3</v>
      </c>
      <c r="E65" s="27">
        <v>1</v>
      </c>
      <c r="F65" s="29">
        <v>7101004</v>
      </c>
      <c r="G65" s="27">
        <v>6.4</v>
      </c>
      <c r="H65" s="27"/>
      <c r="I65" s="5">
        <v>35</v>
      </c>
      <c r="J65" s="248">
        <v>994</v>
      </c>
      <c r="K65" s="247">
        <v>1022.5</v>
      </c>
      <c r="L65" s="248">
        <v>1029.5</v>
      </c>
      <c r="M65" s="247">
        <v>1035.0999999999999</v>
      </c>
      <c r="N65" s="248">
        <v>1042.9000000000001</v>
      </c>
      <c r="O65" s="247">
        <v>1048.3</v>
      </c>
      <c r="P65" s="247">
        <v>1013.4</v>
      </c>
      <c r="Q65" s="248">
        <v>1017.2</v>
      </c>
      <c r="R65" s="247">
        <v>1020.6</v>
      </c>
      <c r="S65" s="248">
        <v>1023.3</v>
      </c>
      <c r="T65" s="248">
        <v>1025.8</v>
      </c>
      <c r="U65" s="5">
        <v>35</v>
      </c>
      <c r="Y65" s="15"/>
      <c r="Z65" s="105"/>
    </row>
    <row r="66" spans="1:26">
      <c r="A66" s="27">
        <v>6</v>
      </c>
      <c r="B66" s="28" t="s">
        <v>81</v>
      </c>
      <c r="C66" s="27">
        <v>50</v>
      </c>
      <c r="D66" s="27">
        <v>3</v>
      </c>
      <c r="E66" s="27">
        <v>1.5</v>
      </c>
      <c r="F66" s="29">
        <v>7101005</v>
      </c>
      <c r="G66" s="27">
        <v>8</v>
      </c>
      <c r="H66" s="27"/>
      <c r="I66" s="5">
        <v>36</v>
      </c>
      <c r="J66" s="248">
        <v>993.6</v>
      </c>
      <c r="K66" s="247">
        <v>1022.1</v>
      </c>
      <c r="L66" s="248">
        <v>1029.0999999999999</v>
      </c>
      <c r="M66" s="247">
        <v>1034.7</v>
      </c>
      <c r="N66" s="248">
        <v>1042.4000000000001</v>
      </c>
      <c r="O66" s="247">
        <v>1047.8</v>
      </c>
      <c r="P66" s="247">
        <v>1012.8</v>
      </c>
      <c r="Q66" s="248">
        <v>1016.6</v>
      </c>
      <c r="R66" s="247">
        <v>1020</v>
      </c>
      <c r="S66" s="248">
        <v>1022.6</v>
      </c>
      <c r="T66" s="248">
        <v>1025.0999999999999</v>
      </c>
      <c r="U66" s="5">
        <v>36</v>
      </c>
      <c r="Y66" s="15"/>
      <c r="Z66" s="105"/>
    </row>
    <row r="67" spans="1:26">
      <c r="A67" s="27">
        <v>7</v>
      </c>
      <c r="B67" s="28" t="s">
        <v>82</v>
      </c>
      <c r="C67" s="27">
        <v>80</v>
      </c>
      <c r="D67" s="27">
        <v>3</v>
      </c>
      <c r="E67" s="27">
        <v>1.5</v>
      </c>
      <c r="F67" s="29">
        <v>7101006</v>
      </c>
      <c r="G67" s="27">
        <v>12.7</v>
      </c>
      <c r="H67" s="27"/>
      <c r="I67" s="5">
        <v>37</v>
      </c>
      <c r="J67" s="248">
        <v>993.3</v>
      </c>
      <c r="K67" s="247">
        <v>1021.8</v>
      </c>
      <c r="L67" s="248">
        <v>1028.7</v>
      </c>
      <c r="M67" s="247">
        <v>1034.3</v>
      </c>
      <c r="N67" s="248">
        <v>1041.9000000000001</v>
      </c>
      <c r="O67" s="247">
        <v>1047.3</v>
      </c>
      <c r="P67" s="247">
        <v>1012.3</v>
      </c>
      <c r="Q67" s="248">
        <v>1016.1</v>
      </c>
      <c r="R67" s="247">
        <v>1019.3</v>
      </c>
      <c r="S67" s="248">
        <v>1022</v>
      </c>
      <c r="T67" s="248">
        <v>1024.5</v>
      </c>
      <c r="U67" s="5">
        <v>37</v>
      </c>
      <c r="Y67" s="15"/>
      <c r="Z67" s="105"/>
    </row>
    <row r="68" spans="1:26">
      <c r="A68" s="27">
        <v>8</v>
      </c>
      <c r="B68" s="28" t="s">
        <v>84</v>
      </c>
      <c r="C68" s="27">
        <v>8</v>
      </c>
      <c r="D68" s="27">
        <v>10</v>
      </c>
      <c r="E68" s="27">
        <v>4</v>
      </c>
      <c r="F68" s="29">
        <v>7103000</v>
      </c>
      <c r="G68" s="27">
        <v>4</v>
      </c>
      <c r="H68" s="27"/>
      <c r="I68" s="5">
        <v>38</v>
      </c>
      <c r="J68" s="248">
        <v>992.9</v>
      </c>
      <c r="K68" s="247">
        <v>1021.4</v>
      </c>
      <c r="L68" s="248">
        <v>1028.3</v>
      </c>
      <c r="M68" s="247">
        <v>1033.9000000000001</v>
      </c>
      <c r="N68" s="248">
        <v>1041.5</v>
      </c>
      <c r="O68" s="247">
        <v>1046.8</v>
      </c>
      <c r="P68" s="247">
        <v>1011.7</v>
      </c>
      <c r="Q68" s="248">
        <v>1015.5</v>
      </c>
      <c r="R68" s="247">
        <v>1018.7</v>
      </c>
      <c r="S68" s="248">
        <v>1021.4</v>
      </c>
      <c r="T68" s="248">
        <v>1023.8</v>
      </c>
      <c r="U68" s="5">
        <v>38</v>
      </c>
      <c r="Y68" s="15"/>
      <c r="Z68" s="105"/>
    </row>
    <row r="69" spans="1:26">
      <c r="A69" s="27">
        <v>9</v>
      </c>
      <c r="B69" s="28" t="s">
        <v>85</v>
      </c>
      <c r="C69" s="27">
        <v>12</v>
      </c>
      <c r="D69" s="27">
        <v>10</v>
      </c>
      <c r="E69" s="27">
        <v>4</v>
      </c>
      <c r="F69" s="29">
        <v>7103001</v>
      </c>
      <c r="G69" s="27">
        <v>5.0999999999999996</v>
      </c>
      <c r="H69" s="27"/>
      <c r="I69" s="5">
        <v>39</v>
      </c>
      <c r="J69" s="248">
        <v>992.6</v>
      </c>
      <c r="K69" s="247">
        <v>1021.1</v>
      </c>
      <c r="L69" s="248">
        <v>1028</v>
      </c>
      <c r="M69" s="247">
        <v>1033.5</v>
      </c>
      <c r="N69" s="248">
        <v>1041</v>
      </c>
      <c r="O69" s="247">
        <v>1046.2</v>
      </c>
      <c r="P69" s="247">
        <v>1011.2</v>
      </c>
      <c r="Q69" s="248">
        <v>1014.9</v>
      </c>
      <c r="R69" s="247">
        <v>1018.1</v>
      </c>
      <c r="S69" s="248">
        <v>1020.7</v>
      </c>
      <c r="T69" s="248">
        <v>1023.2</v>
      </c>
      <c r="U69" s="5">
        <v>39</v>
      </c>
      <c r="Y69" s="15"/>
      <c r="Z69" s="105"/>
    </row>
    <row r="70" spans="1:26">
      <c r="A70" s="27">
        <v>10</v>
      </c>
      <c r="B70" s="28" t="s">
        <v>86</v>
      </c>
      <c r="C70" s="27">
        <v>18</v>
      </c>
      <c r="D70" s="27">
        <v>10</v>
      </c>
      <c r="E70" s="27">
        <v>4</v>
      </c>
      <c r="F70" s="29">
        <v>7103002</v>
      </c>
      <c r="G70" s="27">
        <v>6.5</v>
      </c>
      <c r="H70" s="27"/>
      <c r="I70" s="5">
        <v>40</v>
      </c>
      <c r="J70" s="248">
        <v>992.2</v>
      </c>
      <c r="K70" s="247">
        <v>1020.7</v>
      </c>
      <c r="L70" s="248">
        <v>1027.5999999999999</v>
      </c>
      <c r="M70" s="247">
        <v>1033.0999999999999</v>
      </c>
      <c r="N70" s="248">
        <v>1040.5</v>
      </c>
      <c r="O70" s="247">
        <v>1045.7</v>
      </c>
      <c r="P70" s="247">
        <v>1010.6</v>
      </c>
      <c r="Q70" s="248">
        <v>1014.3</v>
      </c>
      <c r="R70" s="247">
        <v>1017.5</v>
      </c>
      <c r="S70" s="248">
        <v>1020.1</v>
      </c>
      <c r="T70" s="248">
        <v>1022.5</v>
      </c>
      <c r="U70" s="5">
        <v>40</v>
      </c>
      <c r="Y70" s="15"/>
      <c r="Z70" s="105"/>
    </row>
    <row r="71" spans="1:26">
      <c r="A71" s="27">
        <v>11</v>
      </c>
      <c r="B71" s="28" t="s">
        <v>87</v>
      </c>
      <c r="C71" s="27">
        <v>25</v>
      </c>
      <c r="D71" s="27">
        <v>10</v>
      </c>
      <c r="E71" s="27">
        <v>4</v>
      </c>
      <c r="F71" s="29">
        <v>7103003</v>
      </c>
      <c r="G71" s="27">
        <v>8</v>
      </c>
      <c r="H71" s="27"/>
      <c r="I71" s="5">
        <v>41</v>
      </c>
      <c r="J71" s="248">
        <v>991.8</v>
      </c>
      <c r="K71" s="247">
        <v>1020.2</v>
      </c>
      <c r="L71" s="248">
        <v>1027</v>
      </c>
      <c r="M71" s="247">
        <v>1032.5999999999999</v>
      </c>
      <c r="N71" s="248">
        <v>1039.9000000000001</v>
      </c>
      <c r="O71" s="247">
        <v>1045.0999999999999</v>
      </c>
      <c r="P71" s="247">
        <v>1010</v>
      </c>
      <c r="Q71" s="248">
        <v>1013.7</v>
      </c>
      <c r="R71" s="247">
        <v>1016.9</v>
      </c>
      <c r="S71" s="248">
        <v>1019.4</v>
      </c>
      <c r="T71" s="248">
        <v>1021.8</v>
      </c>
      <c r="U71" s="5">
        <v>41</v>
      </c>
      <c r="Y71" s="15"/>
      <c r="Z71" s="105"/>
    </row>
    <row r="72" spans="1:26">
      <c r="A72" s="27">
        <v>12</v>
      </c>
      <c r="B72" s="28" t="s">
        <v>88</v>
      </c>
      <c r="C72" s="27">
        <v>35</v>
      </c>
      <c r="D72" s="27">
        <v>10</v>
      </c>
      <c r="E72" s="27">
        <v>4</v>
      </c>
      <c r="F72" s="29">
        <v>7103004</v>
      </c>
      <c r="G72" s="27">
        <v>9.6999999999999993</v>
      </c>
      <c r="H72" s="27"/>
      <c r="I72" s="5">
        <v>42</v>
      </c>
      <c r="J72" s="248">
        <v>991.4</v>
      </c>
      <c r="K72" s="247">
        <v>1019.6</v>
      </c>
      <c r="L72" s="248">
        <v>1026.5</v>
      </c>
      <c r="M72" s="247">
        <v>1032</v>
      </c>
      <c r="N72" s="248">
        <v>1039.3</v>
      </c>
      <c r="O72" s="247">
        <v>1044.5</v>
      </c>
      <c r="P72" s="247">
        <v>1009.5</v>
      </c>
      <c r="Q72" s="248">
        <v>1013.1</v>
      </c>
      <c r="R72" s="247">
        <v>1016.2</v>
      </c>
      <c r="S72" s="248">
        <v>1018.8</v>
      </c>
      <c r="T72" s="248">
        <v>1021.1</v>
      </c>
      <c r="U72" s="5">
        <v>42</v>
      </c>
      <c r="Y72" s="15"/>
      <c r="Z72" s="105"/>
    </row>
    <row r="73" spans="1:26">
      <c r="A73" s="27">
        <v>13</v>
      </c>
      <c r="B73" s="28" t="s">
        <v>89</v>
      </c>
      <c r="C73" s="27">
        <v>50</v>
      </c>
      <c r="D73" s="27">
        <v>10</v>
      </c>
      <c r="E73" s="27">
        <v>4</v>
      </c>
      <c r="F73" s="29">
        <v>7103005</v>
      </c>
      <c r="G73" s="27">
        <v>12</v>
      </c>
      <c r="H73" s="27"/>
      <c r="I73" s="5">
        <v>43</v>
      </c>
      <c r="J73" s="248">
        <v>991</v>
      </c>
      <c r="K73" s="247">
        <v>1019.1</v>
      </c>
      <c r="L73" s="248">
        <v>1025.9000000000001</v>
      </c>
      <c r="M73" s="247">
        <v>1031.4000000000001</v>
      </c>
      <c r="N73" s="248">
        <v>1038.7</v>
      </c>
      <c r="O73" s="247">
        <v>1043.9000000000001</v>
      </c>
      <c r="P73" s="247">
        <v>1008.9</v>
      </c>
      <c r="Q73" s="248">
        <v>1012.5</v>
      </c>
      <c r="R73" s="247">
        <v>1015.6</v>
      </c>
      <c r="S73" s="248">
        <v>1018.1</v>
      </c>
      <c r="T73" s="248">
        <v>1020.5</v>
      </c>
      <c r="U73" s="5">
        <v>43</v>
      </c>
      <c r="Y73" s="15"/>
      <c r="Z73" s="105"/>
    </row>
    <row r="74" spans="1:26">
      <c r="A74" s="27">
        <v>14</v>
      </c>
      <c r="B74" s="28" t="s">
        <v>90</v>
      </c>
      <c r="C74" s="27">
        <v>80</v>
      </c>
      <c r="D74" s="27">
        <v>10</v>
      </c>
      <c r="E74" s="27">
        <v>4</v>
      </c>
      <c r="F74" s="29">
        <v>7103006</v>
      </c>
      <c r="G74" s="27">
        <v>16</v>
      </c>
      <c r="H74" s="27"/>
      <c r="I74" s="5">
        <v>44</v>
      </c>
      <c r="J74" s="248">
        <v>990.6</v>
      </c>
      <c r="K74" s="247">
        <v>1018.6</v>
      </c>
      <c r="L74" s="248">
        <v>1025.4000000000001</v>
      </c>
      <c r="M74" s="247">
        <v>1030.9000000000001</v>
      </c>
      <c r="N74" s="248">
        <v>1038.0999999999999</v>
      </c>
      <c r="O74" s="247">
        <v>1043.3</v>
      </c>
      <c r="P74" s="247">
        <v>1008.3</v>
      </c>
      <c r="Q74" s="248">
        <v>1011.9</v>
      </c>
      <c r="R74" s="247">
        <v>1014.9</v>
      </c>
      <c r="S74" s="248">
        <v>1017.4</v>
      </c>
      <c r="T74" s="248">
        <v>1019.8</v>
      </c>
      <c r="U74" s="5">
        <v>44</v>
      </c>
      <c r="Y74" s="15"/>
      <c r="Z74" s="105"/>
    </row>
    <row r="75" spans="1:26">
      <c r="A75" s="27">
        <v>15</v>
      </c>
      <c r="B75" s="28" t="s">
        <v>94</v>
      </c>
      <c r="C75" s="27">
        <v>140</v>
      </c>
      <c r="D75" s="27">
        <v>3</v>
      </c>
      <c r="E75" s="27">
        <v>1.5</v>
      </c>
      <c r="F75" s="27">
        <v>7101008</v>
      </c>
      <c r="G75" s="27">
        <v>26</v>
      </c>
      <c r="H75" s="27"/>
      <c r="I75" s="5">
        <v>45</v>
      </c>
      <c r="J75" s="248">
        <v>990.2</v>
      </c>
      <c r="K75" s="247">
        <v>1018</v>
      </c>
      <c r="L75" s="248">
        <v>1024.8</v>
      </c>
      <c r="M75" s="247">
        <v>1030.3</v>
      </c>
      <c r="N75" s="248">
        <v>1037.5</v>
      </c>
      <c r="O75" s="247">
        <v>1042.7</v>
      </c>
      <c r="P75" s="247">
        <v>1007.7</v>
      </c>
      <c r="Q75" s="248">
        <v>1011.3</v>
      </c>
      <c r="R75" s="247">
        <v>1014.3</v>
      </c>
      <c r="S75" s="248">
        <v>1016.8</v>
      </c>
      <c r="T75" s="248">
        <v>1019.1</v>
      </c>
      <c r="U75" s="5">
        <v>45</v>
      </c>
      <c r="Y75" s="15"/>
      <c r="Z75" s="105"/>
    </row>
    <row r="76" spans="1:26">
      <c r="A76" s="27">
        <v>16</v>
      </c>
      <c r="B76" s="28" t="s">
        <v>91</v>
      </c>
      <c r="C76" s="27">
        <v>200</v>
      </c>
      <c r="D76" s="27">
        <v>3</v>
      </c>
      <c r="E76" s="27">
        <v>1.5</v>
      </c>
      <c r="F76" s="27">
        <v>7101010</v>
      </c>
      <c r="G76" s="27">
        <v>30</v>
      </c>
      <c r="H76" s="27"/>
      <c r="I76" s="5">
        <v>46</v>
      </c>
      <c r="J76" s="248">
        <v>989.8</v>
      </c>
      <c r="K76" s="247">
        <v>1017.5</v>
      </c>
      <c r="L76" s="248">
        <v>1024.3</v>
      </c>
      <c r="M76" s="247">
        <v>1029.7</v>
      </c>
      <c r="N76" s="248">
        <v>1036.9000000000001</v>
      </c>
      <c r="O76" s="247">
        <v>1042.0999999999999</v>
      </c>
      <c r="P76" s="247">
        <v>1007.1</v>
      </c>
      <c r="Q76" s="248">
        <v>1010.6</v>
      </c>
      <c r="R76" s="247">
        <v>1013.6</v>
      </c>
      <c r="S76" s="248">
        <v>1016.1</v>
      </c>
      <c r="T76" s="248">
        <v>1018.4</v>
      </c>
      <c r="U76" s="5">
        <v>46</v>
      </c>
      <c r="Y76" s="15"/>
      <c r="Z76" s="105"/>
    </row>
    <row r="77" spans="1:26">
      <c r="A77" s="27">
        <v>17</v>
      </c>
      <c r="B77" s="28" t="s">
        <v>95</v>
      </c>
      <c r="C77" s="27">
        <v>300</v>
      </c>
      <c r="D77" s="27">
        <v>3</v>
      </c>
      <c r="E77" s="27">
        <v>1.5</v>
      </c>
      <c r="F77" s="27">
        <v>7101011</v>
      </c>
      <c r="G77" s="27">
        <v>37</v>
      </c>
      <c r="H77" s="27"/>
      <c r="I77" s="5">
        <v>47</v>
      </c>
      <c r="J77" s="248">
        <v>989.4</v>
      </c>
      <c r="K77" s="247">
        <v>1017</v>
      </c>
      <c r="L77" s="248">
        <v>1023.7</v>
      </c>
      <c r="M77" s="247">
        <v>1029.2</v>
      </c>
      <c r="N77" s="248">
        <v>1036.3</v>
      </c>
      <c r="O77" s="247">
        <v>1041.4000000000001</v>
      </c>
      <c r="P77" s="247">
        <v>1006.5</v>
      </c>
      <c r="Q77" s="248">
        <v>1010</v>
      </c>
      <c r="R77" s="247">
        <v>1013</v>
      </c>
      <c r="S77" s="248">
        <v>1015.4</v>
      </c>
      <c r="T77" s="248">
        <v>1017.7</v>
      </c>
      <c r="U77" s="5">
        <v>47</v>
      </c>
      <c r="Y77" s="15"/>
      <c r="Z77" s="105"/>
    </row>
    <row r="78" spans="1:26">
      <c r="A78" s="27">
        <v>18</v>
      </c>
      <c r="B78" s="28" t="s">
        <v>96</v>
      </c>
      <c r="C78" s="27">
        <v>400</v>
      </c>
      <c r="D78" s="27">
        <v>3</v>
      </c>
      <c r="E78" s="27">
        <v>1.5</v>
      </c>
      <c r="F78" s="27">
        <v>7101012</v>
      </c>
      <c r="G78" s="27">
        <v>54</v>
      </c>
      <c r="H78" s="27"/>
      <c r="I78" s="5">
        <v>48</v>
      </c>
      <c r="J78" s="248">
        <v>988.9</v>
      </c>
      <c r="K78" s="247">
        <v>1016.4</v>
      </c>
      <c r="L78" s="248">
        <v>1023.2</v>
      </c>
      <c r="M78" s="247">
        <v>1028.5999999999999</v>
      </c>
      <c r="N78" s="248">
        <v>1035.7</v>
      </c>
      <c r="O78" s="247">
        <v>1040.8</v>
      </c>
      <c r="P78" s="247">
        <v>1006</v>
      </c>
      <c r="Q78" s="248">
        <v>1009.4</v>
      </c>
      <c r="R78" s="247">
        <v>1012.3</v>
      </c>
      <c r="S78" s="248">
        <v>1014.7</v>
      </c>
      <c r="T78" s="248">
        <v>1017</v>
      </c>
      <c r="U78" s="5">
        <v>48</v>
      </c>
      <c r="Y78" s="15"/>
      <c r="Z78" s="105"/>
    </row>
    <row r="79" spans="1:26">
      <c r="A79" s="27">
        <v>19</v>
      </c>
      <c r="B79" s="28" t="s">
        <v>97</v>
      </c>
      <c r="C79" s="27">
        <v>500</v>
      </c>
      <c r="D79" s="27">
        <v>3</v>
      </c>
      <c r="E79" s="27">
        <v>1.5</v>
      </c>
      <c r="F79" s="27">
        <v>7101013</v>
      </c>
      <c r="G79" s="27">
        <v>63</v>
      </c>
      <c r="H79" s="27"/>
      <c r="I79" s="5">
        <v>49</v>
      </c>
      <c r="J79" s="248">
        <v>988.5</v>
      </c>
      <c r="K79" s="247">
        <v>1015.9</v>
      </c>
      <c r="L79" s="248">
        <v>1022.6</v>
      </c>
      <c r="M79" s="247">
        <v>1028</v>
      </c>
      <c r="N79" s="248">
        <v>1035.0999999999999</v>
      </c>
      <c r="O79" s="247">
        <v>1040.2</v>
      </c>
      <c r="P79" s="247">
        <v>1005.4</v>
      </c>
      <c r="Q79" s="248">
        <v>1008.8</v>
      </c>
      <c r="R79" s="247">
        <v>1011.7</v>
      </c>
      <c r="S79" s="248">
        <v>1014.1</v>
      </c>
      <c r="T79" s="248">
        <v>1016.3</v>
      </c>
      <c r="U79" s="5">
        <v>49</v>
      </c>
      <c r="Y79" s="15"/>
      <c r="Z79" s="105"/>
    </row>
    <row r="80" spans="1:26">
      <c r="A80" s="27">
        <v>20</v>
      </c>
      <c r="B80" s="28" t="s">
        <v>98</v>
      </c>
      <c r="C80" s="27">
        <v>600</v>
      </c>
      <c r="D80" s="27">
        <v>3</v>
      </c>
      <c r="E80" s="27">
        <v>1.5</v>
      </c>
      <c r="F80" s="27">
        <v>7101014</v>
      </c>
      <c r="G80" s="27">
        <v>70</v>
      </c>
      <c r="H80" s="27"/>
      <c r="I80" s="5">
        <v>50</v>
      </c>
      <c r="J80" s="248">
        <v>988</v>
      </c>
      <c r="K80" s="247">
        <v>1015.4</v>
      </c>
      <c r="L80" s="248">
        <v>1022.1</v>
      </c>
      <c r="M80" s="247">
        <v>1027.4000000000001</v>
      </c>
      <c r="N80" s="248">
        <v>1034.5</v>
      </c>
      <c r="O80" s="247">
        <v>1039.5999999999999</v>
      </c>
      <c r="P80" s="247">
        <v>1004.8</v>
      </c>
      <c r="Q80" s="248">
        <v>1008.2</v>
      </c>
      <c r="R80" s="247">
        <v>1011.1</v>
      </c>
      <c r="S80" s="248">
        <v>1013.4</v>
      </c>
      <c r="T80" s="248">
        <v>1015.7</v>
      </c>
      <c r="U80" s="5">
        <v>50</v>
      </c>
      <c r="Y80" s="15"/>
      <c r="Z80" s="105"/>
    </row>
    <row r="81" spans="1:26">
      <c r="A81" s="27">
        <v>21</v>
      </c>
      <c r="B81" s="28" t="s">
        <v>99</v>
      </c>
      <c r="C81" s="27">
        <v>800</v>
      </c>
      <c r="D81" s="27">
        <v>3</v>
      </c>
      <c r="E81" s="27">
        <v>1.5</v>
      </c>
      <c r="F81" s="27">
        <v>7101015</v>
      </c>
      <c r="G81" s="27">
        <v>91</v>
      </c>
      <c r="H81" s="27"/>
      <c r="I81" s="5">
        <v>51</v>
      </c>
      <c r="J81" s="248">
        <v>987.6</v>
      </c>
      <c r="K81" s="247">
        <v>1014.8</v>
      </c>
      <c r="L81" s="248">
        <v>1021.5</v>
      </c>
      <c r="M81" s="247">
        <v>1026.8</v>
      </c>
      <c r="N81" s="248">
        <v>1033.9000000000001</v>
      </c>
      <c r="O81" s="247">
        <v>1039</v>
      </c>
      <c r="P81" s="247">
        <v>1004.2</v>
      </c>
      <c r="Q81" s="248">
        <v>1007.5</v>
      </c>
      <c r="R81" s="247">
        <v>1010.4</v>
      </c>
      <c r="S81" s="248">
        <v>1012.7</v>
      </c>
      <c r="T81" s="248">
        <v>1014.9</v>
      </c>
      <c r="U81" s="5">
        <v>51</v>
      </c>
      <c r="Y81" s="15"/>
      <c r="Z81" s="105"/>
    </row>
    <row r="82" spans="1:26">
      <c r="A82" s="27">
        <v>22</v>
      </c>
      <c r="B82" s="28" t="s">
        <v>100</v>
      </c>
      <c r="C82" s="27">
        <v>140</v>
      </c>
      <c r="D82" s="27">
        <v>6</v>
      </c>
      <c r="E82" s="27">
        <v>3.5</v>
      </c>
      <c r="F82" s="27">
        <v>7102008</v>
      </c>
      <c r="G82" s="27">
        <v>30</v>
      </c>
      <c r="H82" s="27"/>
      <c r="I82" s="5">
        <v>52</v>
      </c>
      <c r="J82" s="248">
        <v>987.1</v>
      </c>
      <c r="K82" s="247">
        <v>1014.2</v>
      </c>
      <c r="L82" s="248">
        <v>1020.9</v>
      </c>
      <c r="M82" s="247">
        <v>1026.2</v>
      </c>
      <c r="N82" s="248">
        <v>1033.3</v>
      </c>
      <c r="O82" s="247">
        <v>1038.3</v>
      </c>
      <c r="P82" s="247">
        <v>1003.6</v>
      </c>
      <c r="Q82" s="248">
        <v>1006.9</v>
      </c>
      <c r="R82" s="247">
        <v>1009.7</v>
      </c>
      <c r="S82" s="248">
        <v>1012</v>
      </c>
      <c r="T82" s="248">
        <v>1014.2</v>
      </c>
      <c r="U82" s="5">
        <v>52</v>
      </c>
      <c r="Y82" s="15"/>
      <c r="Z82" s="105"/>
    </row>
    <row r="83" spans="1:26">
      <c r="A83" s="27">
        <v>23</v>
      </c>
      <c r="B83" s="28" t="s">
        <v>92</v>
      </c>
      <c r="C83" s="27">
        <v>200</v>
      </c>
      <c r="D83" s="27">
        <v>6</v>
      </c>
      <c r="E83" s="27">
        <v>3.5</v>
      </c>
      <c r="F83" s="27">
        <v>7102009</v>
      </c>
      <c r="G83" s="27">
        <v>35</v>
      </c>
      <c r="H83" s="27"/>
      <c r="I83" s="5">
        <v>53</v>
      </c>
      <c r="J83" s="248">
        <v>986.6</v>
      </c>
      <c r="K83" s="247">
        <v>1013.6</v>
      </c>
      <c r="L83" s="248">
        <v>1020.3</v>
      </c>
      <c r="M83" s="247">
        <v>1025.5999999999999</v>
      </c>
      <c r="N83" s="248">
        <v>1032.7</v>
      </c>
      <c r="O83" s="247">
        <v>1037.7</v>
      </c>
      <c r="P83" s="247">
        <v>1002.9</v>
      </c>
      <c r="Q83" s="248">
        <v>1006.2</v>
      </c>
      <c r="R83" s="247">
        <v>1009</v>
      </c>
      <c r="S83" s="248">
        <v>1011.3</v>
      </c>
      <c r="T83" s="248">
        <v>1013.5</v>
      </c>
      <c r="U83" s="5">
        <v>53</v>
      </c>
      <c r="Y83" s="15"/>
      <c r="Z83" s="105"/>
    </row>
    <row r="84" spans="1:26">
      <c r="A84" s="27">
        <v>24</v>
      </c>
      <c r="B84" s="28" t="s">
        <v>101</v>
      </c>
      <c r="C84" s="27">
        <v>300</v>
      </c>
      <c r="D84" s="27">
        <v>6</v>
      </c>
      <c r="E84" s="27">
        <v>3.5</v>
      </c>
      <c r="F84" s="27">
        <v>7102010</v>
      </c>
      <c r="G84" s="27">
        <v>43</v>
      </c>
      <c r="H84" s="27"/>
      <c r="I84" s="5">
        <v>54</v>
      </c>
      <c r="J84" s="248">
        <v>986.2</v>
      </c>
      <c r="K84" s="247">
        <v>1013.1</v>
      </c>
      <c r="L84" s="248">
        <v>1019.7</v>
      </c>
      <c r="M84" s="247">
        <v>1025</v>
      </c>
      <c r="N84" s="248">
        <v>1032</v>
      </c>
      <c r="O84" s="247">
        <v>1037</v>
      </c>
      <c r="P84" s="247">
        <v>1002.3</v>
      </c>
      <c r="Q84" s="248">
        <v>1005.6</v>
      </c>
      <c r="R84" s="247">
        <v>1008.4</v>
      </c>
      <c r="S84" s="248">
        <v>1010.6</v>
      </c>
      <c r="T84" s="248">
        <v>1012.8</v>
      </c>
      <c r="U84" s="5">
        <v>54</v>
      </c>
      <c r="Y84" s="15"/>
      <c r="Z84" s="105"/>
    </row>
    <row r="85" spans="1:26">
      <c r="A85" s="27">
        <v>25</v>
      </c>
      <c r="B85" s="28" t="s">
        <v>102</v>
      </c>
      <c r="C85" s="27">
        <v>400</v>
      </c>
      <c r="D85" s="27">
        <v>6</v>
      </c>
      <c r="E85" s="27">
        <v>3.5</v>
      </c>
      <c r="F85" s="27">
        <v>7102011</v>
      </c>
      <c r="G85" s="27">
        <v>62</v>
      </c>
      <c r="H85" s="27"/>
      <c r="I85" s="5">
        <v>55</v>
      </c>
      <c r="J85" s="248">
        <v>985.7</v>
      </c>
      <c r="K85" s="247">
        <v>1012.5</v>
      </c>
      <c r="L85" s="248">
        <v>1019.1</v>
      </c>
      <c r="M85" s="247">
        <v>1024.4000000000001</v>
      </c>
      <c r="N85" s="248">
        <v>1031.4000000000001</v>
      </c>
      <c r="O85" s="247">
        <v>1036.4000000000001</v>
      </c>
      <c r="P85" s="247">
        <v>1001.7</v>
      </c>
      <c r="Q85" s="248">
        <v>1005</v>
      </c>
      <c r="R85" s="247">
        <v>1007.7</v>
      </c>
      <c r="S85" s="248">
        <v>1009.9</v>
      </c>
      <c r="T85" s="248">
        <v>1012.1</v>
      </c>
      <c r="U85" s="5">
        <v>55</v>
      </c>
      <c r="Y85" s="15"/>
      <c r="Z85" s="105"/>
    </row>
    <row r="86" spans="1:26">
      <c r="A86" s="27">
        <v>26</v>
      </c>
      <c r="B86" s="28" t="s">
        <v>103</v>
      </c>
      <c r="C86" s="27">
        <v>500</v>
      </c>
      <c r="D86" s="27">
        <v>6</v>
      </c>
      <c r="E86" s="27">
        <v>3.5</v>
      </c>
      <c r="F86" s="27">
        <v>7102012</v>
      </c>
      <c r="G86" s="27">
        <v>73</v>
      </c>
      <c r="H86" s="27"/>
      <c r="I86" s="5">
        <v>56</v>
      </c>
      <c r="J86" s="248">
        <v>985.2</v>
      </c>
      <c r="K86" s="247">
        <v>1011.9</v>
      </c>
      <c r="L86" s="248">
        <v>1018.5</v>
      </c>
      <c r="M86" s="247">
        <v>1023.8</v>
      </c>
      <c r="N86" s="248">
        <v>1030.8</v>
      </c>
      <c r="O86" s="247">
        <v>1035.7</v>
      </c>
      <c r="P86" s="247">
        <v>1001.1</v>
      </c>
      <c r="Q86" s="248">
        <v>1004.3</v>
      </c>
      <c r="R86" s="247">
        <v>1007</v>
      </c>
      <c r="S86" s="248">
        <v>1009.3</v>
      </c>
      <c r="T86" s="248">
        <v>1011.4</v>
      </c>
      <c r="U86" s="5">
        <v>56</v>
      </c>
      <c r="Y86" s="15"/>
      <c r="Z86" s="105"/>
    </row>
    <row r="87" spans="1:26">
      <c r="A87" s="27">
        <v>27</v>
      </c>
      <c r="B87" s="28" t="s">
        <v>104</v>
      </c>
      <c r="C87" s="27">
        <v>600</v>
      </c>
      <c r="D87" s="27">
        <v>6</v>
      </c>
      <c r="E87" s="27">
        <v>3.5</v>
      </c>
      <c r="F87" s="27">
        <v>7102013</v>
      </c>
      <c r="G87" s="27">
        <v>81</v>
      </c>
      <c r="H87" s="27"/>
      <c r="I87" s="5">
        <v>57</v>
      </c>
      <c r="J87" s="248">
        <v>984.7</v>
      </c>
      <c r="K87" s="247">
        <v>1011.3</v>
      </c>
      <c r="L87" s="248">
        <v>1017.9</v>
      </c>
      <c r="M87" s="247">
        <v>1023.2</v>
      </c>
      <c r="N87" s="248">
        <v>1030.0999999999999</v>
      </c>
      <c r="O87" s="247">
        <v>1035.0999999999999</v>
      </c>
      <c r="P87" s="247">
        <v>1000.5</v>
      </c>
      <c r="Q87" s="248">
        <v>1003.7</v>
      </c>
      <c r="R87" s="247">
        <v>1006.4</v>
      </c>
      <c r="S87" s="248">
        <v>1008.6</v>
      </c>
      <c r="T87" s="248">
        <v>1010.7</v>
      </c>
      <c r="U87" s="5">
        <v>57</v>
      </c>
      <c r="Y87" s="15"/>
      <c r="Z87" s="105"/>
    </row>
    <row r="88" spans="1:26">
      <c r="A88" s="27">
        <v>28</v>
      </c>
      <c r="B88" s="28" t="s">
        <v>105</v>
      </c>
      <c r="C88" s="27">
        <v>800</v>
      </c>
      <c r="D88" s="27">
        <v>6</v>
      </c>
      <c r="E88" s="27">
        <v>3.5</v>
      </c>
      <c r="F88" s="27">
        <v>7102014</v>
      </c>
      <c r="G88" s="27">
        <v>105</v>
      </c>
      <c r="H88" s="27"/>
      <c r="I88" s="5">
        <v>58</v>
      </c>
      <c r="J88" s="248">
        <v>984.2</v>
      </c>
      <c r="K88" s="247">
        <v>1010.8</v>
      </c>
      <c r="L88" s="248">
        <v>1017.3</v>
      </c>
      <c r="M88" s="247">
        <v>1022.5</v>
      </c>
      <c r="N88" s="248">
        <v>1029.5</v>
      </c>
      <c r="O88" s="247">
        <v>1034.4000000000001</v>
      </c>
      <c r="P88" s="247">
        <v>999.8</v>
      </c>
      <c r="Q88" s="248">
        <v>1003</v>
      </c>
      <c r="R88" s="247">
        <v>1005.7</v>
      </c>
      <c r="S88" s="248">
        <v>1007.9</v>
      </c>
      <c r="T88" s="248">
        <v>1009.9</v>
      </c>
      <c r="U88" s="5">
        <v>58</v>
      </c>
      <c r="Y88" s="15"/>
      <c r="Z88" s="105"/>
    </row>
    <row r="89" spans="1:26">
      <c r="A89" s="27">
        <v>29</v>
      </c>
      <c r="B89" s="28" t="s">
        <v>106</v>
      </c>
      <c r="C89" s="27">
        <v>140</v>
      </c>
      <c r="D89" s="27">
        <v>10</v>
      </c>
      <c r="E89" s="27">
        <v>4</v>
      </c>
      <c r="F89" s="27">
        <v>7103007</v>
      </c>
      <c r="G89" s="27">
        <v>34</v>
      </c>
      <c r="H89" s="27"/>
      <c r="I89" s="5">
        <v>59</v>
      </c>
      <c r="J89" s="248">
        <v>983.7</v>
      </c>
      <c r="K89" s="247">
        <v>1010.2</v>
      </c>
      <c r="L89" s="248">
        <v>1016.7</v>
      </c>
      <c r="M89" s="247">
        <v>1021.9</v>
      </c>
      <c r="N89" s="248">
        <v>1028.9000000000001</v>
      </c>
      <c r="O89" s="247">
        <v>1033.8</v>
      </c>
      <c r="P89" s="247">
        <v>999.2</v>
      </c>
      <c r="Q89" s="248">
        <v>1002.4</v>
      </c>
      <c r="R89" s="247">
        <v>1005</v>
      </c>
      <c r="S89" s="248">
        <v>1007.2</v>
      </c>
      <c r="T89" s="248">
        <v>1009.2</v>
      </c>
      <c r="U89" s="5">
        <v>59</v>
      </c>
      <c r="Y89" s="15"/>
      <c r="Z89" s="105"/>
    </row>
    <row r="90" spans="1:26">
      <c r="A90" s="27">
        <v>30</v>
      </c>
      <c r="B90" s="28" t="s">
        <v>93</v>
      </c>
      <c r="C90" s="27">
        <v>200</v>
      </c>
      <c r="D90" s="27">
        <v>10</v>
      </c>
      <c r="E90" s="27">
        <v>4</v>
      </c>
      <c r="F90" s="27">
        <v>7103008</v>
      </c>
      <c r="G90" s="27">
        <v>42</v>
      </c>
      <c r="H90" s="27"/>
      <c r="I90" s="5">
        <v>60</v>
      </c>
      <c r="J90" s="248">
        <v>983.2</v>
      </c>
      <c r="K90" s="247">
        <v>1009.6</v>
      </c>
      <c r="L90" s="248">
        <v>1016.1</v>
      </c>
      <c r="M90" s="247">
        <v>1021.3</v>
      </c>
      <c r="N90" s="248">
        <v>1028.3</v>
      </c>
      <c r="O90" s="247">
        <v>1033.0999999999999</v>
      </c>
      <c r="P90" s="247">
        <v>998.6</v>
      </c>
      <c r="Q90" s="248">
        <v>1001.7</v>
      </c>
      <c r="R90" s="247">
        <v>1004.4</v>
      </c>
      <c r="S90" s="248">
        <v>1006.5</v>
      </c>
      <c r="T90" s="248">
        <v>1008.5</v>
      </c>
      <c r="U90" s="5">
        <v>60</v>
      </c>
      <c r="Y90" s="15"/>
      <c r="Z90" s="105"/>
    </row>
    <row r="91" spans="1:26">
      <c r="A91" s="27">
        <v>31</v>
      </c>
      <c r="B91" s="28" t="s">
        <v>107</v>
      </c>
      <c r="C91" s="27">
        <v>300</v>
      </c>
      <c r="D91" s="27">
        <v>10</v>
      </c>
      <c r="E91" s="27">
        <v>4</v>
      </c>
      <c r="F91" s="27">
        <v>7103009</v>
      </c>
      <c r="G91" s="27">
        <v>66</v>
      </c>
      <c r="H91" s="27"/>
      <c r="I91" s="5">
        <v>61</v>
      </c>
      <c r="J91" s="248">
        <v>982.7</v>
      </c>
      <c r="K91" s="247">
        <v>1009</v>
      </c>
      <c r="L91" s="248">
        <v>1015.4</v>
      </c>
      <c r="M91" s="247">
        <v>1020.7</v>
      </c>
      <c r="N91" s="248">
        <v>1027.5999999999999</v>
      </c>
      <c r="O91" s="247">
        <v>1032.5</v>
      </c>
      <c r="P91" s="247">
        <v>997.9</v>
      </c>
      <c r="Q91" s="248">
        <v>1001</v>
      </c>
      <c r="R91" s="247">
        <v>1003.6</v>
      </c>
      <c r="S91" s="248">
        <v>1005.7</v>
      </c>
      <c r="T91" s="248">
        <v>1007.7</v>
      </c>
      <c r="U91" s="5">
        <v>61</v>
      </c>
      <c r="Y91" s="15"/>
      <c r="Z91" s="105"/>
    </row>
    <row r="92" spans="1:26">
      <c r="A92" s="27">
        <v>32</v>
      </c>
      <c r="B92" s="28" t="s">
        <v>108</v>
      </c>
      <c r="C92" s="27">
        <v>400</v>
      </c>
      <c r="D92" s="27">
        <v>10</v>
      </c>
      <c r="E92" s="27">
        <v>4</v>
      </c>
      <c r="F92" s="27">
        <v>7103010</v>
      </c>
      <c r="G92" s="27">
        <v>75</v>
      </c>
      <c r="H92" s="27"/>
      <c r="I92" s="5">
        <v>62</v>
      </c>
      <c r="J92" s="248">
        <v>982.2</v>
      </c>
      <c r="K92" s="247">
        <v>1008.4</v>
      </c>
      <c r="L92" s="248">
        <v>1014.8</v>
      </c>
      <c r="M92" s="247">
        <v>1020</v>
      </c>
      <c r="N92" s="248">
        <v>1026.9000000000001</v>
      </c>
      <c r="O92" s="247">
        <v>1031.8</v>
      </c>
      <c r="P92" s="247">
        <v>997.3</v>
      </c>
      <c r="Q92" s="248">
        <v>1000.3</v>
      </c>
      <c r="R92" s="247">
        <v>1002.9</v>
      </c>
      <c r="S92" s="248">
        <v>1005</v>
      </c>
      <c r="T92" s="248">
        <v>1007</v>
      </c>
      <c r="U92" s="5">
        <v>62</v>
      </c>
      <c r="Y92" s="15"/>
      <c r="Z92" s="105"/>
    </row>
    <row r="93" spans="1:26">
      <c r="A93" s="27">
        <v>33</v>
      </c>
      <c r="B93" s="28" t="s">
        <v>109</v>
      </c>
      <c r="C93" s="27">
        <v>500</v>
      </c>
      <c r="D93" s="27">
        <v>10</v>
      </c>
      <c r="E93" s="27">
        <v>4</v>
      </c>
      <c r="F93" s="27">
        <v>7103011</v>
      </c>
      <c r="G93" s="27">
        <v>103</v>
      </c>
      <c r="H93" s="27"/>
      <c r="I93" s="5">
        <v>63</v>
      </c>
      <c r="J93" s="248">
        <v>981.6</v>
      </c>
      <c r="K93" s="247">
        <v>1007.8</v>
      </c>
      <c r="L93" s="248">
        <v>1014.2</v>
      </c>
      <c r="M93" s="247">
        <v>1019.4</v>
      </c>
      <c r="N93" s="248">
        <v>1026.2</v>
      </c>
      <c r="O93" s="247">
        <v>1031.0999999999999</v>
      </c>
      <c r="P93" s="247">
        <v>996.6</v>
      </c>
      <c r="Q93" s="248">
        <v>999.6</v>
      </c>
      <c r="R93" s="247">
        <v>1002.2</v>
      </c>
      <c r="S93" s="248">
        <v>1004.3</v>
      </c>
      <c r="T93" s="248">
        <v>1006.2</v>
      </c>
      <c r="U93" s="5">
        <v>63</v>
      </c>
      <c r="Y93" s="15"/>
      <c r="Z93" s="105"/>
    </row>
    <row r="94" spans="1:26">
      <c r="A94" s="27">
        <v>34</v>
      </c>
      <c r="B94" s="28" t="s">
        <v>110</v>
      </c>
      <c r="C94" s="27">
        <v>600</v>
      </c>
      <c r="D94" s="27">
        <v>10</v>
      </c>
      <c r="E94" s="27">
        <v>4</v>
      </c>
      <c r="F94" s="27">
        <v>7103012</v>
      </c>
      <c r="G94" s="27">
        <v>113</v>
      </c>
      <c r="H94" s="27"/>
      <c r="I94" s="5">
        <v>64</v>
      </c>
      <c r="J94" s="248">
        <v>981.1</v>
      </c>
      <c r="K94" s="247">
        <v>1007.2</v>
      </c>
      <c r="L94" s="248">
        <v>1013.5</v>
      </c>
      <c r="M94" s="247">
        <v>1018.7</v>
      </c>
      <c r="N94" s="248">
        <v>1025.5999999999999</v>
      </c>
      <c r="O94" s="247">
        <v>1030.4000000000001</v>
      </c>
      <c r="P94" s="247">
        <v>995.9</v>
      </c>
      <c r="Q94" s="248">
        <v>998.9</v>
      </c>
      <c r="R94" s="247">
        <v>1001.5</v>
      </c>
      <c r="S94" s="248">
        <v>1003.5</v>
      </c>
      <c r="T94" s="248">
        <v>1005.5</v>
      </c>
      <c r="U94" s="5">
        <v>64</v>
      </c>
      <c r="Y94" s="15"/>
      <c r="Z94" s="105"/>
    </row>
    <row r="95" spans="1:26">
      <c r="A95" s="27">
        <v>35</v>
      </c>
      <c r="B95" s="28" t="s">
        <v>112</v>
      </c>
      <c r="C95" s="27">
        <v>1000</v>
      </c>
      <c r="D95" s="27">
        <v>6</v>
      </c>
      <c r="E95" s="27">
        <v>3.5</v>
      </c>
      <c r="F95" s="27">
        <v>7102015</v>
      </c>
      <c r="G95" s="27">
        <v>290</v>
      </c>
      <c r="H95" s="27"/>
      <c r="I95" s="5">
        <v>65</v>
      </c>
      <c r="J95" s="248">
        <v>980.5</v>
      </c>
      <c r="K95" s="247">
        <v>1006.5</v>
      </c>
      <c r="L95" s="248">
        <v>1012.9</v>
      </c>
      <c r="M95" s="247">
        <v>1018</v>
      </c>
      <c r="N95" s="248">
        <v>1024.9000000000001</v>
      </c>
      <c r="O95" s="247">
        <v>1029.7</v>
      </c>
      <c r="P95" s="247">
        <v>995.3</v>
      </c>
      <c r="Q95" s="248">
        <v>998.3</v>
      </c>
      <c r="R95" s="247">
        <v>1000.8</v>
      </c>
      <c r="S95" s="248">
        <v>1002.8</v>
      </c>
      <c r="T95" s="248">
        <v>1004.7</v>
      </c>
      <c r="U95" s="5">
        <v>65</v>
      </c>
      <c r="Y95" s="15"/>
      <c r="Z95" s="105"/>
    </row>
    <row r="96" spans="1:26">
      <c r="A96" s="27">
        <v>36</v>
      </c>
      <c r="B96" s="28" t="s">
        <v>113</v>
      </c>
      <c r="C96" s="27">
        <v>1500</v>
      </c>
      <c r="D96" s="27">
        <v>6</v>
      </c>
      <c r="E96" s="27">
        <v>3.5</v>
      </c>
      <c r="F96" s="27">
        <v>7102016</v>
      </c>
      <c r="G96" s="27">
        <v>400</v>
      </c>
      <c r="H96" s="27"/>
      <c r="I96" s="5">
        <v>66</v>
      </c>
      <c r="J96" s="248">
        <v>980</v>
      </c>
      <c r="K96" s="247">
        <v>1005.9</v>
      </c>
      <c r="L96" s="248">
        <v>1012.3</v>
      </c>
      <c r="M96" s="247">
        <v>1017.4</v>
      </c>
      <c r="N96" s="248">
        <v>1024.2</v>
      </c>
      <c r="O96" s="247">
        <v>1029</v>
      </c>
      <c r="P96" s="247">
        <v>994.6</v>
      </c>
      <c r="Q96" s="248">
        <v>997.6</v>
      </c>
      <c r="R96" s="247">
        <v>1000</v>
      </c>
      <c r="S96" s="248">
        <v>1002.1</v>
      </c>
      <c r="T96" s="248">
        <v>1004</v>
      </c>
      <c r="U96" s="5">
        <v>66</v>
      </c>
      <c r="Y96" s="15"/>
      <c r="Z96" s="105"/>
    </row>
    <row r="97" spans="1:29">
      <c r="A97" s="27">
        <v>37</v>
      </c>
      <c r="B97" s="28" t="s">
        <v>114</v>
      </c>
      <c r="C97" s="27">
        <v>2000</v>
      </c>
      <c r="D97" s="27">
        <v>6</v>
      </c>
      <c r="E97" s="27">
        <v>3.5</v>
      </c>
      <c r="F97" s="27">
        <v>7102017</v>
      </c>
      <c r="G97" s="27">
        <v>680</v>
      </c>
      <c r="H97" s="27"/>
      <c r="I97" s="5">
        <v>67</v>
      </c>
      <c r="J97" s="248">
        <v>979.4</v>
      </c>
      <c r="K97" s="247">
        <v>1005.3</v>
      </c>
      <c r="L97" s="248">
        <v>1011.6</v>
      </c>
      <c r="M97" s="247">
        <v>1016.7</v>
      </c>
      <c r="N97" s="248">
        <v>1023.5</v>
      </c>
      <c r="O97" s="247">
        <v>1028.4000000000001</v>
      </c>
      <c r="P97" s="247">
        <v>993.9</v>
      </c>
      <c r="Q97" s="248">
        <v>996.9</v>
      </c>
      <c r="R97" s="247">
        <v>999.3</v>
      </c>
      <c r="S97" s="248">
        <v>1001.3</v>
      </c>
      <c r="T97" s="248">
        <v>1003.2</v>
      </c>
      <c r="U97" s="5">
        <v>67</v>
      </c>
      <c r="Y97" s="15"/>
      <c r="Z97" s="105"/>
    </row>
    <row r="98" spans="1:29">
      <c r="A98" s="27">
        <v>38</v>
      </c>
      <c r="B98" s="28" t="s">
        <v>115</v>
      </c>
      <c r="C98" s="27">
        <v>3000</v>
      </c>
      <c r="D98" s="27">
        <v>6</v>
      </c>
      <c r="E98" s="27">
        <v>3.5</v>
      </c>
      <c r="F98" s="27">
        <v>7102018</v>
      </c>
      <c r="G98" s="27">
        <v>840</v>
      </c>
      <c r="H98" s="27"/>
      <c r="I98" s="5">
        <v>68</v>
      </c>
      <c r="J98" s="248">
        <v>978.9</v>
      </c>
      <c r="K98" s="247">
        <v>1004.7</v>
      </c>
      <c r="L98" s="248">
        <v>1011</v>
      </c>
      <c r="M98" s="247">
        <v>1016.1</v>
      </c>
      <c r="N98" s="248">
        <v>1022.9</v>
      </c>
      <c r="O98" s="247">
        <v>1027.7</v>
      </c>
      <c r="P98" s="247">
        <v>993.3</v>
      </c>
      <c r="Q98" s="248">
        <v>996.2</v>
      </c>
      <c r="R98" s="247">
        <v>998.6</v>
      </c>
      <c r="S98" s="248">
        <v>1000.6</v>
      </c>
      <c r="T98" s="248">
        <v>1002.5</v>
      </c>
      <c r="U98" s="5">
        <v>68</v>
      </c>
      <c r="Y98" s="15"/>
      <c r="Z98" s="105"/>
    </row>
    <row r="99" spans="1:29">
      <c r="A99" s="27">
        <v>39</v>
      </c>
      <c r="B99" s="28" t="s">
        <v>116</v>
      </c>
      <c r="C99" s="27">
        <v>4000</v>
      </c>
      <c r="D99" s="27">
        <v>6</v>
      </c>
      <c r="E99" s="27">
        <v>3.5</v>
      </c>
      <c r="F99" s="27">
        <v>7102019</v>
      </c>
      <c r="G99" s="27">
        <v>950</v>
      </c>
      <c r="H99" s="27"/>
      <c r="I99" s="5">
        <v>69</v>
      </c>
      <c r="J99" s="248">
        <v>978.3</v>
      </c>
      <c r="K99" s="247">
        <v>1004.1</v>
      </c>
      <c r="L99" s="248">
        <v>1010.4</v>
      </c>
      <c r="M99" s="247">
        <v>1015.4</v>
      </c>
      <c r="N99" s="248">
        <v>1022.2</v>
      </c>
      <c r="O99" s="247">
        <v>1027</v>
      </c>
      <c r="P99" s="247">
        <v>992.6</v>
      </c>
      <c r="Q99" s="248">
        <v>995.5</v>
      </c>
      <c r="R99" s="247">
        <v>997.9</v>
      </c>
      <c r="S99" s="248">
        <v>999.8</v>
      </c>
      <c r="T99" s="248">
        <v>1001.7</v>
      </c>
      <c r="U99" s="5">
        <v>69</v>
      </c>
      <c r="Y99" s="15"/>
      <c r="Z99" s="105"/>
    </row>
    <row r="100" spans="1:29" ht="15.6">
      <c r="A100" s="27">
        <v>40</v>
      </c>
      <c r="B100" s="28" t="s">
        <v>117</v>
      </c>
      <c r="C100" s="27">
        <v>5000</v>
      </c>
      <c r="D100" s="27">
        <v>6</v>
      </c>
      <c r="E100" s="27">
        <v>3.5</v>
      </c>
      <c r="F100" s="27">
        <v>7102020</v>
      </c>
      <c r="G100" s="27">
        <v>1050</v>
      </c>
      <c r="H100" s="27"/>
      <c r="I100" s="5">
        <v>70</v>
      </c>
      <c r="J100" s="248">
        <v>977.8</v>
      </c>
      <c r="K100" s="247">
        <v>1003.5</v>
      </c>
      <c r="L100" s="248">
        <v>1009.7</v>
      </c>
      <c r="M100" s="247">
        <v>1014.8</v>
      </c>
      <c r="N100" s="248">
        <v>1021.5</v>
      </c>
      <c r="O100" s="247">
        <v>1026.3</v>
      </c>
      <c r="P100" s="247">
        <v>991.9</v>
      </c>
      <c r="Q100" s="248">
        <v>994.8</v>
      </c>
      <c r="R100" s="247">
        <v>997.1</v>
      </c>
      <c r="S100" s="248">
        <v>999.1</v>
      </c>
      <c r="T100" s="248">
        <v>1000.9</v>
      </c>
      <c r="U100" s="5">
        <v>70</v>
      </c>
      <c r="Y100" s="15"/>
      <c r="Z100" s="105"/>
      <c r="AB100" s="249" t="s">
        <v>699</v>
      </c>
      <c r="AC100" s="3">
        <f>AC124</f>
        <v>999.9</v>
      </c>
    </row>
    <row r="101" spans="1:29" ht="15.6">
      <c r="A101" s="27">
        <v>41</v>
      </c>
      <c r="B101" s="28" t="s">
        <v>111</v>
      </c>
      <c r="C101" s="27">
        <v>1000</v>
      </c>
      <c r="D101" s="27">
        <v>10</v>
      </c>
      <c r="E101" s="27">
        <v>4</v>
      </c>
      <c r="F101" s="27">
        <v>7103013</v>
      </c>
      <c r="G101" s="27">
        <v>340</v>
      </c>
      <c r="H101" s="27"/>
      <c r="I101" s="5">
        <v>71</v>
      </c>
      <c r="J101" s="248">
        <v>977.2</v>
      </c>
      <c r="K101" s="247">
        <v>1002.8</v>
      </c>
      <c r="L101" s="248">
        <v>1009</v>
      </c>
      <c r="M101" s="247">
        <v>1014.1</v>
      </c>
      <c r="N101" s="248">
        <v>1020.8</v>
      </c>
      <c r="O101" s="247">
        <v>1025.5999999999999</v>
      </c>
      <c r="P101" s="247">
        <v>991.2</v>
      </c>
      <c r="Q101" s="248">
        <v>994.1</v>
      </c>
      <c r="R101" s="247">
        <v>996.4</v>
      </c>
      <c r="S101" s="248">
        <v>998.3</v>
      </c>
      <c r="T101" s="248">
        <v>1000.2</v>
      </c>
      <c r="U101" s="5">
        <v>71</v>
      </c>
      <c r="Y101" s="15"/>
      <c r="Z101" s="105"/>
      <c r="AB101" s="249" t="s">
        <v>649</v>
      </c>
      <c r="AC101" s="3">
        <f>INDEX(J4:T130,MATCH(AD114,I4:I130,0),MATCH(Z114,J3:T3,0))</f>
        <v>999.7</v>
      </c>
    </row>
    <row r="102" spans="1:29" ht="15.6">
      <c r="A102" s="27">
        <v>42</v>
      </c>
      <c r="B102" s="28" t="s">
        <v>118</v>
      </c>
      <c r="C102" s="27">
        <v>1500</v>
      </c>
      <c r="D102" s="27">
        <v>10</v>
      </c>
      <c r="E102" s="27">
        <v>4</v>
      </c>
      <c r="F102" s="27">
        <v>7103014</v>
      </c>
      <c r="G102" s="27">
        <v>460</v>
      </c>
      <c r="H102" s="27"/>
      <c r="I102" s="5">
        <v>72</v>
      </c>
      <c r="J102" s="248">
        <v>976.6</v>
      </c>
      <c r="K102" s="247">
        <v>1002.1</v>
      </c>
      <c r="L102" s="248">
        <v>1008.4</v>
      </c>
      <c r="M102" s="247">
        <v>1013.4</v>
      </c>
      <c r="N102" s="248">
        <v>1020.1</v>
      </c>
      <c r="O102" s="247">
        <v>1024.9000000000001</v>
      </c>
      <c r="P102" s="247">
        <v>990.5</v>
      </c>
      <c r="Q102" s="248">
        <v>993.3</v>
      </c>
      <c r="R102" s="247">
        <v>995.7</v>
      </c>
      <c r="S102" s="248">
        <v>997.6</v>
      </c>
      <c r="T102" s="248">
        <v>999.4</v>
      </c>
      <c r="U102" s="5">
        <v>72</v>
      </c>
      <c r="Y102" s="15"/>
      <c r="Z102" s="105"/>
      <c r="AB102" s="3" t="s">
        <v>645</v>
      </c>
      <c r="AC102" s="3">
        <f>1/AC100</f>
        <v>1.0001000100010001E-3</v>
      </c>
    </row>
    <row r="103" spans="1:29" ht="15.6">
      <c r="A103" s="27">
        <v>43</v>
      </c>
      <c r="B103" s="28" t="s">
        <v>119</v>
      </c>
      <c r="C103" s="27">
        <v>2000</v>
      </c>
      <c r="D103" s="27">
        <v>10</v>
      </c>
      <c r="E103" s="27">
        <v>4</v>
      </c>
      <c r="F103" s="27">
        <v>7103015</v>
      </c>
      <c r="G103" s="27">
        <v>760</v>
      </c>
      <c r="H103" s="27"/>
      <c r="I103" s="5">
        <v>73</v>
      </c>
      <c r="J103" s="248">
        <v>976</v>
      </c>
      <c r="K103" s="247">
        <v>1001.5</v>
      </c>
      <c r="L103" s="248">
        <v>1007.7</v>
      </c>
      <c r="M103" s="247">
        <v>1012.7</v>
      </c>
      <c r="N103" s="248">
        <v>1019.4</v>
      </c>
      <c r="O103" s="247">
        <v>1024.2</v>
      </c>
      <c r="P103" s="247">
        <v>989.8</v>
      </c>
      <c r="Q103" s="248">
        <v>992.6</v>
      </c>
      <c r="R103" s="247">
        <v>994.9</v>
      </c>
      <c r="S103" s="248">
        <v>996.8</v>
      </c>
      <c r="T103" s="248">
        <v>998.6</v>
      </c>
      <c r="U103" s="5">
        <v>73</v>
      </c>
      <c r="Y103" s="15"/>
      <c r="Z103" s="105"/>
      <c r="AB103" s="3" t="s">
        <v>650</v>
      </c>
      <c r="AC103" s="3">
        <f>1/AC101</f>
        <v>1.000300090027008E-3</v>
      </c>
    </row>
    <row r="104" spans="1:29">
      <c r="A104" s="27">
        <v>44</v>
      </c>
      <c r="B104" s="28" t="s">
        <v>120</v>
      </c>
      <c r="C104" s="27">
        <v>3000</v>
      </c>
      <c r="D104" s="27">
        <v>10</v>
      </c>
      <c r="E104" s="27">
        <v>4</v>
      </c>
      <c r="F104" s="27">
        <v>7103016</v>
      </c>
      <c r="G104" s="27">
        <v>920</v>
      </c>
      <c r="H104" s="27"/>
      <c r="I104" s="5">
        <v>74</v>
      </c>
      <c r="J104" s="248">
        <v>975.4</v>
      </c>
      <c r="K104" s="247">
        <v>1000.8</v>
      </c>
      <c r="L104" s="248">
        <v>1007</v>
      </c>
      <c r="M104" s="247">
        <v>1012</v>
      </c>
      <c r="N104" s="248">
        <v>1018.7</v>
      </c>
      <c r="O104" s="247">
        <v>1023.4</v>
      </c>
      <c r="P104" s="247">
        <v>989.1</v>
      </c>
      <c r="Q104" s="248">
        <v>991.9</v>
      </c>
      <c r="R104" s="247">
        <v>994.2</v>
      </c>
      <c r="S104" s="248">
        <v>996.1</v>
      </c>
      <c r="T104" s="248">
        <v>997.8</v>
      </c>
      <c r="U104" s="5">
        <v>74</v>
      </c>
      <c r="Y104" s="15"/>
      <c r="Z104" s="105"/>
      <c r="AB104" s="250" t="s">
        <v>646</v>
      </c>
      <c r="AC104" s="251">
        <f>(AC103-AC102)</f>
        <v>2.0008002600785217E-7</v>
      </c>
    </row>
    <row r="105" spans="1:29">
      <c r="A105" s="27">
        <v>45</v>
      </c>
      <c r="B105" s="28" t="s">
        <v>121</v>
      </c>
      <c r="C105" s="27">
        <v>4000</v>
      </c>
      <c r="D105" s="27">
        <v>10</v>
      </c>
      <c r="E105" s="27">
        <v>4</v>
      </c>
      <c r="F105" s="27">
        <v>7103017</v>
      </c>
      <c r="G105" s="27">
        <v>1060</v>
      </c>
      <c r="H105" s="27"/>
      <c r="I105" s="5">
        <v>75</v>
      </c>
      <c r="J105" s="248">
        <v>974.8</v>
      </c>
      <c r="K105" s="247">
        <v>1000.1</v>
      </c>
      <c r="L105" s="248">
        <v>1006.3</v>
      </c>
      <c r="M105" s="247">
        <v>1011.3</v>
      </c>
      <c r="N105" s="248">
        <v>1018</v>
      </c>
      <c r="O105" s="247">
        <v>1022.7</v>
      </c>
      <c r="P105" s="247">
        <v>988.4</v>
      </c>
      <c r="Q105" s="248">
        <v>991.2</v>
      </c>
      <c r="R105" s="247">
        <v>993.4</v>
      </c>
      <c r="S105" s="248">
        <v>995.3</v>
      </c>
      <c r="T105" s="248">
        <v>997</v>
      </c>
      <c r="U105" s="5">
        <v>75</v>
      </c>
      <c r="Y105" s="15"/>
      <c r="Z105" s="105"/>
      <c r="AB105" s="9" t="s">
        <v>59</v>
      </c>
      <c r="AC105" s="3">
        <f>AC101*AC104</f>
        <v>2.0002000200004984E-4</v>
      </c>
    </row>
    <row r="106" spans="1:29">
      <c r="A106" s="27">
        <v>46</v>
      </c>
      <c r="B106" s="28" t="s">
        <v>122</v>
      </c>
      <c r="C106" s="27">
        <v>5000</v>
      </c>
      <c r="D106" s="27">
        <v>10</v>
      </c>
      <c r="E106" s="27">
        <v>4</v>
      </c>
      <c r="F106" s="27">
        <v>7103018</v>
      </c>
      <c r="G106" s="27">
        <v>1180</v>
      </c>
      <c r="H106" s="27"/>
      <c r="I106" s="5">
        <v>76</v>
      </c>
      <c r="J106" s="248">
        <v>974.2</v>
      </c>
      <c r="K106" s="247">
        <v>999.5</v>
      </c>
      <c r="L106" s="248">
        <v>1005.7</v>
      </c>
      <c r="M106" s="247">
        <v>1010.7</v>
      </c>
      <c r="N106" s="248">
        <v>1017.3</v>
      </c>
      <c r="O106" s="247">
        <v>1022</v>
      </c>
      <c r="P106" s="247">
        <v>987.7</v>
      </c>
      <c r="Q106" s="248">
        <v>990.4</v>
      </c>
      <c r="R106" s="247">
        <v>992.7</v>
      </c>
      <c r="S106" s="248">
        <v>994.5</v>
      </c>
      <c r="T106" s="248">
        <v>996.3</v>
      </c>
      <c r="U106" s="5">
        <v>76</v>
      </c>
      <c r="Y106" s="15"/>
      <c r="Z106" s="105"/>
      <c r="AB106" s="9" t="s">
        <v>651</v>
      </c>
      <c r="AC106" s="10">
        <f>'NW wg PN-B-02414'!L17*AC105*1000</f>
        <v>1.240124012400309</v>
      </c>
    </row>
    <row r="107" spans="1:29" ht="15.6">
      <c r="I107" s="5">
        <v>77</v>
      </c>
      <c r="J107" s="248">
        <v>973.6</v>
      </c>
      <c r="K107" s="247">
        <v>998.8</v>
      </c>
      <c r="L107" s="248">
        <v>1005</v>
      </c>
      <c r="M107" s="247">
        <v>1010</v>
      </c>
      <c r="N107" s="248">
        <v>1016.6</v>
      </c>
      <c r="O107" s="247">
        <v>1021.3</v>
      </c>
      <c r="P107" s="247">
        <v>987</v>
      </c>
      <c r="Q107" s="248">
        <v>989.7</v>
      </c>
      <c r="R107" s="247">
        <v>992</v>
      </c>
      <c r="S107" s="248">
        <v>993.8</v>
      </c>
      <c r="T107" s="248">
        <v>995.5</v>
      </c>
      <c r="U107" s="5">
        <v>77</v>
      </c>
      <c r="Y107" s="15"/>
      <c r="Z107" s="105"/>
      <c r="AB107" s="9" t="s">
        <v>708</v>
      </c>
      <c r="AC107" s="15">
        <f>'NW wg PN-B-02414'!E130*'NW wg PN-B-02414'!E129*10</f>
        <v>31</v>
      </c>
    </row>
    <row r="108" spans="1:29" ht="15.6">
      <c r="B108" s="27">
        <v>1</v>
      </c>
      <c r="C108" s="27" t="s">
        <v>125</v>
      </c>
      <c r="D108" s="27" t="s">
        <v>126</v>
      </c>
      <c r="E108" s="27"/>
      <c r="F108" s="27" t="s">
        <v>128</v>
      </c>
      <c r="G108" s="27" t="s">
        <v>143</v>
      </c>
      <c r="I108" s="5">
        <v>78</v>
      </c>
      <c r="J108" s="248">
        <v>973</v>
      </c>
      <c r="K108" s="247">
        <v>998.1</v>
      </c>
      <c r="L108" s="248">
        <v>1004.3</v>
      </c>
      <c r="M108" s="247">
        <v>1009.3</v>
      </c>
      <c r="N108" s="248">
        <v>1015.9</v>
      </c>
      <c r="O108" s="247">
        <v>1020.6</v>
      </c>
      <c r="P108" s="247">
        <v>986.3</v>
      </c>
      <c r="Q108" s="248">
        <v>989</v>
      </c>
      <c r="R108" s="247">
        <v>991.2</v>
      </c>
      <c r="S108" s="248">
        <v>993</v>
      </c>
      <c r="T108" s="248">
        <v>994.7</v>
      </c>
      <c r="U108" s="5">
        <v>78</v>
      </c>
      <c r="Y108" s="15"/>
      <c r="Z108" s="105"/>
      <c r="AB108" s="9" t="s">
        <v>152</v>
      </c>
      <c r="AC108" s="10">
        <f>AC107+AC106</f>
        <v>32.240124012400308</v>
      </c>
    </row>
    <row r="109" spans="1:29">
      <c r="A109" s="27">
        <v>1</v>
      </c>
      <c r="B109" s="28" t="s">
        <v>208</v>
      </c>
      <c r="C109" s="28" t="s">
        <v>208</v>
      </c>
      <c r="D109" s="28" t="s">
        <v>208</v>
      </c>
      <c r="E109" s="28" t="s">
        <v>208</v>
      </c>
      <c r="F109" s="28" t="s">
        <v>208</v>
      </c>
      <c r="G109" s="28" t="s">
        <v>208</v>
      </c>
      <c r="I109" s="5">
        <v>79</v>
      </c>
      <c r="J109" s="248">
        <v>972.4</v>
      </c>
      <c r="K109" s="247">
        <v>997.5</v>
      </c>
      <c r="L109" s="248">
        <v>1003.6</v>
      </c>
      <c r="M109" s="247">
        <v>1008.6</v>
      </c>
      <c r="N109" s="248">
        <v>1015.2</v>
      </c>
      <c r="O109" s="247">
        <v>1019.9</v>
      </c>
      <c r="P109" s="247">
        <v>985.6</v>
      </c>
      <c r="Q109" s="248">
        <v>988.3</v>
      </c>
      <c r="R109" s="247">
        <v>990.5</v>
      </c>
      <c r="S109" s="248">
        <v>992.2</v>
      </c>
      <c r="T109" s="248">
        <v>993.9</v>
      </c>
      <c r="U109" s="5">
        <v>79</v>
      </c>
    </row>
    <row r="110" spans="1:29">
      <c r="A110" s="27">
        <v>2</v>
      </c>
      <c r="B110" s="28" t="s">
        <v>174</v>
      </c>
      <c r="C110" s="27">
        <v>8</v>
      </c>
      <c r="D110" s="27">
        <v>10</v>
      </c>
      <c r="E110" s="27"/>
      <c r="F110" s="29">
        <v>7142020</v>
      </c>
      <c r="G110" s="27">
        <v>3.9</v>
      </c>
      <c r="I110" s="5">
        <v>80</v>
      </c>
      <c r="J110" s="248">
        <v>971.8</v>
      </c>
      <c r="K110" s="247">
        <v>996.8</v>
      </c>
      <c r="L110" s="248">
        <v>1003</v>
      </c>
      <c r="M110" s="247">
        <v>1007.9</v>
      </c>
      <c r="N110" s="248">
        <v>1014.5</v>
      </c>
      <c r="O110" s="247">
        <v>1019.2</v>
      </c>
      <c r="P110" s="247">
        <v>984.9</v>
      </c>
      <c r="Q110" s="248">
        <v>987.5</v>
      </c>
      <c r="R110" s="247">
        <v>989.7</v>
      </c>
      <c r="S110" s="248">
        <v>991.5</v>
      </c>
      <c r="T110" s="248">
        <v>993.1</v>
      </c>
      <c r="U110" s="5">
        <v>80</v>
      </c>
      <c r="AB110" s="9" t="s">
        <v>652</v>
      </c>
      <c r="AC110" s="252">
        <f>(('NW wg PN-B-02414'!E234*('NW wg PN-B-02414'!E235+1))/('NW wg PN-B-02414'!E234-'2'!AC108))-1</f>
        <v>2.1825878283156572</v>
      </c>
    </row>
    <row r="111" spans="1:29">
      <c r="A111" s="27">
        <v>3</v>
      </c>
      <c r="B111" s="28" t="s">
        <v>175</v>
      </c>
      <c r="C111" s="27">
        <v>12</v>
      </c>
      <c r="D111" s="27">
        <v>10</v>
      </c>
      <c r="E111" s="27"/>
      <c r="F111" s="29">
        <v>7142021</v>
      </c>
      <c r="G111" s="27">
        <v>5.0999999999999996</v>
      </c>
      <c r="I111" s="5">
        <v>81</v>
      </c>
      <c r="J111" s="248">
        <v>971.2</v>
      </c>
      <c r="K111" s="247">
        <v>996.1</v>
      </c>
      <c r="L111" s="248">
        <v>1002.2</v>
      </c>
      <c r="M111" s="247">
        <v>1007.2</v>
      </c>
      <c r="N111" s="248">
        <v>1013.7</v>
      </c>
      <c r="O111" s="247">
        <v>1018.4</v>
      </c>
      <c r="P111" s="247">
        <v>984.2</v>
      </c>
      <c r="Q111" s="248">
        <v>986.8</v>
      </c>
      <c r="R111" s="247">
        <v>988.9</v>
      </c>
      <c r="S111" s="248">
        <v>990.7</v>
      </c>
      <c r="T111" s="248">
        <v>992.3</v>
      </c>
      <c r="U111" s="5">
        <v>81</v>
      </c>
    </row>
    <row r="112" spans="1:29">
      <c r="A112" s="27">
        <v>4</v>
      </c>
      <c r="B112" s="28" t="s">
        <v>176</v>
      </c>
      <c r="C112" s="27">
        <v>18</v>
      </c>
      <c r="D112" s="27">
        <v>10</v>
      </c>
      <c r="E112" s="27"/>
      <c r="F112" s="29">
        <v>7142022</v>
      </c>
      <c r="G112" s="27">
        <v>6.3</v>
      </c>
      <c r="I112" s="5">
        <v>82</v>
      </c>
      <c r="J112" s="248">
        <v>970.5</v>
      </c>
      <c r="K112" s="247">
        <v>995.4</v>
      </c>
      <c r="L112" s="248">
        <v>1001.5</v>
      </c>
      <c r="M112" s="247">
        <v>1006.4</v>
      </c>
      <c r="N112" s="248">
        <v>1013</v>
      </c>
      <c r="O112" s="247">
        <v>1017.7</v>
      </c>
      <c r="P112" s="247">
        <v>983.5</v>
      </c>
      <c r="Q112" s="248">
        <v>986</v>
      </c>
      <c r="R112" s="247">
        <v>988.1</v>
      </c>
      <c r="S112" s="248">
        <v>989.9</v>
      </c>
      <c r="T112" s="248">
        <v>991.5</v>
      </c>
      <c r="U112" s="5">
        <v>82</v>
      </c>
    </row>
    <row r="113" spans="1:30">
      <c r="A113" s="27">
        <v>5</v>
      </c>
      <c r="B113" s="28" t="s">
        <v>177</v>
      </c>
      <c r="C113" s="27">
        <v>25</v>
      </c>
      <c r="D113" s="27">
        <v>10</v>
      </c>
      <c r="E113" s="27"/>
      <c r="F113" s="29">
        <v>7142023</v>
      </c>
      <c r="G113" s="27">
        <v>8.1</v>
      </c>
      <c r="I113" s="5">
        <v>83</v>
      </c>
      <c r="J113" s="248">
        <v>969.9</v>
      </c>
      <c r="K113" s="247">
        <v>994.7</v>
      </c>
      <c r="L113" s="248">
        <v>1000.8</v>
      </c>
      <c r="M113" s="247">
        <v>1005.7</v>
      </c>
      <c r="N113" s="248">
        <v>1012.3</v>
      </c>
      <c r="O113" s="247">
        <v>1016.9</v>
      </c>
      <c r="P113" s="247">
        <v>982.7</v>
      </c>
      <c r="Q113" s="248">
        <v>985.2</v>
      </c>
      <c r="R113" s="247">
        <v>987.4</v>
      </c>
      <c r="S113" s="248">
        <v>989.1</v>
      </c>
      <c r="T113" s="248">
        <v>990.7</v>
      </c>
      <c r="U113" s="5">
        <v>83</v>
      </c>
      <c r="Y113" s="9" t="s">
        <v>697</v>
      </c>
      <c r="Z113" s="3" t="s">
        <v>9</v>
      </c>
      <c r="AA113" s="3" t="s">
        <v>5</v>
      </c>
      <c r="AB113" s="3" t="s">
        <v>696</v>
      </c>
      <c r="AC113" s="3" t="s">
        <v>35</v>
      </c>
      <c r="AD113" s="3" t="s">
        <v>648</v>
      </c>
    </row>
    <row r="114" spans="1:30">
      <c r="A114" s="27">
        <v>6</v>
      </c>
      <c r="B114" s="28" t="s">
        <v>178</v>
      </c>
      <c r="C114" s="27">
        <v>35</v>
      </c>
      <c r="D114" s="27">
        <v>10</v>
      </c>
      <c r="E114" s="27"/>
      <c r="F114" s="29">
        <v>7142024</v>
      </c>
      <c r="G114" s="27">
        <v>10</v>
      </c>
      <c r="I114" s="5">
        <v>84</v>
      </c>
      <c r="J114" s="248">
        <v>969.3</v>
      </c>
      <c r="K114" s="247">
        <v>994</v>
      </c>
      <c r="L114" s="248">
        <v>1000.1</v>
      </c>
      <c r="M114" s="247">
        <v>1005</v>
      </c>
      <c r="N114" s="248">
        <v>1011.5</v>
      </c>
      <c r="O114" s="247">
        <v>1016.2</v>
      </c>
      <c r="P114" s="247">
        <v>982</v>
      </c>
      <c r="Q114" s="248">
        <v>984.5</v>
      </c>
      <c r="R114" s="247">
        <v>986.6</v>
      </c>
      <c r="S114" s="248">
        <v>988.3</v>
      </c>
      <c r="T114" s="248">
        <v>989.9</v>
      </c>
      <c r="U114" s="5">
        <v>84</v>
      </c>
      <c r="Y114" s="3">
        <f>'NW wg PN-B-02414'!K11</f>
        <v>7</v>
      </c>
      <c r="Z114" s="3">
        <v>1</v>
      </c>
      <c r="AA114" s="3">
        <f>VLOOKUP(Z114,X115:Z127,3,0)</f>
        <v>0</v>
      </c>
      <c r="AB114" s="3">
        <f>'NW wg PN-B-02414'!K9</f>
        <v>30</v>
      </c>
      <c r="AC114" s="3" t="str">
        <f>VLOOKUP(Z114,X115:Z127,2,0)</f>
        <v>woda</v>
      </c>
      <c r="AD114" s="3">
        <f>'NW wg PN-B-02414'!K13</f>
        <v>10</v>
      </c>
    </row>
    <row r="115" spans="1:30">
      <c r="A115" s="27">
        <v>7</v>
      </c>
      <c r="B115" s="28" t="s">
        <v>179</v>
      </c>
      <c r="C115" s="27">
        <v>50</v>
      </c>
      <c r="D115" s="27">
        <v>10</v>
      </c>
      <c r="E115" s="27"/>
      <c r="F115" s="29">
        <v>7142025</v>
      </c>
      <c r="G115" s="27">
        <v>12.2</v>
      </c>
      <c r="I115" s="5">
        <v>85</v>
      </c>
      <c r="J115" s="248">
        <v>968.6</v>
      </c>
      <c r="K115" s="247">
        <v>993.3</v>
      </c>
      <c r="L115" s="248">
        <v>999.4</v>
      </c>
      <c r="M115" s="247">
        <v>1004.3</v>
      </c>
      <c r="N115" s="248">
        <v>1010.8</v>
      </c>
      <c r="O115" s="247">
        <v>1015.5</v>
      </c>
      <c r="P115" s="247">
        <v>981.2</v>
      </c>
      <c r="Q115" s="248">
        <v>983.7</v>
      </c>
      <c r="R115" s="247">
        <v>985.8</v>
      </c>
      <c r="S115" s="248">
        <v>987.5</v>
      </c>
      <c r="T115" s="248">
        <v>989</v>
      </c>
      <c r="U115" s="5">
        <v>85</v>
      </c>
      <c r="X115" s="3">
        <v>1</v>
      </c>
      <c r="Y115" s="3" t="s">
        <v>6</v>
      </c>
      <c r="Z115" s="3">
        <v>0</v>
      </c>
    </row>
    <row r="116" spans="1:30">
      <c r="A116" s="27">
        <v>8</v>
      </c>
      <c r="B116" s="28" t="s">
        <v>180</v>
      </c>
      <c r="C116" s="27">
        <v>80</v>
      </c>
      <c r="D116" s="27">
        <v>10</v>
      </c>
      <c r="E116" s="27"/>
      <c r="F116" s="29">
        <v>7142026</v>
      </c>
      <c r="G116" s="27">
        <v>16.399999999999999</v>
      </c>
      <c r="I116" s="5">
        <v>86</v>
      </c>
      <c r="J116" s="248">
        <v>968</v>
      </c>
      <c r="K116" s="247">
        <v>992.6</v>
      </c>
      <c r="L116" s="248">
        <v>998.6</v>
      </c>
      <c r="M116" s="247">
        <v>1003.5</v>
      </c>
      <c r="N116" s="248">
        <v>1010.1</v>
      </c>
      <c r="O116" s="247">
        <v>1014.7</v>
      </c>
      <c r="P116" s="247">
        <v>980.5</v>
      </c>
      <c r="Q116" s="248">
        <v>982.9</v>
      </c>
      <c r="R116" s="247">
        <v>985</v>
      </c>
      <c r="S116" s="248">
        <v>986.6</v>
      </c>
      <c r="T116" s="248">
        <v>988.2</v>
      </c>
      <c r="U116" s="5">
        <v>86</v>
      </c>
      <c r="X116" s="3">
        <v>2</v>
      </c>
      <c r="Y116" s="475" t="s">
        <v>1015</v>
      </c>
      <c r="Z116" s="3">
        <v>15</v>
      </c>
    </row>
    <row r="117" spans="1:30">
      <c r="A117" s="27">
        <v>9</v>
      </c>
      <c r="B117" s="28" t="s">
        <v>181</v>
      </c>
      <c r="C117" s="27">
        <v>140</v>
      </c>
      <c r="D117" s="27">
        <v>6</v>
      </c>
      <c r="E117" s="27"/>
      <c r="F117" s="29">
        <v>7141002</v>
      </c>
      <c r="G117" s="27">
        <v>25</v>
      </c>
      <c r="I117" s="5">
        <v>87</v>
      </c>
      <c r="J117" s="248">
        <v>967.3</v>
      </c>
      <c r="K117" s="247">
        <v>991.9</v>
      </c>
      <c r="L117" s="248">
        <v>997.9</v>
      </c>
      <c r="M117" s="247">
        <v>1002.8</v>
      </c>
      <c r="N117" s="248">
        <v>1009.3</v>
      </c>
      <c r="O117" s="247">
        <v>1014</v>
      </c>
      <c r="P117" s="247">
        <v>979.8</v>
      </c>
      <c r="Q117" s="248">
        <v>982.2</v>
      </c>
      <c r="R117" s="247">
        <v>984.2</v>
      </c>
      <c r="S117" s="248">
        <v>985.8</v>
      </c>
      <c r="T117" s="248">
        <v>987.4</v>
      </c>
      <c r="U117" s="5">
        <v>87</v>
      </c>
      <c r="X117" s="3">
        <v>3</v>
      </c>
      <c r="Y117" s="3" t="s">
        <v>672</v>
      </c>
      <c r="Z117" s="3">
        <v>20</v>
      </c>
    </row>
    <row r="118" spans="1:30">
      <c r="A118" s="27">
        <v>10</v>
      </c>
      <c r="B118" s="28" t="s">
        <v>182</v>
      </c>
      <c r="C118" s="27">
        <v>200</v>
      </c>
      <c r="D118" s="27">
        <v>6</v>
      </c>
      <c r="E118" s="27"/>
      <c r="F118" s="29">
        <v>7141003</v>
      </c>
      <c r="G118" s="27">
        <v>30</v>
      </c>
      <c r="I118" s="5">
        <v>88</v>
      </c>
      <c r="J118" s="248">
        <v>966.6</v>
      </c>
      <c r="K118" s="247">
        <v>991.2</v>
      </c>
      <c r="L118" s="248">
        <v>997.2</v>
      </c>
      <c r="M118" s="247">
        <v>1002.1</v>
      </c>
      <c r="N118" s="248">
        <v>1008.6</v>
      </c>
      <c r="O118" s="247">
        <v>1013.2</v>
      </c>
      <c r="P118" s="247">
        <v>979</v>
      </c>
      <c r="Q118" s="248">
        <v>981.4</v>
      </c>
      <c r="R118" s="247">
        <v>983.4</v>
      </c>
      <c r="S118" s="248">
        <v>985</v>
      </c>
      <c r="T118" s="248">
        <v>986.6</v>
      </c>
      <c r="U118" s="5">
        <v>88</v>
      </c>
      <c r="X118" s="3">
        <v>4</v>
      </c>
      <c r="Y118" s="3" t="s">
        <v>671</v>
      </c>
      <c r="Z118" s="3">
        <v>25</v>
      </c>
    </row>
    <row r="119" spans="1:30">
      <c r="A119" s="27">
        <v>11</v>
      </c>
      <c r="B119" s="28" t="s">
        <v>183</v>
      </c>
      <c r="C119" s="27">
        <v>300</v>
      </c>
      <c r="D119" s="27">
        <v>6</v>
      </c>
      <c r="E119" s="27"/>
      <c r="F119" s="29">
        <v>7141004</v>
      </c>
      <c r="G119" s="27">
        <v>35</v>
      </c>
      <c r="I119" s="5">
        <v>89</v>
      </c>
      <c r="J119" s="248">
        <v>966</v>
      </c>
      <c r="K119" s="247">
        <v>990.5</v>
      </c>
      <c r="L119" s="248">
        <v>996.5</v>
      </c>
      <c r="M119" s="247">
        <v>1001.3</v>
      </c>
      <c r="N119" s="248">
        <v>1007.9</v>
      </c>
      <c r="O119" s="247">
        <v>1012.5</v>
      </c>
      <c r="P119" s="247">
        <v>978.3</v>
      </c>
      <c r="Q119" s="248">
        <v>980.7</v>
      </c>
      <c r="R119" s="247">
        <v>982.6</v>
      </c>
      <c r="S119" s="248">
        <v>984.2</v>
      </c>
      <c r="T119" s="248">
        <v>985.8</v>
      </c>
      <c r="U119" s="5">
        <v>89</v>
      </c>
      <c r="X119" s="3">
        <v>5</v>
      </c>
      <c r="Y119" s="3" t="s">
        <v>670</v>
      </c>
      <c r="Z119" s="3">
        <v>30</v>
      </c>
      <c r="AB119" s="9"/>
    </row>
    <row r="120" spans="1:30">
      <c r="A120" s="27">
        <v>12</v>
      </c>
      <c r="B120" s="28" t="s">
        <v>184</v>
      </c>
      <c r="C120" s="27">
        <v>400</v>
      </c>
      <c r="D120" s="27">
        <v>6</v>
      </c>
      <c r="E120" s="27"/>
      <c r="F120" s="29">
        <v>7141005</v>
      </c>
      <c r="G120" s="27">
        <v>55</v>
      </c>
      <c r="I120" s="5">
        <v>90</v>
      </c>
      <c r="J120" s="248">
        <v>965.3</v>
      </c>
      <c r="K120" s="247">
        <v>989.8</v>
      </c>
      <c r="L120" s="248">
        <v>995.7</v>
      </c>
      <c r="M120" s="247">
        <v>1000.6</v>
      </c>
      <c r="N120" s="248">
        <v>1007.1</v>
      </c>
      <c r="O120" s="247">
        <v>1011.7</v>
      </c>
      <c r="P120" s="247">
        <v>977.5</v>
      </c>
      <c r="Q120" s="248">
        <v>979.9</v>
      </c>
      <c r="R120" s="247">
        <v>981.8</v>
      </c>
      <c r="S120" s="248">
        <v>983.4</v>
      </c>
      <c r="T120" s="248">
        <v>985</v>
      </c>
      <c r="U120" s="5">
        <v>90</v>
      </c>
      <c r="X120" s="3">
        <v>6</v>
      </c>
      <c r="Y120" s="3" t="s">
        <v>669</v>
      </c>
      <c r="Z120" s="3">
        <v>35</v>
      </c>
      <c r="AB120" s="9"/>
      <c r="AC120" s="15"/>
    </row>
    <row r="121" spans="1:30">
      <c r="A121" s="27">
        <v>13</v>
      </c>
      <c r="B121" s="28" t="s">
        <v>185</v>
      </c>
      <c r="C121" s="27">
        <v>500</v>
      </c>
      <c r="D121" s="27">
        <v>6</v>
      </c>
      <c r="E121" s="27"/>
      <c r="F121" s="29">
        <v>7141006</v>
      </c>
      <c r="G121" s="27">
        <v>61</v>
      </c>
      <c r="I121" s="5">
        <v>91</v>
      </c>
      <c r="J121" s="248">
        <v>964.6</v>
      </c>
      <c r="K121" s="247">
        <v>989</v>
      </c>
      <c r="L121" s="248">
        <v>995</v>
      </c>
      <c r="M121" s="247">
        <v>999.8</v>
      </c>
      <c r="N121" s="248">
        <v>1006.4</v>
      </c>
      <c r="O121" s="247">
        <v>1011</v>
      </c>
      <c r="P121" s="247">
        <v>976.8</v>
      </c>
      <c r="Q121" s="248">
        <v>979.1</v>
      </c>
      <c r="R121" s="247">
        <v>981</v>
      </c>
      <c r="S121" s="248">
        <v>982.6</v>
      </c>
      <c r="T121" s="248">
        <v>984.1</v>
      </c>
      <c r="U121" s="5">
        <v>91</v>
      </c>
      <c r="X121" s="3">
        <v>7</v>
      </c>
      <c r="Y121" s="3" t="s">
        <v>668</v>
      </c>
      <c r="Z121" s="3">
        <v>40</v>
      </c>
      <c r="AB121" s="1"/>
      <c r="AC121" s="15"/>
    </row>
    <row r="122" spans="1:30">
      <c r="A122" s="27">
        <v>14</v>
      </c>
      <c r="B122" s="28" t="s">
        <v>186</v>
      </c>
      <c r="C122" s="27">
        <v>600</v>
      </c>
      <c r="D122" s="27">
        <v>6</v>
      </c>
      <c r="E122" s="27"/>
      <c r="F122" s="29">
        <v>7141007</v>
      </c>
      <c r="G122" s="27">
        <v>67</v>
      </c>
      <c r="I122" s="5">
        <v>92</v>
      </c>
      <c r="J122" s="248">
        <v>964</v>
      </c>
      <c r="K122" s="247">
        <v>988.3</v>
      </c>
      <c r="L122" s="248">
        <v>994.2</v>
      </c>
      <c r="M122" s="247">
        <v>999.1</v>
      </c>
      <c r="N122" s="248">
        <v>1005.6</v>
      </c>
      <c r="O122" s="247">
        <v>1010.2</v>
      </c>
      <c r="P122" s="247">
        <v>976</v>
      </c>
      <c r="Q122" s="248">
        <v>978.3</v>
      </c>
      <c r="R122" s="247">
        <v>980.2</v>
      </c>
      <c r="S122" s="248">
        <v>981.8</v>
      </c>
      <c r="T122" s="248">
        <v>983.3</v>
      </c>
      <c r="U122" s="5">
        <v>92</v>
      </c>
      <c r="X122" s="3">
        <v>8</v>
      </c>
      <c r="Y122" s="475" t="s">
        <v>1016</v>
      </c>
      <c r="Z122" s="3">
        <v>15</v>
      </c>
      <c r="AB122" s="9"/>
      <c r="AC122" s="31"/>
    </row>
    <row r="123" spans="1:30" ht="15.6">
      <c r="A123" s="27">
        <v>15</v>
      </c>
      <c r="B123" s="28" t="s">
        <v>187</v>
      </c>
      <c r="C123" s="27">
        <v>200</v>
      </c>
      <c r="D123" s="27">
        <v>10</v>
      </c>
      <c r="E123" s="27"/>
      <c r="F123" s="27">
        <v>7142003</v>
      </c>
      <c r="G123" s="27">
        <v>50</v>
      </c>
      <c r="I123" s="5">
        <v>93</v>
      </c>
      <c r="J123" s="248">
        <v>963.3</v>
      </c>
      <c r="K123" s="247">
        <v>987.5</v>
      </c>
      <c r="L123" s="248">
        <v>993.5</v>
      </c>
      <c r="M123" s="247">
        <v>998.3</v>
      </c>
      <c r="N123" s="248">
        <v>1004.8</v>
      </c>
      <c r="O123" s="247">
        <v>1009.4</v>
      </c>
      <c r="P123" s="247">
        <v>975.2</v>
      </c>
      <c r="Q123" s="248">
        <v>977.5</v>
      </c>
      <c r="R123" s="247">
        <v>979.4</v>
      </c>
      <c r="S123" s="248">
        <v>980.9</v>
      </c>
      <c r="T123" s="248">
        <v>982.4</v>
      </c>
      <c r="U123" s="5">
        <v>93</v>
      </c>
      <c r="X123" s="3">
        <v>9</v>
      </c>
      <c r="Y123" s="3" t="s">
        <v>673</v>
      </c>
      <c r="Z123" s="3">
        <v>20</v>
      </c>
      <c r="AB123" s="249" t="s">
        <v>698</v>
      </c>
      <c r="AC123" s="3">
        <f>INDEX(J4:T130,MATCH(AB114,I4:I130,0),MATCH(Z114,J3:T3,0))</f>
        <v>995.7</v>
      </c>
    </row>
    <row r="124" spans="1:30" ht="15.6">
      <c r="A124" s="27">
        <v>16</v>
      </c>
      <c r="B124" s="28" t="s">
        <v>188</v>
      </c>
      <c r="C124" s="27">
        <v>300</v>
      </c>
      <c r="D124" s="27">
        <v>10</v>
      </c>
      <c r="E124" s="27"/>
      <c r="F124" s="27">
        <v>7142004</v>
      </c>
      <c r="G124" s="27">
        <v>55</v>
      </c>
      <c r="I124" s="5">
        <v>94</v>
      </c>
      <c r="J124" s="248">
        <v>962.6</v>
      </c>
      <c r="K124" s="247">
        <v>986.8</v>
      </c>
      <c r="L124" s="248">
        <v>992.7</v>
      </c>
      <c r="M124" s="247">
        <v>997.6</v>
      </c>
      <c r="N124" s="248">
        <v>1004</v>
      </c>
      <c r="O124" s="247">
        <v>1008.6</v>
      </c>
      <c r="P124" s="247">
        <v>974.4</v>
      </c>
      <c r="Q124" s="248">
        <v>976.7</v>
      </c>
      <c r="R124" s="247">
        <v>978.6</v>
      </c>
      <c r="S124" s="248">
        <v>980.1</v>
      </c>
      <c r="T124" s="248">
        <v>981.6</v>
      </c>
      <c r="U124" s="5">
        <v>94</v>
      </c>
      <c r="X124" s="3">
        <v>10</v>
      </c>
      <c r="Y124" s="3" t="s">
        <v>674</v>
      </c>
      <c r="Z124" s="3">
        <v>25</v>
      </c>
      <c r="AB124" s="249" t="s">
        <v>699</v>
      </c>
      <c r="AC124" s="3">
        <f>INDEX(J4:T130,MATCH(Y114,I4:I130,0),MATCH(Z114,J3:T3,0))</f>
        <v>999.9</v>
      </c>
    </row>
    <row r="125" spans="1:30" ht="15.6">
      <c r="A125" s="27">
        <v>17</v>
      </c>
      <c r="B125" s="28" t="s">
        <v>189</v>
      </c>
      <c r="C125" s="27">
        <v>500</v>
      </c>
      <c r="D125" s="27">
        <v>10</v>
      </c>
      <c r="E125" s="27"/>
      <c r="F125" s="27">
        <v>7142006</v>
      </c>
      <c r="G125" s="27">
        <v>83</v>
      </c>
      <c r="I125" s="5">
        <v>95</v>
      </c>
      <c r="J125" s="248">
        <v>961.9</v>
      </c>
      <c r="K125" s="247">
        <v>986</v>
      </c>
      <c r="L125" s="248">
        <v>992</v>
      </c>
      <c r="M125" s="247">
        <v>996.8</v>
      </c>
      <c r="N125" s="248">
        <v>1003.3</v>
      </c>
      <c r="O125" s="247">
        <v>1007.8</v>
      </c>
      <c r="P125" s="247">
        <v>973.6</v>
      </c>
      <c r="Q125" s="248">
        <v>975.9</v>
      </c>
      <c r="R125" s="247">
        <v>977.8</v>
      </c>
      <c r="S125" s="248">
        <v>979.3</v>
      </c>
      <c r="T125" s="248">
        <v>980.7</v>
      </c>
      <c r="U125" s="5">
        <v>95</v>
      </c>
      <c r="X125" s="3">
        <v>11</v>
      </c>
      <c r="Y125" s="3" t="s">
        <v>675</v>
      </c>
      <c r="Z125" s="3">
        <v>30</v>
      </c>
      <c r="AB125" s="3" t="s">
        <v>644</v>
      </c>
      <c r="AC125" s="3">
        <f>(1/AC123)*1000</f>
        <v>1.0043185698503565</v>
      </c>
    </row>
    <row r="126" spans="1:30" ht="15.6">
      <c r="A126" s="27">
        <v>18</v>
      </c>
      <c r="B126" s="28" t="s">
        <v>168</v>
      </c>
      <c r="C126" s="27">
        <v>700</v>
      </c>
      <c r="D126" s="27">
        <v>6</v>
      </c>
      <c r="E126" s="27"/>
      <c r="F126" s="27">
        <v>7141008</v>
      </c>
      <c r="G126" s="27">
        <v>200</v>
      </c>
      <c r="I126" s="5">
        <v>96</v>
      </c>
      <c r="J126" s="248">
        <v>961.2</v>
      </c>
      <c r="K126" s="247">
        <v>985.3</v>
      </c>
      <c r="L126" s="248">
        <v>991.2</v>
      </c>
      <c r="M126" s="247">
        <v>996</v>
      </c>
      <c r="N126" s="248">
        <v>1002.5</v>
      </c>
      <c r="O126" s="247">
        <v>1007.1</v>
      </c>
      <c r="P126" s="247">
        <v>972.8</v>
      </c>
      <c r="Q126" s="248">
        <v>975.1</v>
      </c>
      <c r="R126" s="247">
        <v>976.9</v>
      </c>
      <c r="S126" s="248">
        <v>978.4</v>
      </c>
      <c r="T126" s="248">
        <v>979.8</v>
      </c>
      <c r="U126" s="5">
        <v>96</v>
      </c>
      <c r="X126" s="3">
        <v>12</v>
      </c>
      <c r="Y126" s="3" t="s">
        <v>676</v>
      </c>
      <c r="Z126" s="3">
        <v>35</v>
      </c>
      <c r="AB126" s="3" t="s">
        <v>645</v>
      </c>
      <c r="AC126" s="3">
        <f>(1/AC124)*1000</f>
        <v>1.000100010001</v>
      </c>
    </row>
    <row r="127" spans="1:30">
      <c r="A127" s="27">
        <v>19</v>
      </c>
      <c r="B127" s="28" t="s">
        <v>190</v>
      </c>
      <c r="C127" s="27">
        <v>1000</v>
      </c>
      <c r="D127" s="27">
        <v>6</v>
      </c>
      <c r="E127" s="27"/>
      <c r="F127" s="27">
        <v>7141009</v>
      </c>
      <c r="G127" s="27">
        <v>280</v>
      </c>
      <c r="I127" s="5">
        <v>97</v>
      </c>
      <c r="J127" s="248">
        <v>960.5</v>
      </c>
      <c r="K127" s="247">
        <v>984.5</v>
      </c>
      <c r="L127" s="248">
        <v>990.5</v>
      </c>
      <c r="M127" s="247">
        <v>995.3</v>
      </c>
      <c r="N127" s="248">
        <v>1001.7</v>
      </c>
      <c r="O127" s="247">
        <v>1006.3</v>
      </c>
      <c r="P127" s="247">
        <v>972.1</v>
      </c>
      <c r="Q127" s="248">
        <v>974.3</v>
      </c>
      <c r="R127" s="247">
        <v>976.1</v>
      </c>
      <c r="S127" s="248">
        <v>977.6</v>
      </c>
      <c r="T127" s="248">
        <v>979</v>
      </c>
      <c r="U127" s="5">
        <v>97</v>
      </c>
      <c r="X127" s="3">
        <v>13</v>
      </c>
      <c r="Y127" s="3" t="s">
        <v>677</v>
      </c>
      <c r="Z127" s="3">
        <v>40</v>
      </c>
      <c r="AB127" s="250" t="s">
        <v>646</v>
      </c>
      <c r="AC127" s="251">
        <f>ABS(AC125-AC126)</f>
        <v>4.2185598493564846E-3</v>
      </c>
    </row>
    <row r="128" spans="1:30">
      <c r="A128" s="27">
        <v>20</v>
      </c>
      <c r="B128" s="28" t="s">
        <v>191</v>
      </c>
      <c r="C128" s="27">
        <v>1500</v>
      </c>
      <c r="D128" s="27">
        <v>6</v>
      </c>
      <c r="E128" s="27"/>
      <c r="F128" s="27">
        <v>7141010</v>
      </c>
      <c r="G128" s="27">
        <v>385</v>
      </c>
      <c r="I128" s="5">
        <v>98</v>
      </c>
      <c r="J128" s="248">
        <v>959.8</v>
      </c>
      <c r="K128" s="247">
        <v>983.8</v>
      </c>
      <c r="L128" s="248">
        <v>989.7</v>
      </c>
      <c r="M128" s="247">
        <v>994.5</v>
      </c>
      <c r="N128" s="248">
        <v>1000.9</v>
      </c>
      <c r="O128" s="247">
        <v>1005.5</v>
      </c>
      <c r="P128" s="247">
        <v>971.3</v>
      </c>
      <c r="Q128" s="248">
        <v>973.5</v>
      </c>
      <c r="R128" s="247">
        <v>975.3</v>
      </c>
      <c r="S128" s="248">
        <v>976.8</v>
      </c>
      <c r="T128" s="248">
        <v>978.1</v>
      </c>
      <c r="U128" s="5">
        <v>98</v>
      </c>
    </row>
    <row r="129" spans="1:21">
      <c r="A129" s="27">
        <v>21</v>
      </c>
      <c r="B129" s="28" t="s">
        <v>192</v>
      </c>
      <c r="C129" s="27">
        <v>2000</v>
      </c>
      <c r="D129" s="27">
        <v>6</v>
      </c>
      <c r="E129" s="27"/>
      <c r="F129" s="27">
        <v>7141015</v>
      </c>
      <c r="G129" s="27">
        <v>655</v>
      </c>
      <c r="I129" s="5">
        <v>99</v>
      </c>
      <c r="J129" s="248">
        <v>959.1</v>
      </c>
      <c r="K129" s="247">
        <v>983</v>
      </c>
      <c r="L129" s="248">
        <v>988.9</v>
      </c>
      <c r="M129" s="247">
        <v>993.7</v>
      </c>
      <c r="N129" s="248">
        <v>1000.2</v>
      </c>
      <c r="O129" s="247">
        <v>1004.7</v>
      </c>
      <c r="P129" s="247">
        <v>970.5</v>
      </c>
      <c r="Q129" s="248">
        <v>972.7</v>
      </c>
      <c r="R129" s="247">
        <v>974.5</v>
      </c>
      <c r="S129" s="248">
        <v>975.9</v>
      </c>
      <c r="T129" s="248">
        <v>977.3</v>
      </c>
      <c r="U129" s="5">
        <v>99</v>
      </c>
    </row>
    <row r="130" spans="1:21">
      <c r="A130" s="27">
        <v>22</v>
      </c>
      <c r="B130" s="28" t="s">
        <v>193</v>
      </c>
      <c r="C130" s="27">
        <v>3000</v>
      </c>
      <c r="D130" s="27">
        <v>6</v>
      </c>
      <c r="E130" s="27"/>
      <c r="F130" s="27">
        <v>7141012</v>
      </c>
      <c r="G130" s="27">
        <v>810</v>
      </c>
      <c r="I130" s="5">
        <v>100</v>
      </c>
      <c r="J130" s="248">
        <v>958.3</v>
      </c>
      <c r="K130" s="247">
        <v>982.3</v>
      </c>
      <c r="L130" s="248">
        <v>988.2</v>
      </c>
      <c r="M130" s="247">
        <v>993</v>
      </c>
      <c r="N130" s="248">
        <v>999.4</v>
      </c>
      <c r="O130" s="247">
        <v>1003.9</v>
      </c>
      <c r="P130" s="247">
        <v>969.7</v>
      </c>
      <c r="Q130" s="248">
        <v>971.9</v>
      </c>
      <c r="R130" s="247">
        <v>973.7</v>
      </c>
      <c r="S130" s="248">
        <v>975.1</v>
      </c>
      <c r="T130" s="248">
        <v>976.4</v>
      </c>
      <c r="U130" s="5">
        <v>100</v>
      </c>
    </row>
    <row r="131" spans="1:21">
      <c r="A131" s="27">
        <v>23</v>
      </c>
      <c r="B131" s="28" t="s">
        <v>194</v>
      </c>
      <c r="C131" s="27">
        <v>4000</v>
      </c>
      <c r="D131" s="27">
        <v>6</v>
      </c>
      <c r="E131" s="27"/>
      <c r="F131" s="27">
        <v>7141013</v>
      </c>
      <c r="G131" s="27">
        <v>920</v>
      </c>
      <c r="I131" s="5"/>
      <c r="J131" s="11"/>
      <c r="K131" s="14"/>
      <c r="L131" s="11"/>
      <c r="M131" s="14"/>
      <c r="N131" s="11"/>
      <c r="O131" s="14"/>
      <c r="P131" s="11"/>
      <c r="Q131" s="14"/>
      <c r="R131" s="11"/>
      <c r="S131" s="14"/>
      <c r="T131" s="11"/>
      <c r="U131" s="8"/>
    </row>
    <row r="132" spans="1:21">
      <c r="A132" s="27">
        <v>24</v>
      </c>
      <c r="B132" s="28" t="s">
        <v>195</v>
      </c>
      <c r="C132" s="27">
        <v>5000</v>
      </c>
      <c r="D132" s="27">
        <v>6</v>
      </c>
      <c r="E132" s="27"/>
      <c r="F132" s="27">
        <v>7141014</v>
      </c>
      <c r="G132" s="27">
        <v>1015</v>
      </c>
      <c r="I132" s="5"/>
      <c r="J132" s="11"/>
      <c r="K132" s="14"/>
      <c r="L132" s="11"/>
      <c r="M132" s="14"/>
      <c r="N132" s="11"/>
      <c r="O132" s="14"/>
      <c r="P132" s="11"/>
      <c r="Q132" s="14"/>
      <c r="R132" s="11"/>
      <c r="S132" s="14"/>
      <c r="T132" s="11"/>
      <c r="U132" s="8"/>
    </row>
    <row r="133" spans="1:21">
      <c r="A133" s="27">
        <v>25</v>
      </c>
      <c r="B133" s="28" t="s">
        <v>169</v>
      </c>
      <c r="C133" s="27">
        <v>300</v>
      </c>
      <c r="D133" s="27">
        <v>10</v>
      </c>
      <c r="E133" s="27"/>
      <c r="F133" s="27">
        <v>7142008</v>
      </c>
      <c r="G133" s="27">
        <v>170</v>
      </c>
      <c r="I133" s="5"/>
      <c r="J133" s="11"/>
      <c r="K133" s="14"/>
      <c r="L133" s="11"/>
      <c r="M133" s="14"/>
      <c r="N133" s="11"/>
      <c r="O133" s="14"/>
      <c r="P133" s="11"/>
      <c r="Q133" s="14"/>
      <c r="R133" s="11"/>
      <c r="S133" s="14"/>
      <c r="T133" s="11"/>
      <c r="U133" s="8"/>
    </row>
    <row r="134" spans="1:21">
      <c r="A134" s="27">
        <v>26</v>
      </c>
      <c r="B134" s="28" t="s">
        <v>170</v>
      </c>
      <c r="C134" s="27">
        <v>500</v>
      </c>
      <c r="D134" s="27">
        <v>10</v>
      </c>
      <c r="E134" s="27"/>
      <c r="F134" s="27">
        <v>7142009</v>
      </c>
      <c r="G134" s="27">
        <v>225</v>
      </c>
      <c r="I134" s="5"/>
      <c r="J134" s="11"/>
      <c r="K134" s="14"/>
      <c r="L134" s="11"/>
      <c r="M134" s="14"/>
      <c r="N134" s="11"/>
      <c r="O134" s="14"/>
      <c r="P134" s="11"/>
      <c r="Q134" s="14"/>
      <c r="R134" s="11"/>
      <c r="S134" s="14"/>
      <c r="T134" s="11"/>
      <c r="U134" s="8"/>
    </row>
    <row r="135" spans="1:21">
      <c r="A135" s="27">
        <v>27</v>
      </c>
      <c r="B135" s="28" t="s">
        <v>167</v>
      </c>
      <c r="C135" s="27">
        <v>700</v>
      </c>
      <c r="D135" s="27">
        <v>10</v>
      </c>
      <c r="E135" s="27"/>
      <c r="F135" s="27">
        <v>7142010</v>
      </c>
      <c r="G135" s="27">
        <v>240</v>
      </c>
      <c r="I135" s="5"/>
      <c r="J135" s="11"/>
      <c r="K135" s="14"/>
      <c r="L135" s="11"/>
      <c r="M135" s="14"/>
      <c r="N135" s="11"/>
      <c r="O135" s="14"/>
      <c r="P135" s="11"/>
      <c r="Q135" s="14"/>
      <c r="R135" s="11"/>
      <c r="S135" s="14"/>
      <c r="T135" s="11"/>
      <c r="U135" s="8"/>
    </row>
    <row r="136" spans="1:21">
      <c r="A136" s="27">
        <v>28</v>
      </c>
      <c r="B136" s="28" t="s">
        <v>202</v>
      </c>
      <c r="C136" s="27">
        <v>1000</v>
      </c>
      <c r="D136" s="27">
        <v>16</v>
      </c>
      <c r="E136" s="27"/>
      <c r="F136" s="27">
        <v>7142011</v>
      </c>
      <c r="G136" s="27">
        <v>330</v>
      </c>
      <c r="I136" s="5"/>
      <c r="J136" s="11"/>
      <c r="K136" s="14"/>
      <c r="L136" s="11"/>
      <c r="M136" s="14"/>
      <c r="N136" s="11"/>
      <c r="O136" s="14"/>
      <c r="P136" s="11"/>
      <c r="Q136" s="14"/>
      <c r="R136" s="11"/>
      <c r="S136" s="14"/>
      <c r="T136" s="11"/>
      <c r="U136" s="8"/>
    </row>
    <row r="137" spans="1:21">
      <c r="A137" s="27">
        <v>29</v>
      </c>
      <c r="B137" s="28" t="s">
        <v>203</v>
      </c>
      <c r="C137" s="27">
        <v>1500</v>
      </c>
      <c r="D137" s="27">
        <v>16</v>
      </c>
      <c r="E137" s="27"/>
      <c r="F137" s="27">
        <v>7142012</v>
      </c>
      <c r="G137" s="27">
        <v>445</v>
      </c>
      <c r="I137" s="5"/>
      <c r="J137" s="11"/>
      <c r="K137" s="14"/>
      <c r="L137" s="11"/>
      <c r="M137" s="14"/>
      <c r="N137" s="11"/>
      <c r="O137" s="14"/>
      <c r="P137" s="11"/>
      <c r="Q137" s="14"/>
      <c r="R137" s="11"/>
      <c r="S137" s="14"/>
      <c r="T137" s="11"/>
      <c r="U137" s="8"/>
    </row>
    <row r="138" spans="1:21">
      <c r="A138" s="27">
        <v>30</v>
      </c>
      <c r="B138" s="28" t="s">
        <v>204</v>
      </c>
      <c r="C138" s="27">
        <v>2000</v>
      </c>
      <c r="D138" s="27">
        <v>16</v>
      </c>
      <c r="E138" s="27"/>
      <c r="F138" s="27">
        <v>7142017</v>
      </c>
      <c r="G138" s="27">
        <v>735</v>
      </c>
      <c r="I138" s="5"/>
      <c r="J138" s="11"/>
      <c r="K138" s="14"/>
      <c r="L138" s="11"/>
      <c r="M138" s="14"/>
      <c r="N138" s="11"/>
      <c r="O138" s="14"/>
      <c r="P138" s="11"/>
      <c r="Q138" s="14"/>
      <c r="R138" s="11"/>
      <c r="S138" s="14"/>
      <c r="T138" s="11"/>
      <c r="U138" s="8"/>
    </row>
    <row r="139" spans="1:21">
      <c r="A139" s="27">
        <v>31</v>
      </c>
      <c r="B139" s="28" t="s">
        <v>205</v>
      </c>
      <c r="C139" s="27">
        <v>3000</v>
      </c>
      <c r="D139" s="27">
        <v>16</v>
      </c>
      <c r="E139" s="27"/>
      <c r="F139" s="27">
        <v>7142014</v>
      </c>
      <c r="G139" s="27">
        <v>890</v>
      </c>
      <c r="I139" s="5"/>
      <c r="J139" s="11"/>
      <c r="K139" s="14"/>
      <c r="L139" s="11"/>
      <c r="M139" s="14"/>
      <c r="N139" s="11"/>
      <c r="O139" s="14"/>
      <c r="P139" s="11"/>
      <c r="Q139" s="14"/>
      <c r="R139" s="11"/>
      <c r="S139" s="14"/>
      <c r="T139" s="11"/>
      <c r="U139" s="8"/>
    </row>
    <row r="140" spans="1:21">
      <c r="A140" s="27">
        <v>32</v>
      </c>
      <c r="B140" s="28" t="s">
        <v>206</v>
      </c>
      <c r="C140" s="27">
        <v>4000</v>
      </c>
      <c r="D140" s="27">
        <v>16</v>
      </c>
      <c r="E140" s="27"/>
      <c r="F140" s="27">
        <v>7142015</v>
      </c>
      <c r="G140" s="27">
        <v>1030</v>
      </c>
      <c r="I140" s="5"/>
      <c r="J140" s="11"/>
      <c r="K140" s="14"/>
      <c r="L140" s="11"/>
      <c r="M140" s="14"/>
      <c r="N140" s="11"/>
      <c r="O140" s="14"/>
      <c r="P140" s="11"/>
      <c r="Q140" s="14"/>
      <c r="R140" s="11"/>
      <c r="S140" s="14"/>
      <c r="T140" s="11"/>
      <c r="U140" s="8"/>
    </row>
    <row r="141" spans="1:21">
      <c r="A141" s="27">
        <v>33</v>
      </c>
      <c r="B141" s="28" t="s">
        <v>207</v>
      </c>
      <c r="C141" s="27">
        <v>5000</v>
      </c>
      <c r="D141" s="27">
        <v>16</v>
      </c>
      <c r="E141" s="27"/>
      <c r="F141" s="27">
        <v>7142016</v>
      </c>
      <c r="G141" s="27">
        <v>1145</v>
      </c>
      <c r="I141" s="5"/>
      <c r="J141" s="11"/>
      <c r="K141" s="14"/>
      <c r="L141" s="11"/>
      <c r="M141" s="14"/>
      <c r="N141" s="11"/>
      <c r="O141" s="14"/>
      <c r="P141" s="11"/>
      <c r="Q141" s="14"/>
      <c r="R141" s="11"/>
      <c r="S141" s="14"/>
      <c r="T141" s="11"/>
      <c r="U141" s="8"/>
    </row>
    <row r="142" spans="1:21">
      <c r="A142" s="27">
        <v>34</v>
      </c>
      <c r="B142" s="28" t="s">
        <v>171</v>
      </c>
      <c r="C142" s="27">
        <v>300</v>
      </c>
      <c r="D142" s="27">
        <v>16</v>
      </c>
      <c r="E142" s="27"/>
      <c r="F142" s="27">
        <v>7143000</v>
      </c>
      <c r="G142" s="27">
        <v>190</v>
      </c>
      <c r="I142" s="5"/>
      <c r="J142" s="11"/>
      <c r="K142" s="14"/>
      <c r="L142" s="11"/>
      <c r="M142" s="14"/>
      <c r="N142" s="11"/>
      <c r="O142" s="14"/>
      <c r="P142" s="11"/>
      <c r="Q142" s="14"/>
      <c r="R142" s="11"/>
      <c r="S142" s="14"/>
      <c r="T142" s="11"/>
      <c r="U142" s="8"/>
    </row>
    <row r="143" spans="1:21">
      <c r="A143" s="27">
        <v>35</v>
      </c>
      <c r="B143" s="28" t="s">
        <v>172</v>
      </c>
      <c r="C143" s="27">
        <v>500</v>
      </c>
      <c r="D143" s="27">
        <v>16</v>
      </c>
      <c r="E143" s="27"/>
      <c r="F143" s="27">
        <v>7143001</v>
      </c>
      <c r="G143" s="27">
        <v>255</v>
      </c>
      <c r="I143" s="5"/>
      <c r="J143" s="11"/>
      <c r="K143" s="14"/>
      <c r="L143" s="11"/>
      <c r="M143" s="14"/>
      <c r="N143" s="11"/>
      <c r="O143" s="14"/>
      <c r="P143" s="11"/>
      <c r="Q143" s="14"/>
      <c r="R143" s="11"/>
      <c r="S143" s="14"/>
      <c r="T143" s="11"/>
      <c r="U143" s="8"/>
    </row>
    <row r="144" spans="1:21">
      <c r="A144" s="27">
        <v>36</v>
      </c>
      <c r="B144" s="28" t="s">
        <v>173</v>
      </c>
      <c r="C144" s="27">
        <v>700</v>
      </c>
      <c r="D144" s="27">
        <v>16</v>
      </c>
      <c r="E144" s="27"/>
      <c r="F144" s="27">
        <v>7143002</v>
      </c>
      <c r="G144" s="27">
        <v>280</v>
      </c>
      <c r="I144" s="5"/>
      <c r="J144" s="11"/>
      <c r="K144" s="14"/>
      <c r="L144" s="11"/>
      <c r="M144" s="14"/>
      <c r="N144" s="11"/>
      <c r="O144" s="14"/>
      <c r="P144" s="11"/>
      <c r="Q144" s="14"/>
      <c r="R144" s="11"/>
      <c r="S144" s="14"/>
      <c r="T144" s="11"/>
      <c r="U144" s="8"/>
    </row>
    <row r="145" spans="1:21">
      <c r="A145" s="27">
        <v>37</v>
      </c>
      <c r="B145" s="28" t="s">
        <v>196</v>
      </c>
      <c r="C145" s="27">
        <v>1000</v>
      </c>
      <c r="D145" s="27">
        <v>16</v>
      </c>
      <c r="E145" s="27"/>
      <c r="F145" s="27">
        <v>7143003</v>
      </c>
      <c r="G145" s="27">
        <v>385</v>
      </c>
      <c r="I145" s="5"/>
      <c r="J145" s="11"/>
      <c r="K145" s="14"/>
      <c r="L145" s="11"/>
      <c r="M145" s="14"/>
      <c r="N145" s="11"/>
      <c r="O145" s="14"/>
      <c r="P145" s="11"/>
      <c r="Q145" s="14"/>
      <c r="R145" s="11"/>
      <c r="S145" s="14"/>
      <c r="T145" s="11"/>
      <c r="U145" s="8"/>
    </row>
    <row r="146" spans="1:21">
      <c r="A146" s="27">
        <v>38</v>
      </c>
      <c r="B146" s="28" t="s">
        <v>197</v>
      </c>
      <c r="C146" s="27">
        <v>1500</v>
      </c>
      <c r="D146" s="27">
        <v>16</v>
      </c>
      <c r="E146" s="27"/>
      <c r="F146" s="27">
        <v>7143004</v>
      </c>
      <c r="G146" s="27">
        <v>510</v>
      </c>
      <c r="I146" s="5"/>
      <c r="J146" s="11"/>
      <c r="K146" s="14"/>
      <c r="L146" s="11"/>
      <c r="M146" s="14"/>
      <c r="N146" s="11"/>
      <c r="O146" s="14"/>
      <c r="P146" s="11"/>
      <c r="Q146" s="14"/>
      <c r="R146" s="11"/>
      <c r="S146" s="14"/>
      <c r="T146" s="11"/>
      <c r="U146" s="8"/>
    </row>
    <row r="147" spans="1:21">
      <c r="A147" s="27">
        <v>39</v>
      </c>
      <c r="B147" s="28" t="s">
        <v>198</v>
      </c>
      <c r="C147" s="27">
        <v>2000</v>
      </c>
      <c r="D147" s="27">
        <v>16</v>
      </c>
      <c r="E147" s="27"/>
      <c r="F147" s="27">
        <v>7143012</v>
      </c>
      <c r="G147" s="27">
        <v>820</v>
      </c>
      <c r="I147" s="5"/>
      <c r="J147" s="11"/>
      <c r="K147" s="14"/>
      <c r="L147" s="11"/>
      <c r="M147" s="14"/>
      <c r="N147" s="11"/>
      <c r="O147" s="14"/>
      <c r="P147" s="11"/>
      <c r="Q147" s="14"/>
      <c r="R147" s="11"/>
      <c r="S147" s="14"/>
      <c r="T147" s="11"/>
      <c r="U147" s="8"/>
    </row>
    <row r="148" spans="1:21">
      <c r="A148" s="27">
        <v>40</v>
      </c>
      <c r="B148" s="28" t="s">
        <v>199</v>
      </c>
      <c r="C148" s="27">
        <v>3000</v>
      </c>
      <c r="D148" s="27">
        <v>16</v>
      </c>
      <c r="E148" s="27"/>
      <c r="F148" s="27">
        <v>7143006</v>
      </c>
      <c r="G148" s="27">
        <v>995</v>
      </c>
      <c r="I148" s="5"/>
      <c r="J148" s="11"/>
      <c r="K148" s="14"/>
      <c r="L148" s="11"/>
      <c r="M148" s="14"/>
      <c r="N148" s="11"/>
      <c r="O148" s="14"/>
      <c r="P148" s="11"/>
      <c r="Q148" s="14"/>
      <c r="R148" s="11"/>
      <c r="S148" s="14"/>
      <c r="T148" s="11"/>
      <c r="U148" s="8"/>
    </row>
    <row r="149" spans="1:21">
      <c r="A149" s="27">
        <v>41</v>
      </c>
      <c r="B149" s="28" t="s">
        <v>200</v>
      </c>
      <c r="C149" s="27">
        <v>4000</v>
      </c>
      <c r="D149" s="27">
        <v>16</v>
      </c>
      <c r="E149" s="27"/>
      <c r="F149" s="27">
        <v>7143007</v>
      </c>
      <c r="G149" s="27">
        <v>1145</v>
      </c>
      <c r="I149" s="5"/>
      <c r="J149" s="11"/>
      <c r="K149" s="14"/>
      <c r="L149" s="11"/>
      <c r="M149" s="14"/>
      <c r="N149" s="11"/>
      <c r="O149" s="14"/>
      <c r="P149" s="11"/>
      <c r="Q149" s="14"/>
      <c r="R149" s="11"/>
      <c r="S149" s="14"/>
      <c r="T149" s="11"/>
      <c r="U149" s="8"/>
    </row>
    <row r="150" spans="1:21">
      <c r="A150" s="27">
        <v>42</v>
      </c>
      <c r="B150" s="28" t="s">
        <v>201</v>
      </c>
      <c r="C150" s="27">
        <v>5000</v>
      </c>
      <c r="D150" s="27">
        <v>16</v>
      </c>
      <c r="E150" s="27"/>
      <c r="F150" s="27">
        <v>7143008</v>
      </c>
      <c r="G150" s="27">
        <v>1280</v>
      </c>
      <c r="I150" s="5"/>
      <c r="J150" s="11"/>
      <c r="K150" s="14"/>
      <c r="L150" s="11"/>
      <c r="M150" s="14"/>
      <c r="N150" s="11"/>
      <c r="O150" s="14"/>
      <c r="P150" s="11"/>
      <c r="Q150" s="14"/>
      <c r="R150" s="11"/>
      <c r="S150" s="14"/>
      <c r="T150" s="11"/>
      <c r="U150" s="8"/>
    </row>
    <row r="151" spans="1:21">
      <c r="B151" s="28"/>
      <c r="I151" s="5"/>
      <c r="J151" s="11"/>
      <c r="K151" s="14"/>
      <c r="L151" s="11"/>
      <c r="M151" s="14"/>
      <c r="N151" s="11"/>
      <c r="O151" s="14"/>
      <c r="P151" s="11"/>
      <c r="Q151" s="14"/>
      <c r="R151" s="11"/>
      <c r="S151" s="14"/>
      <c r="T151" s="11"/>
      <c r="U151" s="8"/>
    </row>
    <row r="152" spans="1:21">
      <c r="B152" s="28"/>
      <c r="E152" s="9" t="s">
        <v>4</v>
      </c>
      <c r="F152" s="3" t="str">
        <f>VLOOKUP(B108,A109:G149,3,0)</f>
        <v>nie dotyczy</v>
      </c>
      <c r="I152" s="5"/>
      <c r="J152" s="11"/>
      <c r="K152" s="14"/>
      <c r="L152" s="11"/>
      <c r="M152" s="14"/>
      <c r="N152" s="11"/>
      <c r="O152" s="14"/>
      <c r="P152" s="11"/>
      <c r="Q152" s="14"/>
      <c r="R152" s="11"/>
      <c r="S152" s="14"/>
      <c r="T152" s="11"/>
      <c r="U152" s="8"/>
    </row>
    <row r="153" spans="1:21">
      <c r="B153" s="28"/>
      <c r="E153" s="9" t="s">
        <v>138</v>
      </c>
      <c r="F153" s="3" t="str">
        <f>VLOOKUP(B108,A109:G150,4,0)</f>
        <v>nie dotyczy</v>
      </c>
      <c r="I153" s="5"/>
      <c r="J153" s="11"/>
      <c r="K153" s="14"/>
      <c r="L153" s="11"/>
      <c r="M153" s="14"/>
      <c r="N153" s="11"/>
      <c r="O153" s="14"/>
      <c r="P153" s="11"/>
      <c r="Q153" s="14"/>
      <c r="R153" s="11"/>
      <c r="S153" s="14"/>
      <c r="T153" s="11"/>
      <c r="U153" s="8"/>
    </row>
    <row r="154" spans="1:21">
      <c r="B154" s="28"/>
      <c r="E154" s="9" t="s">
        <v>144</v>
      </c>
      <c r="F154" s="3" t="str">
        <f>VLOOKUP(B108,A109:G150,7,0)</f>
        <v>nie dotyczy</v>
      </c>
      <c r="I154" s="5"/>
      <c r="J154" s="11"/>
      <c r="K154" s="14"/>
      <c r="L154" s="11"/>
      <c r="M154" s="14"/>
      <c r="N154" s="11"/>
      <c r="O154" s="14"/>
      <c r="P154" s="11"/>
      <c r="Q154" s="14"/>
      <c r="R154" s="11"/>
      <c r="S154" s="14"/>
      <c r="T154" s="11"/>
      <c r="U154" s="8"/>
    </row>
    <row r="155" spans="1:21">
      <c r="B155" s="28"/>
      <c r="E155" s="9" t="s">
        <v>224</v>
      </c>
      <c r="F155" s="37" t="str">
        <f>VLOOKUP(B108,A109:G150,2,0)</f>
        <v>nie dotyczy</v>
      </c>
      <c r="I155" s="5"/>
      <c r="J155" s="11"/>
      <c r="K155" s="14"/>
      <c r="L155" s="11"/>
      <c r="M155" s="14"/>
      <c r="N155" s="11"/>
      <c r="O155" s="14"/>
      <c r="P155" s="11"/>
      <c r="Q155" s="14"/>
      <c r="R155" s="11"/>
      <c r="S155" s="14"/>
      <c r="T155" s="11"/>
      <c r="U155" s="8"/>
    </row>
    <row r="156" spans="1:21">
      <c r="B156" s="28" t="s">
        <v>222</v>
      </c>
      <c r="C156" s="32">
        <v>5351434</v>
      </c>
      <c r="E156" s="9" t="s">
        <v>225</v>
      </c>
      <c r="F156" s="3" t="str">
        <f>VLOOKUP(B108,A109:G150,6,0)</f>
        <v>nie dotyczy</v>
      </c>
      <c r="I156" s="5"/>
      <c r="J156" s="11"/>
      <c r="K156" s="14"/>
      <c r="L156" s="11"/>
      <c r="M156" s="14"/>
      <c r="N156" s="11"/>
      <c r="O156" s="14"/>
      <c r="P156" s="11"/>
      <c r="Q156" s="14"/>
      <c r="R156" s="11"/>
      <c r="S156" s="14"/>
      <c r="T156" s="11"/>
      <c r="U156" s="8"/>
    </row>
    <row r="157" spans="1:21">
      <c r="B157" s="28" t="s">
        <v>223</v>
      </c>
      <c r="C157" s="32">
        <v>5351436</v>
      </c>
      <c r="E157" s="3" t="str">
        <f>IF(F37&lt;21,'2'!B156,IF(F37&gt;25,"dobierz zawór typ DLV innego producenta",B157))</f>
        <v>DLV 20</v>
      </c>
      <c r="I157" s="5"/>
      <c r="J157" s="11"/>
      <c r="K157" s="14"/>
      <c r="L157" s="11"/>
      <c r="M157" s="14"/>
      <c r="N157" s="11"/>
      <c r="O157" s="14"/>
      <c r="P157" s="11"/>
      <c r="Q157" s="14"/>
      <c r="R157" s="11"/>
      <c r="S157" s="14"/>
      <c r="T157" s="11"/>
      <c r="U157" s="8"/>
    </row>
    <row r="158" spans="1:21">
      <c r="I158" s="5"/>
      <c r="J158" s="11"/>
      <c r="K158" s="14"/>
      <c r="L158" s="11"/>
      <c r="M158" s="14"/>
      <c r="N158" s="11"/>
      <c r="O158" s="14"/>
      <c r="P158" s="11"/>
      <c r="Q158" s="14"/>
      <c r="R158" s="11"/>
      <c r="S158" s="14"/>
      <c r="T158" s="11"/>
      <c r="U158" s="8"/>
    </row>
    <row r="159" spans="1:21">
      <c r="I159" s="5"/>
      <c r="J159" s="11"/>
      <c r="K159" s="14"/>
      <c r="L159" s="11"/>
      <c r="M159" s="14"/>
      <c r="N159" s="11"/>
      <c r="O159" s="14"/>
      <c r="P159" s="11"/>
      <c r="Q159" s="14"/>
      <c r="R159" s="11"/>
      <c r="S159" s="14"/>
      <c r="T159" s="11"/>
      <c r="U159" s="8"/>
    </row>
    <row r="160" spans="1:21">
      <c r="I160" s="5"/>
      <c r="J160" s="11"/>
      <c r="K160" s="14"/>
      <c r="L160" s="11"/>
      <c r="M160" s="14"/>
      <c r="N160" s="11"/>
      <c r="O160" s="14"/>
      <c r="P160" s="11"/>
      <c r="Q160" s="14"/>
      <c r="R160" s="11"/>
      <c r="S160" s="14"/>
      <c r="T160" s="11"/>
      <c r="U160" s="8"/>
    </row>
    <row r="161" spans="9:21">
      <c r="I161" s="5"/>
      <c r="J161" s="11"/>
      <c r="K161" s="14"/>
      <c r="L161" s="11"/>
      <c r="M161" s="14"/>
      <c r="N161" s="11"/>
      <c r="O161" s="14"/>
      <c r="P161" s="11"/>
      <c r="Q161" s="14"/>
      <c r="R161" s="11"/>
      <c r="S161" s="14"/>
      <c r="T161" s="11"/>
      <c r="U161" s="8"/>
    </row>
    <row r="162" spans="9:21">
      <c r="I162" s="5"/>
      <c r="J162" s="11"/>
      <c r="K162" s="14"/>
      <c r="L162" s="11"/>
      <c r="M162" s="14"/>
      <c r="N162" s="11"/>
      <c r="O162" s="14"/>
      <c r="P162" s="11"/>
      <c r="Q162" s="14"/>
      <c r="R162" s="11"/>
      <c r="S162" s="14"/>
      <c r="T162" s="11"/>
      <c r="U162" s="8"/>
    </row>
    <row r="163" spans="9:21">
      <c r="I163" s="5"/>
      <c r="J163" s="11"/>
      <c r="K163" s="14"/>
      <c r="L163" s="11"/>
      <c r="M163" s="14"/>
      <c r="N163" s="11"/>
      <c r="O163" s="14"/>
      <c r="P163" s="11"/>
      <c r="Q163" s="14"/>
      <c r="R163" s="11"/>
      <c r="S163" s="14"/>
      <c r="T163" s="11"/>
      <c r="U163" s="8"/>
    </row>
    <row r="164" spans="9:21">
      <c r="I164" s="5"/>
      <c r="J164" s="11"/>
      <c r="K164" s="14"/>
      <c r="L164" s="11"/>
      <c r="M164" s="14"/>
      <c r="N164" s="11"/>
      <c r="O164" s="14"/>
      <c r="P164" s="11"/>
      <c r="Q164" s="14"/>
      <c r="R164" s="11"/>
      <c r="S164" s="14"/>
      <c r="T164" s="11"/>
      <c r="U164" s="8"/>
    </row>
    <row r="165" spans="9:21">
      <c r="I165" s="5"/>
      <c r="J165" s="11"/>
      <c r="K165" s="14"/>
      <c r="L165" s="11"/>
      <c r="M165" s="14"/>
      <c r="N165" s="11"/>
      <c r="O165" s="14"/>
      <c r="P165" s="11"/>
      <c r="Q165" s="14"/>
      <c r="R165" s="11"/>
      <c r="S165" s="14"/>
      <c r="T165" s="11"/>
      <c r="U165" s="8"/>
    </row>
    <row r="166" spans="9:21">
      <c r="I166" s="5"/>
      <c r="J166" s="11"/>
      <c r="K166" s="14"/>
      <c r="L166" s="11"/>
      <c r="M166" s="14"/>
      <c r="N166" s="11"/>
      <c r="O166" s="14"/>
      <c r="P166" s="11"/>
      <c r="Q166" s="14"/>
      <c r="R166" s="11"/>
      <c r="S166" s="14"/>
      <c r="T166" s="11"/>
      <c r="U166" s="8"/>
    </row>
    <row r="167" spans="9:21">
      <c r="I167" s="5"/>
      <c r="J167" s="11"/>
      <c r="K167" s="14"/>
      <c r="L167" s="11"/>
      <c r="M167" s="14"/>
      <c r="N167" s="11"/>
      <c r="O167" s="14"/>
      <c r="P167" s="11"/>
      <c r="Q167" s="14"/>
      <c r="R167" s="11"/>
      <c r="S167" s="14"/>
      <c r="T167" s="11"/>
      <c r="U167" s="8"/>
    </row>
    <row r="168" spans="9:21">
      <c r="I168" s="5"/>
      <c r="J168" s="11"/>
      <c r="K168" s="14"/>
      <c r="L168" s="11"/>
      <c r="M168" s="14"/>
      <c r="N168" s="11"/>
      <c r="O168" s="14"/>
      <c r="P168" s="11"/>
      <c r="Q168" s="14"/>
      <c r="R168" s="11"/>
      <c r="S168" s="14"/>
      <c r="T168" s="11"/>
      <c r="U168" s="8"/>
    </row>
    <row r="169" spans="9:21">
      <c r="I169" s="5"/>
      <c r="J169" s="11"/>
      <c r="K169" s="14"/>
      <c r="L169" s="11"/>
      <c r="M169" s="14"/>
      <c r="N169" s="11"/>
      <c r="O169" s="14"/>
      <c r="P169" s="11"/>
      <c r="Q169" s="14"/>
      <c r="R169" s="11"/>
      <c r="S169" s="14"/>
      <c r="T169" s="11"/>
      <c r="U169" s="8"/>
    </row>
    <row r="170" spans="9:21">
      <c r="I170" s="5"/>
      <c r="J170" s="11"/>
      <c r="K170" s="14"/>
      <c r="L170" s="11"/>
      <c r="M170" s="14"/>
      <c r="N170" s="11"/>
      <c r="O170" s="14"/>
      <c r="P170" s="11"/>
      <c r="Q170" s="14"/>
      <c r="R170" s="11"/>
      <c r="S170" s="14"/>
      <c r="T170" s="11"/>
      <c r="U170" s="8"/>
    </row>
    <row r="171" spans="9:21">
      <c r="I171" s="5"/>
      <c r="J171" s="11"/>
      <c r="K171" s="14"/>
      <c r="L171" s="11"/>
      <c r="M171" s="14"/>
      <c r="N171" s="11"/>
      <c r="O171" s="14"/>
      <c r="P171" s="11"/>
      <c r="Q171" s="14"/>
      <c r="R171" s="11"/>
      <c r="S171" s="14"/>
      <c r="T171" s="11"/>
      <c r="U171" s="8"/>
    </row>
    <row r="172" spans="9:21">
      <c r="I172" s="5"/>
      <c r="J172" s="11"/>
      <c r="K172" s="14"/>
      <c r="L172" s="11"/>
      <c r="M172" s="14"/>
      <c r="N172" s="11"/>
      <c r="O172" s="14"/>
      <c r="P172" s="11"/>
      <c r="Q172" s="14"/>
      <c r="R172" s="11"/>
      <c r="S172" s="14"/>
      <c r="T172" s="11"/>
      <c r="U172" s="8"/>
    </row>
    <row r="173" spans="9:21">
      <c r="I173" s="5"/>
      <c r="J173" s="11"/>
      <c r="K173" s="14"/>
      <c r="L173" s="11"/>
      <c r="M173" s="14"/>
      <c r="N173" s="11"/>
      <c r="O173" s="14"/>
      <c r="P173" s="11"/>
      <c r="Q173" s="14"/>
      <c r="R173" s="11"/>
      <c r="S173" s="14"/>
      <c r="T173" s="11"/>
      <c r="U173" s="8"/>
    </row>
    <row r="174" spans="9:21">
      <c r="I174" s="5"/>
      <c r="J174" s="11"/>
      <c r="K174" s="14"/>
      <c r="L174" s="11"/>
      <c r="M174" s="14"/>
      <c r="N174" s="11"/>
      <c r="O174" s="14"/>
      <c r="P174" s="11"/>
      <c r="Q174" s="14"/>
      <c r="R174" s="11"/>
      <c r="S174" s="14"/>
      <c r="T174" s="11"/>
      <c r="U174" s="8"/>
    </row>
    <row r="175" spans="9:21">
      <c r="I175" s="5"/>
      <c r="J175" s="11"/>
      <c r="K175" s="14"/>
      <c r="L175" s="11"/>
      <c r="M175" s="14"/>
      <c r="N175" s="11"/>
      <c r="O175" s="14"/>
      <c r="P175" s="11"/>
      <c r="Q175" s="14"/>
      <c r="R175" s="11"/>
      <c r="S175" s="14"/>
      <c r="T175" s="11"/>
      <c r="U175" s="8"/>
    </row>
    <row r="176" spans="9:21">
      <c r="I176" s="5"/>
      <c r="J176" s="11"/>
      <c r="K176" s="14"/>
      <c r="L176" s="11"/>
      <c r="M176" s="14"/>
      <c r="N176" s="11"/>
      <c r="O176" s="14"/>
      <c r="P176" s="11"/>
      <c r="Q176" s="14"/>
      <c r="R176" s="11"/>
      <c r="S176" s="14"/>
      <c r="T176" s="11"/>
      <c r="U176" s="8"/>
    </row>
    <row r="177" spans="9:29">
      <c r="I177" s="5"/>
      <c r="J177" s="11"/>
      <c r="K177" s="14"/>
      <c r="L177" s="11"/>
      <c r="M177" s="14"/>
      <c r="N177" s="11"/>
      <c r="O177" s="14"/>
      <c r="P177" s="11"/>
      <c r="Q177" s="14"/>
      <c r="R177" s="11"/>
      <c r="S177" s="14"/>
      <c r="T177" s="11"/>
      <c r="U177" s="8"/>
    </row>
    <row r="178" spans="9:29">
      <c r="I178" s="5"/>
      <c r="J178" s="11"/>
      <c r="K178" s="14"/>
      <c r="L178" s="11"/>
      <c r="M178" s="14"/>
      <c r="N178" s="11"/>
      <c r="O178" s="14"/>
      <c r="P178" s="11"/>
      <c r="Q178" s="14"/>
      <c r="R178" s="11"/>
      <c r="S178" s="14"/>
      <c r="T178" s="11"/>
      <c r="U178" s="8"/>
    </row>
    <row r="179" spans="9:29">
      <c r="I179" s="5"/>
      <c r="J179" s="11"/>
      <c r="K179" s="14"/>
      <c r="L179" s="11"/>
      <c r="M179" s="14"/>
      <c r="N179" s="11"/>
      <c r="O179" s="14"/>
      <c r="P179" s="11"/>
      <c r="Q179" s="14"/>
      <c r="R179" s="11"/>
      <c r="S179" s="14"/>
      <c r="T179" s="11"/>
      <c r="U179" s="8"/>
    </row>
    <row r="180" spans="9:29">
      <c r="I180" s="5"/>
      <c r="J180" s="11"/>
      <c r="K180" s="14"/>
      <c r="L180" s="11"/>
      <c r="M180" s="14"/>
      <c r="N180" s="11"/>
      <c r="O180" s="14"/>
      <c r="P180" s="11"/>
      <c r="Q180" s="14"/>
      <c r="R180" s="11"/>
      <c r="S180" s="14"/>
      <c r="T180" s="11"/>
      <c r="U180" s="8"/>
    </row>
    <row r="181" spans="9:29">
      <c r="I181" s="5"/>
      <c r="J181" s="11"/>
      <c r="K181" s="14"/>
      <c r="L181" s="11"/>
      <c r="M181" s="14"/>
      <c r="N181" s="11"/>
      <c r="O181" s="14"/>
      <c r="P181" s="11"/>
      <c r="Q181" s="14"/>
      <c r="R181" s="11"/>
      <c r="S181" s="14"/>
      <c r="T181" s="11"/>
      <c r="U181" s="8"/>
    </row>
    <row r="182" spans="9:29">
      <c r="I182" s="5"/>
      <c r="J182" s="11"/>
      <c r="K182" s="14"/>
      <c r="L182" s="11"/>
      <c r="M182" s="14"/>
      <c r="N182" s="11"/>
      <c r="O182" s="14"/>
      <c r="P182" s="11"/>
      <c r="Q182" s="14"/>
      <c r="R182" s="11"/>
      <c r="S182" s="14"/>
      <c r="T182" s="11"/>
      <c r="U182" s="8"/>
    </row>
    <row r="183" spans="9:29">
      <c r="I183" s="5"/>
      <c r="J183" s="11"/>
      <c r="K183" s="14"/>
      <c r="L183" s="11"/>
      <c r="M183" s="14"/>
      <c r="N183" s="11"/>
      <c r="O183" s="14"/>
      <c r="P183" s="11"/>
      <c r="Q183" s="14"/>
      <c r="R183" s="11"/>
      <c r="S183" s="14"/>
      <c r="T183" s="11"/>
      <c r="U183" s="8"/>
    </row>
    <row r="184" spans="9:29">
      <c r="I184" s="5"/>
      <c r="J184" s="11"/>
      <c r="K184" s="14"/>
      <c r="L184" s="11"/>
      <c r="M184" s="14"/>
      <c r="N184" s="11"/>
      <c r="O184" s="14"/>
      <c r="P184" s="11"/>
      <c r="Q184" s="14"/>
      <c r="R184" s="11"/>
      <c r="S184" s="14"/>
      <c r="T184" s="11"/>
      <c r="U184" s="8"/>
    </row>
    <row r="185" spans="9:29">
      <c r="I185" s="5"/>
      <c r="J185" s="11"/>
      <c r="K185" s="14"/>
      <c r="L185" s="11"/>
      <c r="M185" s="14"/>
      <c r="N185" s="11"/>
      <c r="O185" s="14"/>
      <c r="P185" s="11"/>
      <c r="Q185" s="14"/>
      <c r="R185" s="11"/>
      <c r="S185" s="14"/>
      <c r="T185" s="11"/>
      <c r="U185" s="8"/>
    </row>
    <row r="186" spans="9:29">
      <c r="I186" s="5"/>
      <c r="J186" s="11"/>
      <c r="K186" s="14"/>
      <c r="L186" s="11"/>
      <c r="M186" s="14"/>
      <c r="N186" s="11"/>
      <c r="O186" s="14"/>
      <c r="P186" s="11"/>
      <c r="Q186" s="14"/>
      <c r="R186" s="11"/>
      <c r="S186" s="14"/>
      <c r="T186" s="11"/>
      <c r="U186" s="8"/>
    </row>
    <row r="187" spans="9:29">
      <c r="I187" s="5"/>
      <c r="J187" s="11"/>
      <c r="K187" s="14"/>
      <c r="L187" s="11"/>
      <c r="M187" s="14"/>
      <c r="N187" s="11"/>
      <c r="O187" s="14"/>
      <c r="P187" s="11"/>
      <c r="Q187" s="14"/>
      <c r="R187" s="11"/>
      <c r="S187" s="14"/>
      <c r="T187" s="11"/>
      <c r="U187" s="8"/>
    </row>
    <row r="189" spans="9:29">
      <c r="J189" s="497" t="s">
        <v>31</v>
      </c>
      <c r="K189" s="497"/>
      <c r="L189" s="497"/>
      <c r="M189" s="497"/>
      <c r="N189" s="497"/>
      <c r="O189" s="497"/>
      <c r="P189" s="497"/>
      <c r="Q189" s="497"/>
      <c r="R189" s="497"/>
      <c r="S189" s="497"/>
      <c r="T189" s="497"/>
    </row>
    <row r="190" spans="9:29">
      <c r="I190" s="3" t="s">
        <v>30</v>
      </c>
      <c r="J190" s="4">
        <v>0</v>
      </c>
      <c r="K190" s="4">
        <v>5</v>
      </c>
      <c r="L190" s="4">
        <v>10</v>
      </c>
      <c r="M190" s="4">
        <v>15</v>
      </c>
      <c r="N190" s="4">
        <v>20</v>
      </c>
      <c r="O190" s="4">
        <v>25</v>
      </c>
      <c r="P190" s="4">
        <v>30</v>
      </c>
      <c r="Q190" s="4">
        <v>35</v>
      </c>
      <c r="R190" s="4">
        <v>40</v>
      </c>
      <c r="S190" s="4">
        <v>45</v>
      </c>
      <c r="T190" s="4">
        <v>50</v>
      </c>
    </row>
    <row r="191" spans="9:29">
      <c r="I191" s="5">
        <v>100</v>
      </c>
      <c r="J191" s="21">
        <v>0</v>
      </c>
      <c r="K191" s="21">
        <v>0</v>
      </c>
      <c r="L191" s="21">
        <v>0</v>
      </c>
      <c r="M191" s="21">
        <v>0</v>
      </c>
      <c r="N191" s="21">
        <v>0</v>
      </c>
      <c r="O191" s="21">
        <v>0</v>
      </c>
      <c r="P191" s="21">
        <v>0</v>
      </c>
      <c r="Q191" s="21">
        <v>0</v>
      </c>
      <c r="R191" s="21">
        <v>0</v>
      </c>
      <c r="S191" s="21">
        <v>0</v>
      </c>
      <c r="T191" s="21">
        <v>0</v>
      </c>
      <c r="U191" s="23"/>
    </row>
    <row r="192" spans="9:29">
      <c r="I192" s="5">
        <v>101</v>
      </c>
      <c r="J192" s="22">
        <f t="shared" ref="J192:T192" si="0">(J191+J194)/2</f>
        <v>0.05</v>
      </c>
      <c r="K192" s="22">
        <f t="shared" si="0"/>
        <v>4.7500000000000001E-2</v>
      </c>
      <c r="L192" s="22">
        <f t="shared" si="0"/>
        <v>4.6249999999999999E-2</v>
      </c>
      <c r="M192" s="22">
        <f t="shared" si="0"/>
        <v>4.3749999999999997E-2</v>
      </c>
      <c r="N192" s="22">
        <f t="shared" si="0"/>
        <v>4.1250000000000002E-2</v>
      </c>
      <c r="O192" s="22">
        <f t="shared" si="0"/>
        <v>0.04</v>
      </c>
      <c r="P192" s="22">
        <f t="shared" si="0"/>
        <v>3.7499999999999999E-2</v>
      </c>
      <c r="Q192" s="22">
        <f t="shared" si="0"/>
        <v>3.125E-2</v>
      </c>
      <c r="R192" s="22">
        <f t="shared" si="0"/>
        <v>2.5000000000000001E-2</v>
      </c>
      <c r="S192" s="22">
        <f t="shared" si="0"/>
        <v>1.8749999999999999E-2</v>
      </c>
      <c r="T192" s="22">
        <f t="shared" si="0"/>
        <v>1.2500000000000001E-2</v>
      </c>
      <c r="U192" s="24"/>
      <c r="V192" s="17"/>
      <c r="W192" s="17"/>
      <c r="X192" s="17"/>
      <c r="Y192" s="17"/>
      <c r="Z192" s="17"/>
      <c r="AA192" s="17"/>
      <c r="AB192" s="17"/>
      <c r="AC192" s="17"/>
    </row>
    <row r="193" spans="9:44">
      <c r="I193" s="5">
        <v>102</v>
      </c>
      <c r="J193" s="22">
        <f t="shared" ref="J193:T193" si="1">(J192+J194)/2</f>
        <v>7.5000000000000011E-2</v>
      </c>
      <c r="K193" s="22">
        <f t="shared" si="1"/>
        <v>7.1250000000000008E-2</v>
      </c>
      <c r="L193" s="22">
        <f t="shared" si="1"/>
        <v>6.9374999999999992E-2</v>
      </c>
      <c r="M193" s="22">
        <f t="shared" si="1"/>
        <v>6.5624999999999989E-2</v>
      </c>
      <c r="N193" s="22">
        <f t="shared" si="1"/>
        <v>6.1874999999999999E-2</v>
      </c>
      <c r="O193" s="22">
        <f t="shared" si="1"/>
        <v>0.06</v>
      </c>
      <c r="P193" s="22">
        <f t="shared" si="1"/>
        <v>5.6249999999999994E-2</v>
      </c>
      <c r="Q193" s="22">
        <f t="shared" si="1"/>
        <v>4.6875E-2</v>
      </c>
      <c r="R193" s="22">
        <f t="shared" si="1"/>
        <v>3.7500000000000006E-2</v>
      </c>
      <c r="S193" s="22">
        <f t="shared" si="1"/>
        <v>2.8124999999999997E-2</v>
      </c>
      <c r="T193" s="22">
        <f t="shared" si="1"/>
        <v>1.8750000000000003E-2</v>
      </c>
      <c r="U193" s="25"/>
      <c r="V193" s="18"/>
      <c r="W193" s="18"/>
      <c r="X193" s="18"/>
      <c r="Y193" s="18"/>
      <c r="Z193" s="18"/>
      <c r="AA193" s="18"/>
      <c r="AB193" s="18"/>
      <c r="AC193" s="19"/>
    </row>
    <row r="194" spans="9:44">
      <c r="I194" s="5">
        <v>103</v>
      </c>
      <c r="J194" s="22">
        <f t="shared" ref="J194:T194" si="2">(J191+J196)/2</f>
        <v>0.1</v>
      </c>
      <c r="K194" s="22">
        <f t="shared" si="2"/>
        <v>9.5000000000000001E-2</v>
      </c>
      <c r="L194" s="22">
        <f t="shared" si="2"/>
        <v>9.2499999999999999E-2</v>
      </c>
      <c r="M194" s="22">
        <f t="shared" si="2"/>
        <v>8.7499999999999994E-2</v>
      </c>
      <c r="N194" s="22">
        <f t="shared" si="2"/>
        <v>8.2500000000000004E-2</v>
      </c>
      <c r="O194" s="22">
        <f t="shared" si="2"/>
        <v>0.08</v>
      </c>
      <c r="P194" s="22">
        <f t="shared" si="2"/>
        <v>7.4999999999999997E-2</v>
      </c>
      <c r="Q194" s="22">
        <f t="shared" si="2"/>
        <v>6.25E-2</v>
      </c>
      <c r="R194" s="22">
        <f t="shared" si="2"/>
        <v>0.05</v>
      </c>
      <c r="S194" s="22">
        <f t="shared" si="2"/>
        <v>3.7499999999999999E-2</v>
      </c>
      <c r="T194" s="22">
        <f t="shared" si="2"/>
        <v>2.5000000000000001E-2</v>
      </c>
      <c r="U194" s="23"/>
      <c r="X194" s="16" t="s">
        <v>48</v>
      </c>
      <c r="Y194" s="16" t="s">
        <v>49</v>
      </c>
      <c r="Z194" s="17">
        <v>20</v>
      </c>
      <c r="AA194" s="17">
        <v>30</v>
      </c>
      <c r="AB194" s="17">
        <v>40</v>
      </c>
      <c r="AC194" s="17">
        <v>50</v>
      </c>
      <c r="AD194" s="17">
        <v>60</v>
      </c>
      <c r="AE194" s="17">
        <v>70</v>
      </c>
      <c r="AF194" s="17">
        <v>80</v>
      </c>
      <c r="AG194" s="17">
        <v>90</v>
      </c>
      <c r="AH194" s="17">
        <v>100</v>
      </c>
      <c r="AI194" s="17">
        <v>110</v>
      </c>
      <c r="AJ194" s="17">
        <v>120</v>
      </c>
      <c r="AK194" s="17">
        <v>130</v>
      </c>
      <c r="AL194" s="17">
        <v>140</v>
      </c>
      <c r="AM194" s="17">
        <v>150</v>
      </c>
      <c r="AN194" s="17">
        <v>160</v>
      </c>
      <c r="AO194" s="17">
        <v>170</v>
      </c>
      <c r="AP194" s="17">
        <v>180</v>
      </c>
      <c r="AQ194" s="17">
        <v>190</v>
      </c>
      <c r="AR194" s="17">
        <v>200</v>
      </c>
    </row>
    <row r="195" spans="9:44">
      <c r="I195" s="5">
        <v>104</v>
      </c>
      <c r="J195" s="22">
        <f t="shared" ref="J195:T195" si="3">(J194+J196)/2</f>
        <v>0.15000000000000002</v>
      </c>
      <c r="K195" s="22">
        <f t="shared" si="3"/>
        <v>0.14250000000000002</v>
      </c>
      <c r="L195" s="22">
        <f t="shared" si="3"/>
        <v>0.13874999999999998</v>
      </c>
      <c r="M195" s="22">
        <f t="shared" si="3"/>
        <v>0.13124999999999998</v>
      </c>
      <c r="N195" s="22">
        <f t="shared" si="3"/>
        <v>0.12375</v>
      </c>
      <c r="O195" s="22">
        <f t="shared" si="3"/>
        <v>0.12</v>
      </c>
      <c r="P195" s="22">
        <f t="shared" si="3"/>
        <v>0.11249999999999999</v>
      </c>
      <c r="Q195" s="22">
        <f t="shared" si="3"/>
        <v>9.375E-2</v>
      </c>
      <c r="R195" s="22">
        <f t="shared" si="3"/>
        <v>7.5000000000000011E-2</v>
      </c>
      <c r="S195" s="22">
        <f t="shared" si="3"/>
        <v>5.6249999999999994E-2</v>
      </c>
      <c r="T195" s="22">
        <f t="shared" si="3"/>
        <v>3.7500000000000006E-2</v>
      </c>
      <c r="U195" s="23"/>
      <c r="X195" s="16" t="s">
        <v>51</v>
      </c>
      <c r="Y195" s="16" t="s">
        <v>3</v>
      </c>
      <c r="Z195" s="18">
        <v>0</v>
      </c>
      <c r="AA195" s="18">
        <v>0</v>
      </c>
      <c r="AB195" s="18">
        <v>0</v>
      </c>
      <c r="AC195" s="18">
        <v>0</v>
      </c>
      <c r="AD195" s="18">
        <v>0</v>
      </c>
      <c r="AE195" s="18">
        <v>0</v>
      </c>
      <c r="AF195" s="18">
        <v>0</v>
      </c>
      <c r="AG195" s="18">
        <v>0</v>
      </c>
      <c r="AH195" s="18">
        <v>0</v>
      </c>
      <c r="AI195" s="18">
        <v>0.4</v>
      </c>
      <c r="AJ195" s="18">
        <v>1.03</v>
      </c>
      <c r="AK195" s="18">
        <v>1.75</v>
      </c>
      <c r="AL195" s="18">
        <v>2.69</v>
      </c>
      <c r="AM195" s="18">
        <v>3.85</v>
      </c>
      <c r="AN195" s="18">
        <v>5.3</v>
      </c>
      <c r="AO195" s="18">
        <v>7.08</v>
      </c>
      <c r="AP195" s="18">
        <v>9.25</v>
      </c>
      <c r="AQ195" s="18">
        <v>11.8</v>
      </c>
      <c r="AR195" s="19">
        <v>14.5</v>
      </c>
    </row>
    <row r="196" spans="9:44">
      <c r="I196" s="5">
        <v>105</v>
      </c>
      <c r="J196" s="22">
        <f t="shared" ref="J196:T196" si="4">(J191+J201)/2</f>
        <v>0.2</v>
      </c>
      <c r="K196" s="22">
        <f t="shared" si="4"/>
        <v>0.19</v>
      </c>
      <c r="L196" s="22">
        <f t="shared" si="4"/>
        <v>0.185</v>
      </c>
      <c r="M196" s="22">
        <f t="shared" si="4"/>
        <v>0.17499999999999999</v>
      </c>
      <c r="N196" s="22">
        <f t="shared" si="4"/>
        <v>0.16500000000000001</v>
      </c>
      <c r="O196" s="22">
        <f t="shared" si="4"/>
        <v>0.16</v>
      </c>
      <c r="P196" s="22">
        <f t="shared" si="4"/>
        <v>0.15</v>
      </c>
      <c r="Q196" s="22">
        <f t="shared" si="4"/>
        <v>0.125</v>
      </c>
      <c r="R196" s="22">
        <f t="shared" si="4"/>
        <v>0.1</v>
      </c>
      <c r="S196" s="22">
        <f t="shared" si="4"/>
        <v>7.4999999999999997E-2</v>
      </c>
      <c r="T196" s="22">
        <f t="shared" si="4"/>
        <v>0.05</v>
      </c>
      <c r="U196" s="23"/>
      <c r="X196" s="16" t="s">
        <v>48</v>
      </c>
      <c r="Y196" s="16" t="s">
        <v>49</v>
      </c>
      <c r="Z196" s="17">
        <v>20</v>
      </c>
      <c r="AA196" s="17">
        <v>30</v>
      </c>
      <c r="AB196" s="17">
        <v>40</v>
      </c>
      <c r="AC196" s="17">
        <v>50</v>
      </c>
      <c r="AD196" s="17">
        <v>60</v>
      </c>
      <c r="AE196" s="17">
        <v>70</v>
      </c>
      <c r="AF196" s="17">
        <v>80</v>
      </c>
      <c r="AG196" s="17">
        <v>90</v>
      </c>
      <c r="AH196" s="17">
        <v>100</v>
      </c>
      <c r="AI196" s="17">
        <v>110</v>
      </c>
      <c r="AJ196" s="17">
        <v>120</v>
      </c>
      <c r="AK196" s="17">
        <v>130</v>
      </c>
      <c r="AL196" s="17">
        <v>140</v>
      </c>
      <c r="AM196" s="17">
        <v>150</v>
      </c>
      <c r="AN196" s="17">
        <v>160</v>
      </c>
      <c r="AO196" s="17">
        <v>170</v>
      </c>
      <c r="AP196" s="17">
        <v>180</v>
      </c>
      <c r="AQ196" s="17">
        <v>190</v>
      </c>
      <c r="AR196" s="17">
        <v>200</v>
      </c>
    </row>
    <row r="197" spans="9:44">
      <c r="I197" s="5">
        <v>106</v>
      </c>
      <c r="J197" s="22">
        <f t="shared" ref="J197:T197" si="5">(J196+J198)/2</f>
        <v>0.23750000000000002</v>
      </c>
      <c r="K197" s="22">
        <f t="shared" si="5"/>
        <v>0.22562499999999999</v>
      </c>
      <c r="L197" s="22">
        <f t="shared" si="5"/>
        <v>0.21968750000000001</v>
      </c>
      <c r="M197" s="22">
        <f t="shared" si="5"/>
        <v>0.20781249999999998</v>
      </c>
      <c r="N197" s="22">
        <f t="shared" si="5"/>
        <v>0.19593749999999999</v>
      </c>
      <c r="O197" s="22">
        <f t="shared" si="5"/>
        <v>0.19</v>
      </c>
      <c r="P197" s="22">
        <f t="shared" si="5"/>
        <v>0.17812499999999998</v>
      </c>
      <c r="Q197" s="22">
        <f t="shared" si="5"/>
        <v>0.1484375</v>
      </c>
      <c r="R197" s="22">
        <f t="shared" si="5"/>
        <v>0.11875000000000001</v>
      </c>
      <c r="S197" s="22">
        <f t="shared" si="5"/>
        <v>8.9062499999999989E-2</v>
      </c>
      <c r="T197" s="22">
        <f t="shared" si="5"/>
        <v>5.9375000000000004E-2</v>
      </c>
      <c r="U197" s="23"/>
      <c r="X197" s="16" t="s">
        <v>52</v>
      </c>
      <c r="Y197" s="16"/>
      <c r="Z197" s="496" t="s">
        <v>53</v>
      </c>
      <c r="AA197" s="496"/>
      <c r="AB197" s="496"/>
      <c r="AC197" s="496"/>
      <c r="AD197" s="496"/>
      <c r="AE197" s="496"/>
      <c r="AF197" s="20">
        <v>6.8999999999999999E-3</v>
      </c>
      <c r="AG197" s="20">
        <v>1.43E-2</v>
      </c>
      <c r="AH197" s="20">
        <v>2.2100000000000002E-2</v>
      </c>
      <c r="AI197" s="20">
        <v>3.04E-2</v>
      </c>
      <c r="AJ197" s="20">
        <v>3.7650000000000003E-2</v>
      </c>
      <c r="AK197" s="20">
        <v>4.9430000000000002E-2</v>
      </c>
      <c r="AL197" s="20">
        <v>5.5320000000000001E-2</v>
      </c>
      <c r="AM197" s="20">
        <v>6.1210000000000001E-2</v>
      </c>
      <c r="AN197" s="20">
        <v>6.7100000000000007E-2</v>
      </c>
      <c r="AO197" s="20">
        <v>7.2989999999999999E-2</v>
      </c>
      <c r="AP197" s="20">
        <v>7.8880000000000006E-2</v>
      </c>
      <c r="AQ197" s="20">
        <v>8.4769999999999998E-2</v>
      </c>
      <c r="AR197" s="20">
        <v>9.0660000000000004E-2</v>
      </c>
    </row>
    <row r="198" spans="9:44">
      <c r="I198" s="5">
        <v>107</v>
      </c>
      <c r="J198" s="22">
        <f t="shared" ref="J198:T198" si="6">(J196+J200)/2</f>
        <v>0.27500000000000002</v>
      </c>
      <c r="K198" s="22">
        <f t="shared" si="6"/>
        <v>0.26124999999999998</v>
      </c>
      <c r="L198" s="22">
        <f t="shared" si="6"/>
        <v>0.25437500000000002</v>
      </c>
      <c r="M198" s="22">
        <f t="shared" si="6"/>
        <v>0.24062499999999998</v>
      </c>
      <c r="N198" s="22">
        <f t="shared" si="6"/>
        <v>0.22687499999999999</v>
      </c>
      <c r="O198" s="22">
        <f t="shared" si="6"/>
        <v>0.22000000000000003</v>
      </c>
      <c r="P198" s="22">
        <f t="shared" si="6"/>
        <v>0.20624999999999999</v>
      </c>
      <c r="Q198" s="22">
        <f t="shared" si="6"/>
        <v>0.171875</v>
      </c>
      <c r="R198" s="22">
        <f t="shared" si="6"/>
        <v>0.13750000000000001</v>
      </c>
      <c r="S198" s="22">
        <f t="shared" si="6"/>
        <v>0.10312499999999999</v>
      </c>
      <c r="T198" s="22">
        <f t="shared" si="6"/>
        <v>6.8750000000000006E-2</v>
      </c>
      <c r="U198" s="23"/>
      <c r="X198" s="16"/>
      <c r="Y198" s="16"/>
      <c r="Z198" s="18"/>
      <c r="AA198" s="18"/>
      <c r="AB198" s="18"/>
      <c r="AC198" s="18"/>
      <c r="AD198" s="18"/>
      <c r="AE198" s="18"/>
      <c r="AF198" s="18"/>
      <c r="AG198" s="18"/>
      <c r="AH198" s="18"/>
      <c r="AI198" s="18"/>
      <c r="AJ198" s="18"/>
      <c r="AK198" s="18"/>
      <c r="AL198" s="18"/>
      <c r="AM198" s="18"/>
      <c r="AN198" s="18"/>
      <c r="AO198" s="18"/>
      <c r="AP198" s="18"/>
      <c r="AQ198" s="18"/>
      <c r="AR198" s="18"/>
    </row>
    <row r="199" spans="9:44">
      <c r="I199" s="5">
        <v>108</v>
      </c>
      <c r="J199" s="22">
        <f t="shared" ref="J199:T199" si="7">(J196+J201)/2</f>
        <v>0.30000000000000004</v>
      </c>
      <c r="K199" s="22">
        <f t="shared" si="7"/>
        <v>0.28500000000000003</v>
      </c>
      <c r="L199" s="22">
        <f t="shared" si="7"/>
        <v>0.27749999999999997</v>
      </c>
      <c r="M199" s="22">
        <f t="shared" si="7"/>
        <v>0.26249999999999996</v>
      </c>
      <c r="N199" s="22">
        <f t="shared" si="7"/>
        <v>0.2475</v>
      </c>
      <c r="O199" s="22">
        <f t="shared" si="7"/>
        <v>0.24</v>
      </c>
      <c r="P199" s="22">
        <f t="shared" si="7"/>
        <v>0.22499999999999998</v>
      </c>
      <c r="Q199" s="22">
        <f t="shared" si="7"/>
        <v>0.1875</v>
      </c>
      <c r="R199" s="22">
        <f t="shared" si="7"/>
        <v>0.15000000000000002</v>
      </c>
      <c r="S199" s="22">
        <f t="shared" si="7"/>
        <v>0.11249999999999999</v>
      </c>
      <c r="T199" s="22">
        <f t="shared" si="7"/>
        <v>7.5000000000000011E-2</v>
      </c>
      <c r="U199" s="23"/>
      <c r="X199" s="16" t="s">
        <v>48</v>
      </c>
      <c r="Y199" s="16" t="s">
        <v>49</v>
      </c>
      <c r="Z199" s="17">
        <v>20</v>
      </c>
      <c r="AA199" s="17">
        <v>30</v>
      </c>
      <c r="AB199" s="17">
        <v>40</v>
      </c>
      <c r="AC199" s="17">
        <v>50</v>
      </c>
      <c r="AD199" s="17">
        <v>60</v>
      </c>
      <c r="AE199" s="17">
        <v>70</v>
      </c>
      <c r="AF199" s="17">
        <v>80</v>
      </c>
      <c r="AG199" s="17">
        <v>90</v>
      </c>
      <c r="AH199" s="17">
        <v>100</v>
      </c>
      <c r="AI199" s="17">
        <v>110</v>
      </c>
      <c r="AJ199" s="17">
        <v>120</v>
      </c>
      <c r="AK199" s="17">
        <v>130</v>
      </c>
      <c r="AL199" s="17">
        <v>140</v>
      </c>
      <c r="AM199" s="17">
        <v>150</v>
      </c>
      <c r="AN199" s="17">
        <v>160</v>
      </c>
      <c r="AO199" s="17">
        <v>170</v>
      </c>
      <c r="AP199" s="17">
        <v>180</v>
      </c>
      <c r="AQ199" s="17">
        <v>190</v>
      </c>
      <c r="AR199" s="17">
        <v>200</v>
      </c>
    </row>
    <row r="200" spans="9:44">
      <c r="I200" s="5">
        <v>109</v>
      </c>
      <c r="J200" s="22">
        <f t="shared" ref="J200:T200" si="8">(J199+J201)/2</f>
        <v>0.35000000000000003</v>
      </c>
      <c r="K200" s="22">
        <f t="shared" si="8"/>
        <v>0.33250000000000002</v>
      </c>
      <c r="L200" s="22">
        <f t="shared" si="8"/>
        <v>0.32374999999999998</v>
      </c>
      <c r="M200" s="22">
        <f t="shared" si="8"/>
        <v>0.30624999999999997</v>
      </c>
      <c r="N200" s="22">
        <f t="shared" si="8"/>
        <v>0.28875000000000001</v>
      </c>
      <c r="O200" s="22">
        <f t="shared" si="8"/>
        <v>0.28000000000000003</v>
      </c>
      <c r="P200" s="22">
        <f t="shared" si="8"/>
        <v>0.26249999999999996</v>
      </c>
      <c r="Q200" s="22">
        <f t="shared" si="8"/>
        <v>0.21875</v>
      </c>
      <c r="R200" s="22">
        <f t="shared" si="8"/>
        <v>0.17500000000000002</v>
      </c>
      <c r="S200" s="22">
        <f t="shared" si="8"/>
        <v>0.13124999999999998</v>
      </c>
      <c r="T200" s="22">
        <f t="shared" si="8"/>
        <v>8.7500000000000008E-2</v>
      </c>
      <c r="U200" s="23"/>
      <c r="X200" s="16" t="s">
        <v>50</v>
      </c>
      <c r="Y200" s="16" t="s">
        <v>54</v>
      </c>
      <c r="Z200" s="18">
        <v>2.3900000000000001E-2</v>
      </c>
      <c r="AA200" s="18">
        <v>2.3900000000000001E-2</v>
      </c>
      <c r="AB200" s="18">
        <v>2.3900000000000001E-2</v>
      </c>
      <c r="AC200" s="18">
        <v>0.03</v>
      </c>
      <c r="AD200" s="18">
        <v>3.6400000000000002E-2</v>
      </c>
      <c r="AE200" s="18">
        <v>4.3099999999999999E-2</v>
      </c>
      <c r="AF200" s="18">
        <v>5.0200000000000002E-2</v>
      </c>
      <c r="AG200" s="18">
        <v>5.7599999999999998E-2</v>
      </c>
      <c r="AH200" s="18">
        <v>6.5299999999999997E-2</v>
      </c>
      <c r="AI200" s="18">
        <v>7.3400000000000007E-2</v>
      </c>
      <c r="AJ200" s="18"/>
      <c r="AK200" s="18"/>
      <c r="AL200" s="18">
        <v>7.3400000000000007E-2</v>
      </c>
      <c r="AM200" s="18"/>
      <c r="AN200" s="18"/>
      <c r="AO200" s="18">
        <v>7.3400000000000007E-2</v>
      </c>
      <c r="AP200" s="18"/>
      <c r="AQ200" s="18"/>
      <c r="AR200" s="19">
        <v>7.3400000000000007E-2</v>
      </c>
    </row>
    <row r="201" spans="9:44">
      <c r="I201" s="5">
        <v>110</v>
      </c>
      <c r="J201" s="21">
        <v>0.4</v>
      </c>
      <c r="K201" s="22">
        <v>0.38</v>
      </c>
      <c r="L201" s="22">
        <v>0.37</v>
      </c>
      <c r="M201" s="22">
        <v>0.35</v>
      </c>
      <c r="N201" s="22">
        <v>0.33</v>
      </c>
      <c r="O201" s="22">
        <v>0.32</v>
      </c>
      <c r="P201" s="22">
        <v>0.3</v>
      </c>
      <c r="Q201" s="22">
        <v>0.25</v>
      </c>
      <c r="R201" s="22">
        <v>0.2</v>
      </c>
      <c r="S201" s="22">
        <v>0.15</v>
      </c>
      <c r="T201" s="22">
        <v>0.1</v>
      </c>
      <c r="U201" s="23"/>
      <c r="X201" s="16" t="s">
        <v>48</v>
      </c>
      <c r="Y201" s="16" t="s">
        <v>49</v>
      </c>
      <c r="Z201" s="17">
        <v>20</v>
      </c>
      <c r="AA201" s="17">
        <v>30</v>
      </c>
      <c r="AB201" s="17">
        <v>40</v>
      </c>
      <c r="AC201" s="17">
        <v>50</v>
      </c>
      <c r="AD201" s="17">
        <v>60</v>
      </c>
      <c r="AE201" s="17">
        <v>70</v>
      </c>
      <c r="AF201" s="17">
        <v>80</v>
      </c>
      <c r="AG201" s="17">
        <v>90</v>
      </c>
      <c r="AH201" s="17">
        <v>100</v>
      </c>
      <c r="AI201" s="17">
        <v>110</v>
      </c>
      <c r="AJ201" s="17">
        <v>120</v>
      </c>
      <c r="AK201" s="17">
        <v>130</v>
      </c>
      <c r="AL201" s="17">
        <v>140</v>
      </c>
      <c r="AM201" s="17">
        <v>150</v>
      </c>
      <c r="AN201" s="17">
        <v>160</v>
      </c>
      <c r="AO201" s="17">
        <v>170</v>
      </c>
      <c r="AP201" s="17">
        <v>180</v>
      </c>
      <c r="AQ201" s="17">
        <v>190</v>
      </c>
      <c r="AR201" s="17">
        <v>200</v>
      </c>
    </row>
    <row r="202" spans="9:44">
      <c r="I202" s="5">
        <v>111</v>
      </c>
      <c r="J202" s="22">
        <f t="shared" ref="J202:T202" si="9">(J201+J204)/2</f>
        <v>0.47875000000000006</v>
      </c>
      <c r="K202" s="22">
        <f t="shared" si="9"/>
        <v>0.45875000000000005</v>
      </c>
      <c r="L202" s="22">
        <f t="shared" si="9"/>
        <v>0.44749999999999995</v>
      </c>
      <c r="M202" s="22">
        <f t="shared" si="9"/>
        <v>0.42749999999999994</v>
      </c>
      <c r="N202" s="22">
        <f t="shared" si="9"/>
        <v>0.40749999999999997</v>
      </c>
      <c r="O202" s="22">
        <f t="shared" si="9"/>
        <v>0.39624999999999999</v>
      </c>
      <c r="P202" s="22">
        <f t="shared" si="9"/>
        <v>0.37624999999999997</v>
      </c>
      <c r="Q202" s="22">
        <f t="shared" si="9"/>
        <v>0.32999999999999996</v>
      </c>
      <c r="R202" s="22">
        <f t="shared" si="9"/>
        <v>0.28374999999999995</v>
      </c>
      <c r="S202" s="22">
        <f t="shared" si="9"/>
        <v>0.23749999999999999</v>
      </c>
      <c r="T202" s="22">
        <f t="shared" si="9"/>
        <v>0.19124999999999998</v>
      </c>
      <c r="U202" s="23"/>
      <c r="X202" s="16" t="s">
        <v>55</v>
      </c>
      <c r="Y202" s="16" t="s">
        <v>56</v>
      </c>
      <c r="Z202" s="18">
        <v>0</v>
      </c>
      <c r="AA202" s="18">
        <v>0</v>
      </c>
      <c r="AB202" s="18">
        <v>0</v>
      </c>
      <c r="AC202" s="18">
        <v>0</v>
      </c>
      <c r="AD202" s="18">
        <v>0</v>
      </c>
      <c r="AE202" s="18">
        <v>0</v>
      </c>
      <c r="AF202" s="18">
        <v>0</v>
      </c>
      <c r="AG202" s="18">
        <v>0</v>
      </c>
      <c r="AH202" s="18">
        <v>0</v>
      </c>
      <c r="AI202" s="18">
        <v>0.2</v>
      </c>
      <c r="AJ202" s="18"/>
      <c r="AK202" s="18"/>
      <c r="AL202" s="18">
        <v>0.2</v>
      </c>
      <c r="AM202" s="18"/>
      <c r="AN202" s="18"/>
      <c r="AO202" s="18">
        <v>0.2</v>
      </c>
      <c r="AP202" s="18"/>
      <c r="AQ202" s="18"/>
      <c r="AR202" s="19">
        <v>0.2</v>
      </c>
    </row>
    <row r="203" spans="9:44">
      <c r="I203" s="5">
        <v>112</v>
      </c>
      <c r="J203" s="22">
        <f t="shared" ref="J203:T203" si="10">(J202+J204)/2</f>
        <v>0.51812500000000006</v>
      </c>
      <c r="K203" s="22">
        <f t="shared" si="10"/>
        <v>0.49812500000000004</v>
      </c>
      <c r="L203" s="22">
        <f t="shared" si="10"/>
        <v>0.48624999999999996</v>
      </c>
      <c r="M203" s="22">
        <f t="shared" si="10"/>
        <v>0.46624999999999994</v>
      </c>
      <c r="N203" s="22">
        <f t="shared" si="10"/>
        <v>0.44624999999999998</v>
      </c>
      <c r="O203" s="22">
        <f t="shared" si="10"/>
        <v>0.43437500000000001</v>
      </c>
      <c r="P203" s="22">
        <f t="shared" si="10"/>
        <v>0.41437499999999999</v>
      </c>
      <c r="Q203" s="22">
        <f t="shared" si="10"/>
        <v>0.37</v>
      </c>
      <c r="R203" s="22">
        <f t="shared" si="10"/>
        <v>0.32562499999999994</v>
      </c>
      <c r="S203" s="22">
        <f t="shared" si="10"/>
        <v>0.28125</v>
      </c>
      <c r="T203" s="22">
        <f t="shared" si="10"/>
        <v>0.23687499999999997</v>
      </c>
      <c r="U203" s="23"/>
    </row>
    <row r="204" spans="9:44">
      <c r="I204" s="5">
        <v>113</v>
      </c>
      <c r="J204" s="22">
        <f t="shared" ref="J204:T204" si="11">(J201+J206)/2</f>
        <v>0.55750000000000011</v>
      </c>
      <c r="K204" s="22">
        <f t="shared" si="11"/>
        <v>0.53750000000000009</v>
      </c>
      <c r="L204" s="22">
        <f t="shared" si="11"/>
        <v>0.52499999999999991</v>
      </c>
      <c r="M204" s="22">
        <f t="shared" si="11"/>
        <v>0.50499999999999989</v>
      </c>
      <c r="N204" s="22">
        <f t="shared" si="11"/>
        <v>0.48499999999999999</v>
      </c>
      <c r="O204" s="22">
        <f t="shared" si="11"/>
        <v>0.47250000000000003</v>
      </c>
      <c r="P204" s="22">
        <f t="shared" si="11"/>
        <v>0.45250000000000001</v>
      </c>
      <c r="Q204" s="22">
        <f t="shared" si="11"/>
        <v>0.41</v>
      </c>
      <c r="R204" s="22">
        <f t="shared" si="11"/>
        <v>0.36749999999999994</v>
      </c>
      <c r="S204" s="22">
        <f t="shared" si="11"/>
        <v>0.32499999999999996</v>
      </c>
      <c r="T204" s="22">
        <f t="shared" si="11"/>
        <v>0.28249999999999997</v>
      </c>
      <c r="U204" s="23"/>
    </row>
    <row r="205" spans="9:44">
      <c r="I205" s="5">
        <v>114</v>
      </c>
      <c r="J205" s="22">
        <f t="shared" ref="J205:T205" si="12">(J204+J206)/2</f>
        <v>0.63625000000000009</v>
      </c>
      <c r="K205" s="22">
        <f t="shared" si="12"/>
        <v>0.61625000000000008</v>
      </c>
      <c r="L205" s="22">
        <f t="shared" si="12"/>
        <v>0.60249999999999992</v>
      </c>
      <c r="M205" s="22">
        <f t="shared" si="12"/>
        <v>0.58249999999999991</v>
      </c>
      <c r="N205" s="22">
        <f t="shared" si="12"/>
        <v>0.5625</v>
      </c>
      <c r="O205" s="22">
        <f t="shared" si="12"/>
        <v>0.54875000000000007</v>
      </c>
      <c r="P205" s="22">
        <f t="shared" si="12"/>
        <v>0.52875000000000005</v>
      </c>
      <c r="Q205" s="22">
        <f t="shared" si="12"/>
        <v>0.49</v>
      </c>
      <c r="R205" s="22">
        <f t="shared" si="12"/>
        <v>0.45124999999999993</v>
      </c>
      <c r="S205" s="22">
        <f t="shared" si="12"/>
        <v>0.41249999999999998</v>
      </c>
      <c r="T205" s="22">
        <f t="shared" si="12"/>
        <v>0.37374999999999992</v>
      </c>
      <c r="U205" s="23"/>
    </row>
    <row r="206" spans="9:44">
      <c r="I206" s="5">
        <v>115</v>
      </c>
      <c r="J206" s="22">
        <f t="shared" ref="J206:T206" si="13">(J201+J211)/2</f>
        <v>0.71500000000000008</v>
      </c>
      <c r="K206" s="22">
        <f t="shared" si="13"/>
        <v>0.69500000000000006</v>
      </c>
      <c r="L206" s="22">
        <f t="shared" si="13"/>
        <v>0.67999999999999994</v>
      </c>
      <c r="M206" s="22">
        <f t="shared" si="13"/>
        <v>0.65999999999999992</v>
      </c>
      <c r="N206" s="22">
        <f t="shared" si="13"/>
        <v>0.64</v>
      </c>
      <c r="O206" s="22">
        <f t="shared" si="13"/>
        <v>0.625</v>
      </c>
      <c r="P206" s="22">
        <f t="shared" si="13"/>
        <v>0.60499999999999998</v>
      </c>
      <c r="Q206" s="22">
        <f t="shared" si="13"/>
        <v>0.56999999999999995</v>
      </c>
      <c r="R206" s="22">
        <f t="shared" si="13"/>
        <v>0.53499999999999992</v>
      </c>
      <c r="S206" s="22">
        <f t="shared" si="13"/>
        <v>0.49999999999999994</v>
      </c>
      <c r="T206" s="22">
        <f t="shared" si="13"/>
        <v>0.46499999999999991</v>
      </c>
      <c r="U206" s="23"/>
    </row>
    <row r="207" spans="9:44">
      <c r="I207" s="5">
        <v>116</v>
      </c>
      <c r="J207" s="22">
        <f t="shared" ref="J207:T207" si="14">(J206+J208)/2</f>
        <v>0.7740625000000001</v>
      </c>
      <c r="K207" s="22">
        <f t="shared" si="14"/>
        <v>0.75406250000000008</v>
      </c>
      <c r="L207" s="22">
        <f t="shared" si="14"/>
        <v>0.73812499999999992</v>
      </c>
      <c r="M207" s="22">
        <f t="shared" si="14"/>
        <v>0.7181249999999999</v>
      </c>
      <c r="N207" s="22">
        <f t="shared" si="14"/>
        <v>0.698125</v>
      </c>
      <c r="O207" s="22">
        <f t="shared" si="14"/>
        <v>0.68218749999999995</v>
      </c>
      <c r="P207" s="22">
        <f t="shared" si="14"/>
        <v>0.66218749999999993</v>
      </c>
      <c r="Q207" s="22">
        <f t="shared" si="14"/>
        <v>0.62999999999999989</v>
      </c>
      <c r="R207" s="22">
        <f t="shared" si="14"/>
        <v>0.59781249999999986</v>
      </c>
      <c r="S207" s="22">
        <f t="shared" si="14"/>
        <v>0.56562499999999993</v>
      </c>
      <c r="T207" s="22">
        <f t="shared" si="14"/>
        <v>0.5334374999999999</v>
      </c>
      <c r="U207" s="23"/>
    </row>
    <row r="208" spans="9:44">
      <c r="I208" s="5">
        <v>117</v>
      </c>
      <c r="J208" s="22">
        <f t="shared" ref="J208:T208" si="15">(J206+J210)/2</f>
        <v>0.83312500000000012</v>
      </c>
      <c r="K208" s="22">
        <f t="shared" si="15"/>
        <v>0.8131250000000001</v>
      </c>
      <c r="L208" s="22">
        <f t="shared" si="15"/>
        <v>0.7962499999999999</v>
      </c>
      <c r="M208" s="22">
        <f t="shared" si="15"/>
        <v>0.77624999999999988</v>
      </c>
      <c r="N208" s="22">
        <f t="shared" si="15"/>
        <v>0.75624999999999998</v>
      </c>
      <c r="O208" s="22">
        <f t="shared" si="15"/>
        <v>0.739375</v>
      </c>
      <c r="P208" s="22">
        <f t="shared" si="15"/>
        <v>0.71937499999999999</v>
      </c>
      <c r="Q208" s="22">
        <f t="shared" si="15"/>
        <v>0.69</v>
      </c>
      <c r="R208" s="22">
        <f t="shared" si="15"/>
        <v>0.66062499999999991</v>
      </c>
      <c r="S208" s="22">
        <f t="shared" si="15"/>
        <v>0.63124999999999998</v>
      </c>
      <c r="T208" s="22">
        <f t="shared" si="15"/>
        <v>0.60187499999999983</v>
      </c>
      <c r="U208" s="23"/>
    </row>
    <row r="209" spans="9:21">
      <c r="I209" s="5">
        <v>118</v>
      </c>
      <c r="J209" s="22">
        <f t="shared" ref="J209:T209" si="16">(J206+J211)/2</f>
        <v>0.87250000000000005</v>
      </c>
      <c r="K209" s="22">
        <f t="shared" si="16"/>
        <v>0.85250000000000004</v>
      </c>
      <c r="L209" s="22">
        <f t="shared" si="16"/>
        <v>0.83499999999999996</v>
      </c>
      <c r="M209" s="22">
        <f t="shared" si="16"/>
        <v>0.81499999999999995</v>
      </c>
      <c r="N209" s="22">
        <f t="shared" si="16"/>
        <v>0.79499999999999993</v>
      </c>
      <c r="O209" s="22">
        <f t="shared" si="16"/>
        <v>0.77749999999999997</v>
      </c>
      <c r="P209" s="22">
        <f t="shared" si="16"/>
        <v>0.75749999999999995</v>
      </c>
      <c r="Q209" s="22">
        <f t="shared" si="16"/>
        <v>0.73</v>
      </c>
      <c r="R209" s="22">
        <f t="shared" si="16"/>
        <v>0.7024999999999999</v>
      </c>
      <c r="S209" s="22">
        <f t="shared" si="16"/>
        <v>0.67499999999999993</v>
      </c>
      <c r="T209" s="22">
        <f t="shared" si="16"/>
        <v>0.64749999999999985</v>
      </c>
      <c r="U209" s="23"/>
    </row>
    <row r="210" spans="9:21">
      <c r="I210" s="5">
        <v>119</v>
      </c>
      <c r="J210" s="22">
        <f t="shared" ref="J210:T210" si="17">(J209+J211)/2</f>
        <v>0.95125000000000004</v>
      </c>
      <c r="K210" s="22">
        <f t="shared" si="17"/>
        <v>0.93125000000000002</v>
      </c>
      <c r="L210" s="22">
        <f t="shared" si="17"/>
        <v>0.91249999999999998</v>
      </c>
      <c r="M210" s="22">
        <f t="shared" si="17"/>
        <v>0.89249999999999996</v>
      </c>
      <c r="N210" s="22">
        <f t="shared" si="17"/>
        <v>0.87249999999999994</v>
      </c>
      <c r="O210" s="22">
        <f t="shared" si="17"/>
        <v>0.85375000000000001</v>
      </c>
      <c r="P210" s="22">
        <f t="shared" si="17"/>
        <v>0.83374999999999999</v>
      </c>
      <c r="Q210" s="22">
        <f t="shared" si="17"/>
        <v>0.80999999999999994</v>
      </c>
      <c r="R210" s="22">
        <f t="shared" si="17"/>
        <v>0.78624999999999989</v>
      </c>
      <c r="S210" s="22">
        <f t="shared" si="17"/>
        <v>0.76249999999999996</v>
      </c>
      <c r="T210" s="22">
        <f t="shared" si="17"/>
        <v>0.7387499999999998</v>
      </c>
      <c r="U210" s="23"/>
    </row>
    <row r="211" spans="9:21">
      <c r="I211" s="5">
        <v>120</v>
      </c>
      <c r="J211" s="21">
        <v>1.03</v>
      </c>
      <c r="K211" s="22">
        <f>J211-0.02</f>
        <v>1.01</v>
      </c>
      <c r="L211" s="22">
        <f t="shared" ref="L211:T211" si="18">K211-0.02</f>
        <v>0.99</v>
      </c>
      <c r="M211" s="22">
        <f t="shared" si="18"/>
        <v>0.97</v>
      </c>
      <c r="N211" s="22">
        <f t="shared" si="18"/>
        <v>0.95</v>
      </c>
      <c r="O211" s="22">
        <f t="shared" si="18"/>
        <v>0.92999999999999994</v>
      </c>
      <c r="P211" s="22">
        <f t="shared" si="18"/>
        <v>0.90999999999999992</v>
      </c>
      <c r="Q211" s="22">
        <f t="shared" si="18"/>
        <v>0.8899999999999999</v>
      </c>
      <c r="R211" s="22">
        <f t="shared" si="18"/>
        <v>0.86999999999999988</v>
      </c>
      <c r="S211" s="22">
        <f t="shared" si="18"/>
        <v>0.84999999999999987</v>
      </c>
      <c r="T211" s="22">
        <f t="shared" si="18"/>
        <v>0.82999999999999985</v>
      </c>
      <c r="U211" s="23"/>
    </row>
    <row r="212" spans="9:21">
      <c r="I212" s="5">
        <v>121</v>
      </c>
      <c r="J212" s="22">
        <f t="shared" ref="J212:T212" si="19">(J211+J214)/2</f>
        <v>1.1200000000000001</v>
      </c>
      <c r="K212" s="22">
        <f t="shared" si="19"/>
        <v>1.1000000000000001</v>
      </c>
      <c r="L212" s="22">
        <f t="shared" si="19"/>
        <v>1.08</v>
      </c>
      <c r="M212" s="22">
        <f t="shared" si="19"/>
        <v>1.06</v>
      </c>
      <c r="N212" s="22">
        <f t="shared" si="19"/>
        <v>1.04</v>
      </c>
      <c r="O212" s="22">
        <f t="shared" si="19"/>
        <v>1.02</v>
      </c>
      <c r="P212" s="22">
        <f t="shared" si="19"/>
        <v>0.99999999999999989</v>
      </c>
      <c r="Q212" s="22">
        <f t="shared" si="19"/>
        <v>0.97999999999999987</v>
      </c>
      <c r="R212" s="22">
        <f t="shared" si="19"/>
        <v>0.95999999999999985</v>
      </c>
      <c r="S212" s="22">
        <f t="shared" si="19"/>
        <v>0.93999999999999984</v>
      </c>
      <c r="T212" s="22">
        <f t="shared" si="19"/>
        <v>0.91999999999999982</v>
      </c>
      <c r="U212" s="23"/>
    </row>
    <row r="213" spans="9:21">
      <c r="I213" s="5">
        <v>122</v>
      </c>
      <c r="J213" s="22">
        <f t="shared" ref="J213:T213" si="20">(J212+J214)/2</f>
        <v>1.165</v>
      </c>
      <c r="K213" s="22">
        <f t="shared" si="20"/>
        <v>1.145</v>
      </c>
      <c r="L213" s="22">
        <f t="shared" si="20"/>
        <v>1.125</v>
      </c>
      <c r="M213" s="22">
        <f t="shared" si="20"/>
        <v>1.105</v>
      </c>
      <c r="N213" s="22">
        <f t="shared" si="20"/>
        <v>1.085</v>
      </c>
      <c r="O213" s="22">
        <f t="shared" si="20"/>
        <v>1.0649999999999999</v>
      </c>
      <c r="P213" s="22">
        <f t="shared" si="20"/>
        <v>1.0449999999999999</v>
      </c>
      <c r="Q213" s="22">
        <f t="shared" si="20"/>
        <v>1.0249999999999999</v>
      </c>
      <c r="R213" s="22">
        <f t="shared" si="20"/>
        <v>1.0049999999999999</v>
      </c>
      <c r="S213" s="22">
        <f t="shared" si="20"/>
        <v>0.98499999999999988</v>
      </c>
      <c r="T213" s="22">
        <f t="shared" si="20"/>
        <v>0.96499999999999986</v>
      </c>
      <c r="U213" s="23"/>
    </row>
    <row r="214" spans="9:21">
      <c r="I214" s="5">
        <v>123</v>
      </c>
      <c r="J214" s="22">
        <f t="shared" ref="J214:T214" si="21">(J211+J216)/2</f>
        <v>1.21</v>
      </c>
      <c r="K214" s="22">
        <f t="shared" si="21"/>
        <v>1.19</v>
      </c>
      <c r="L214" s="22">
        <f t="shared" si="21"/>
        <v>1.17</v>
      </c>
      <c r="M214" s="22">
        <f t="shared" si="21"/>
        <v>1.1499999999999999</v>
      </c>
      <c r="N214" s="22">
        <f t="shared" si="21"/>
        <v>1.1299999999999999</v>
      </c>
      <c r="O214" s="22">
        <f t="shared" si="21"/>
        <v>1.1099999999999999</v>
      </c>
      <c r="P214" s="22">
        <f t="shared" si="21"/>
        <v>1.0899999999999999</v>
      </c>
      <c r="Q214" s="22">
        <f t="shared" si="21"/>
        <v>1.0699999999999998</v>
      </c>
      <c r="R214" s="22">
        <f t="shared" si="21"/>
        <v>1.0499999999999998</v>
      </c>
      <c r="S214" s="22">
        <f t="shared" si="21"/>
        <v>1.0299999999999998</v>
      </c>
      <c r="T214" s="22">
        <f t="shared" si="21"/>
        <v>1.0099999999999998</v>
      </c>
      <c r="U214" s="23"/>
    </row>
    <row r="215" spans="9:21">
      <c r="I215" s="5">
        <v>124</v>
      </c>
      <c r="J215" s="22">
        <f t="shared" ref="J215:T215" si="22">(J214+J216)/2</f>
        <v>1.3</v>
      </c>
      <c r="K215" s="22">
        <f t="shared" si="22"/>
        <v>1.28</v>
      </c>
      <c r="L215" s="22">
        <f t="shared" si="22"/>
        <v>1.26</v>
      </c>
      <c r="M215" s="22">
        <f t="shared" si="22"/>
        <v>1.24</v>
      </c>
      <c r="N215" s="22">
        <f t="shared" si="22"/>
        <v>1.22</v>
      </c>
      <c r="O215" s="22">
        <f t="shared" si="22"/>
        <v>1.2</v>
      </c>
      <c r="P215" s="22">
        <f t="shared" si="22"/>
        <v>1.18</v>
      </c>
      <c r="Q215" s="22">
        <f t="shared" si="22"/>
        <v>1.1599999999999999</v>
      </c>
      <c r="R215" s="22">
        <f t="shared" si="22"/>
        <v>1.1399999999999999</v>
      </c>
      <c r="S215" s="22">
        <f t="shared" si="22"/>
        <v>1.1199999999999999</v>
      </c>
      <c r="T215" s="22">
        <f t="shared" si="22"/>
        <v>1.0999999999999999</v>
      </c>
      <c r="U215" s="23"/>
    </row>
    <row r="216" spans="9:21">
      <c r="I216" s="5">
        <v>125</v>
      </c>
      <c r="J216" s="22">
        <f t="shared" ref="J216:T216" si="23">(J211+J221)/2</f>
        <v>1.3900000000000001</v>
      </c>
      <c r="K216" s="22">
        <f t="shared" si="23"/>
        <v>1.37</v>
      </c>
      <c r="L216" s="22">
        <f t="shared" si="23"/>
        <v>1.35</v>
      </c>
      <c r="M216" s="22">
        <f t="shared" si="23"/>
        <v>1.33</v>
      </c>
      <c r="N216" s="22">
        <f t="shared" si="23"/>
        <v>1.31</v>
      </c>
      <c r="O216" s="22">
        <f t="shared" si="23"/>
        <v>1.29</v>
      </c>
      <c r="P216" s="22">
        <f t="shared" si="23"/>
        <v>1.27</v>
      </c>
      <c r="Q216" s="22">
        <f t="shared" si="23"/>
        <v>1.25</v>
      </c>
      <c r="R216" s="22">
        <f t="shared" si="23"/>
        <v>1.23</v>
      </c>
      <c r="S216" s="22">
        <f t="shared" si="23"/>
        <v>1.21</v>
      </c>
      <c r="T216" s="22">
        <f t="shared" si="23"/>
        <v>1.19</v>
      </c>
      <c r="U216" s="23"/>
    </row>
    <row r="217" spans="9:21">
      <c r="I217" s="5">
        <v>126</v>
      </c>
      <c r="J217" s="22">
        <f t="shared" ref="J217:T217" si="24">(J216+J218)/2</f>
        <v>1.4575</v>
      </c>
      <c r="K217" s="22">
        <f t="shared" si="24"/>
        <v>1.4375</v>
      </c>
      <c r="L217" s="22">
        <f t="shared" si="24"/>
        <v>1.4175</v>
      </c>
      <c r="M217" s="22">
        <f t="shared" si="24"/>
        <v>1.3975</v>
      </c>
      <c r="N217" s="22">
        <f t="shared" si="24"/>
        <v>1.3774999999999999</v>
      </c>
      <c r="O217" s="22">
        <f t="shared" si="24"/>
        <v>1.3574999999999999</v>
      </c>
      <c r="P217" s="22">
        <f t="shared" si="24"/>
        <v>1.3374999999999999</v>
      </c>
      <c r="Q217" s="22">
        <f t="shared" si="24"/>
        <v>1.3174999999999999</v>
      </c>
      <c r="R217" s="22">
        <f t="shared" si="24"/>
        <v>1.2974999999999999</v>
      </c>
      <c r="S217" s="22">
        <f t="shared" si="24"/>
        <v>1.2774999999999999</v>
      </c>
      <c r="T217" s="22">
        <f t="shared" si="24"/>
        <v>1.2574999999999998</v>
      </c>
      <c r="U217" s="23"/>
    </row>
    <row r="218" spans="9:21">
      <c r="I218" s="5">
        <v>127</v>
      </c>
      <c r="J218" s="22">
        <f t="shared" ref="J218:T218" si="25">(J216+J220)/2</f>
        <v>1.5250000000000001</v>
      </c>
      <c r="K218" s="22">
        <f t="shared" si="25"/>
        <v>1.5050000000000001</v>
      </c>
      <c r="L218" s="22">
        <f t="shared" si="25"/>
        <v>1.4850000000000001</v>
      </c>
      <c r="M218" s="22">
        <f t="shared" si="25"/>
        <v>1.4650000000000001</v>
      </c>
      <c r="N218" s="22">
        <f t="shared" si="25"/>
        <v>1.4450000000000001</v>
      </c>
      <c r="O218" s="22">
        <f t="shared" si="25"/>
        <v>1.425</v>
      </c>
      <c r="P218" s="22">
        <f t="shared" si="25"/>
        <v>1.405</v>
      </c>
      <c r="Q218" s="22">
        <f t="shared" si="25"/>
        <v>1.385</v>
      </c>
      <c r="R218" s="22">
        <f t="shared" si="25"/>
        <v>1.365</v>
      </c>
      <c r="S218" s="22">
        <f t="shared" si="25"/>
        <v>1.345</v>
      </c>
      <c r="T218" s="22">
        <f t="shared" si="25"/>
        <v>1.325</v>
      </c>
      <c r="U218" s="23"/>
    </row>
    <row r="219" spans="9:21">
      <c r="I219" s="5">
        <v>128</v>
      </c>
      <c r="J219" s="22">
        <f t="shared" ref="J219:T219" si="26">(J216+J221)/2</f>
        <v>1.57</v>
      </c>
      <c r="K219" s="22">
        <f t="shared" si="26"/>
        <v>1.55</v>
      </c>
      <c r="L219" s="22">
        <f t="shared" si="26"/>
        <v>1.53</v>
      </c>
      <c r="M219" s="22">
        <f t="shared" si="26"/>
        <v>1.51</v>
      </c>
      <c r="N219" s="22">
        <f t="shared" si="26"/>
        <v>1.49</v>
      </c>
      <c r="O219" s="22">
        <f t="shared" si="26"/>
        <v>1.47</v>
      </c>
      <c r="P219" s="22">
        <f t="shared" si="26"/>
        <v>1.45</v>
      </c>
      <c r="Q219" s="22">
        <f t="shared" si="26"/>
        <v>1.43</v>
      </c>
      <c r="R219" s="22">
        <f t="shared" si="26"/>
        <v>1.41</v>
      </c>
      <c r="S219" s="22">
        <f t="shared" si="26"/>
        <v>1.39</v>
      </c>
      <c r="T219" s="22">
        <f t="shared" si="26"/>
        <v>1.3699999999999999</v>
      </c>
      <c r="U219" s="23"/>
    </row>
    <row r="220" spans="9:21">
      <c r="I220" s="5">
        <v>129</v>
      </c>
      <c r="J220" s="22">
        <f t="shared" ref="J220:T220" si="27">(J219+J221)/2</f>
        <v>1.6600000000000001</v>
      </c>
      <c r="K220" s="22">
        <f t="shared" si="27"/>
        <v>1.6400000000000001</v>
      </c>
      <c r="L220" s="22">
        <f t="shared" si="27"/>
        <v>1.62</v>
      </c>
      <c r="M220" s="22">
        <f t="shared" si="27"/>
        <v>1.6</v>
      </c>
      <c r="N220" s="22">
        <f t="shared" si="27"/>
        <v>1.58</v>
      </c>
      <c r="O220" s="22">
        <f t="shared" si="27"/>
        <v>1.56</v>
      </c>
      <c r="P220" s="22">
        <f t="shared" si="27"/>
        <v>1.54</v>
      </c>
      <c r="Q220" s="22">
        <f t="shared" si="27"/>
        <v>1.52</v>
      </c>
      <c r="R220" s="22">
        <f t="shared" si="27"/>
        <v>1.5</v>
      </c>
      <c r="S220" s="22">
        <f t="shared" si="27"/>
        <v>1.48</v>
      </c>
      <c r="T220" s="22">
        <f t="shared" si="27"/>
        <v>1.46</v>
      </c>
      <c r="U220" s="23"/>
    </row>
    <row r="221" spans="9:21">
      <c r="I221" s="5">
        <v>130</v>
      </c>
      <c r="J221" s="21">
        <v>1.75</v>
      </c>
      <c r="K221" s="22">
        <f>J221-0.02</f>
        <v>1.73</v>
      </c>
      <c r="L221" s="22">
        <f t="shared" ref="L221:T221" si="28">K221-0.02</f>
        <v>1.71</v>
      </c>
      <c r="M221" s="22">
        <f t="shared" si="28"/>
        <v>1.69</v>
      </c>
      <c r="N221" s="22">
        <f t="shared" si="28"/>
        <v>1.67</v>
      </c>
      <c r="O221" s="22">
        <f t="shared" si="28"/>
        <v>1.65</v>
      </c>
      <c r="P221" s="22">
        <f t="shared" si="28"/>
        <v>1.63</v>
      </c>
      <c r="Q221" s="22">
        <f t="shared" si="28"/>
        <v>1.6099999999999999</v>
      </c>
      <c r="R221" s="22">
        <f t="shared" si="28"/>
        <v>1.5899999999999999</v>
      </c>
      <c r="S221" s="22">
        <f t="shared" si="28"/>
        <v>1.5699999999999998</v>
      </c>
      <c r="T221" s="22">
        <f t="shared" si="28"/>
        <v>1.5499999999999998</v>
      </c>
      <c r="U221" s="23"/>
    </row>
    <row r="222" spans="9:21">
      <c r="I222" s="5">
        <v>131</v>
      </c>
      <c r="J222" s="22">
        <f t="shared" ref="J222:T222" si="29">(J221+J224)/2</f>
        <v>1.8674999999999999</v>
      </c>
      <c r="K222" s="22">
        <f t="shared" si="29"/>
        <v>1.8475000000000001</v>
      </c>
      <c r="L222" s="22">
        <f t="shared" si="29"/>
        <v>1.8274999999999999</v>
      </c>
      <c r="M222" s="22">
        <f t="shared" si="29"/>
        <v>1.8075000000000001</v>
      </c>
      <c r="N222" s="22">
        <f t="shared" si="29"/>
        <v>1.7874999999999999</v>
      </c>
      <c r="O222" s="22">
        <f t="shared" si="29"/>
        <v>1.7675000000000001</v>
      </c>
      <c r="P222" s="22">
        <f t="shared" si="29"/>
        <v>1.7474999999999998</v>
      </c>
      <c r="Q222" s="22">
        <f t="shared" si="29"/>
        <v>1.7275</v>
      </c>
      <c r="R222" s="22">
        <f t="shared" si="29"/>
        <v>1.7074999999999998</v>
      </c>
      <c r="S222" s="22">
        <f t="shared" si="29"/>
        <v>1.6875</v>
      </c>
      <c r="T222" s="22">
        <f t="shared" si="29"/>
        <v>1.6674999999999998</v>
      </c>
      <c r="U222" s="23"/>
    </row>
    <row r="223" spans="9:21">
      <c r="I223" s="5">
        <v>132</v>
      </c>
      <c r="J223" s="22">
        <f t="shared" ref="J223:T223" si="30">(J222+J224)/2</f>
        <v>1.92625</v>
      </c>
      <c r="K223" s="22">
        <f t="shared" si="30"/>
        <v>1.90625</v>
      </c>
      <c r="L223" s="22">
        <f t="shared" si="30"/>
        <v>1.88625</v>
      </c>
      <c r="M223" s="22">
        <f t="shared" si="30"/>
        <v>1.86625</v>
      </c>
      <c r="N223" s="22">
        <f t="shared" si="30"/>
        <v>1.8462499999999999</v>
      </c>
      <c r="O223" s="22">
        <f t="shared" si="30"/>
        <v>1.8262499999999999</v>
      </c>
      <c r="P223" s="22">
        <f t="shared" si="30"/>
        <v>1.8062499999999999</v>
      </c>
      <c r="Q223" s="22">
        <f t="shared" si="30"/>
        <v>1.7862499999999999</v>
      </c>
      <c r="R223" s="22">
        <f t="shared" si="30"/>
        <v>1.7662499999999999</v>
      </c>
      <c r="S223" s="22">
        <f t="shared" si="30"/>
        <v>1.7462499999999999</v>
      </c>
      <c r="T223" s="22">
        <f t="shared" si="30"/>
        <v>1.7262499999999998</v>
      </c>
      <c r="U223" s="23"/>
    </row>
    <row r="224" spans="9:21">
      <c r="I224" s="5">
        <v>133</v>
      </c>
      <c r="J224" s="22">
        <f t="shared" ref="J224:T224" si="31">(J221+J226)/2</f>
        <v>1.9849999999999999</v>
      </c>
      <c r="K224" s="22">
        <f t="shared" si="31"/>
        <v>1.9650000000000001</v>
      </c>
      <c r="L224" s="22">
        <f t="shared" si="31"/>
        <v>1.9449999999999998</v>
      </c>
      <c r="M224" s="22">
        <f t="shared" si="31"/>
        <v>1.925</v>
      </c>
      <c r="N224" s="22">
        <f t="shared" si="31"/>
        <v>1.9049999999999998</v>
      </c>
      <c r="O224" s="22">
        <f t="shared" si="31"/>
        <v>1.885</v>
      </c>
      <c r="P224" s="22">
        <f t="shared" si="31"/>
        <v>1.8649999999999998</v>
      </c>
      <c r="Q224" s="22">
        <f t="shared" si="31"/>
        <v>1.845</v>
      </c>
      <c r="R224" s="22">
        <f t="shared" si="31"/>
        <v>1.8249999999999997</v>
      </c>
      <c r="S224" s="22">
        <f t="shared" si="31"/>
        <v>1.8049999999999999</v>
      </c>
      <c r="T224" s="22">
        <f t="shared" si="31"/>
        <v>1.7849999999999997</v>
      </c>
      <c r="U224" s="23"/>
    </row>
    <row r="225" spans="9:21">
      <c r="I225" s="5">
        <v>134</v>
      </c>
      <c r="J225" s="22">
        <f t="shared" ref="J225:T225" si="32">(J224+J226)/2</f>
        <v>2.1025</v>
      </c>
      <c r="K225" s="22">
        <f t="shared" si="32"/>
        <v>2.0825</v>
      </c>
      <c r="L225" s="22">
        <f t="shared" si="32"/>
        <v>2.0625</v>
      </c>
      <c r="M225" s="22">
        <f t="shared" si="32"/>
        <v>2.0425</v>
      </c>
      <c r="N225" s="22">
        <f t="shared" si="32"/>
        <v>2.0225</v>
      </c>
      <c r="O225" s="22">
        <f t="shared" si="32"/>
        <v>2.0024999999999999</v>
      </c>
      <c r="P225" s="22">
        <f t="shared" si="32"/>
        <v>1.9824999999999997</v>
      </c>
      <c r="Q225" s="22">
        <f t="shared" si="32"/>
        <v>1.9624999999999999</v>
      </c>
      <c r="R225" s="22">
        <f t="shared" si="32"/>
        <v>1.9424999999999997</v>
      </c>
      <c r="S225" s="22">
        <f t="shared" si="32"/>
        <v>1.9224999999999999</v>
      </c>
      <c r="T225" s="22">
        <f t="shared" si="32"/>
        <v>1.9024999999999996</v>
      </c>
      <c r="U225" s="23"/>
    </row>
    <row r="226" spans="9:21">
      <c r="I226" s="5">
        <v>135</v>
      </c>
      <c r="J226" s="22">
        <f t="shared" ref="J226:T226" si="33">(J221+J231)/2</f>
        <v>2.2199999999999998</v>
      </c>
      <c r="K226" s="22">
        <f t="shared" si="33"/>
        <v>2.2000000000000002</v>
      </c>
      <c r="L226" s="22">
        <f t="shared" si="33"/>
        <v>2.1799999999999997</v>
      </c>
      <c r="M226" s="22">
        <f t="shared" si="33"/>
        <v>2.16</v>
      </c>
      <c r="N226" s="22">
        <f t="shared" si="33"/>
        <v>2.1399999999999997</v>
      </c>
      <c r="O226" s="22">
        <f t="shared" si="33"/>
        <v>2.12</v>
      </c>
      <c r="P226" s="22">
        <f t="shared" si="33"/>
        <v>2.0999999999999996</v>
      </c>
      <c r="Q226" s="22">
        <f t="shared" si="33"/>
        <v>2.08</v>
      </c>
      <c r="R226" s="22">
        <f t="shared" si="33"/>
        <v>2.0599999999999996</v>
      </c>
      <c r="S226" s="22">
        <f t="shared" si="33"/>
        <v>2.04</v>
      </c>
      <c r="T226" s="22">
        <f t="shared" si="33"/>
        <v>2.0199999999999996</v>
      </c>
      <c r="U226" s="23"/>
    </row>
    <row r="227" spans="9:21">
      <c r="I227" s="5">
        <v>136</v>
      </c>
      <c r="J227" s="22">
        <f t="shared" ref="J227:T227" si="34">(J226+J228)/2</f>
        <v>2.3081249999999995</v>
      </c>
      <c r="K227" s="22">
        <f t="shared" si="34"/>
        <v>2.288125</v>
      </c>
      <c r="L227" s="22">
        <f t="shared" si="34"/>
        <v>2.2681249999999995</v>
      </c>
      <c r="M227" s="22">
        <f t="shared" si="34"/>
        <v>2.2481249999999999</v>
      </c>
      <c r="N227" s="22">
        <f t="shared" si="34"/>
        <v>2.2281249999999995</v>
      </c>
      <c r="O227" s="22">
        <f t="shared" si="34"/>
        <v>2.2081249999999999</v>
      </c>
      <c r="P227" s="22">
        <f t="shared" si="34"/>
        <v>2.1881249999999994</v>
      </c>
      <c r="Q227" s="22">
        <f t="shared" si="34"/>
        <v>2.1681249999999999</v>
      </c>
      <c r="R227" s="22">
        <f t="shared" si="34"/>
        <v>2.1481249999999994</v>
      </c>
      <c r="S227" s="22">
        <f t="shared" si="34"/>
        <v>2.1281249999999998</v>
      </c>
      <c r="T227" s="22">
        <f t="shared" si="34"/>
        <v>2.1081249999999994</v>
      </c>
      <c r="U227" s="23"/>
    </row>
    <row r="228" spans="9:21">
      <c r="I228" s="5">
        <v>137</v>
      </c>
      <c r="J228" s="22">
        <f t="shared" ref="J228:T228" si="35">(J226+J230)/2</f>
        <v>2.3962499999999998</v>
      </c>
      <c r="K228" s="22">
        <f t="shared" si="35"/>
        <v>2.3762500000000002</v>
      </c>
      <c r="L228" s="22">
        <f t="shared" si="35"/>
        <v>2.3562499999999997</v>
      </c>
      <c r="M228" s="22">
        <f t="shared" si="35"/>
        <v>2.3362500000000002</v>
      </c>
      <c r="N228" s="22">
        <f t="shared" si="35"/>
        <v>2.3162499999999997</v>
      </c>
      <c r="O228" s="22">
        <f t="shared" si="35"/>
        <v>2.2962500000000001</v>
      </c>
      <c r="P228" s="22">
        <f t="shared" si="35"/>
        <v>2.2762499999999997</v>
      </c>
      <c r="Q228" s="22">
        <f t="shared" si="35"/>
        <v>2.2562500000000001</v>
      </c>
      <c r="R228" s="22">
        <f t="shared" si="35"/>
        <v>2.2362499999999996</v>
      </c>
      <c r="S228" s="22">
        <f t="shared" si="35"/>
        <v>2.2162500000000001</v>
      </c>
      <c r="T228" s="22">
        <f t="shared" si="35"/>
        <v>2.1962499999999996</v>
      </c>
      <c r="U228" s="23"/>
    </row>
    <row r="229" spans="9:21">
      <c r="I229" s="5">
        <v>138</v>
      </c>
      <c r="J229" s="22">
        <f t="shared" ref="J229:T229" si="36">(J226+J231)/2</f>
        <v>2.4550000000000001</v>
      </c>
      <c r="K229" s="22">
        <f t="shared" si="36"/>
        <v>2.4350000000000001</v>
      </c>
      <c r="L229" s="22">
        <f t="shared" si="36"/>
        <v>2.415</v>
      </c>
      <c r="M229" s="22">
        <f t="shared" si="36"/>
        <v>2.395</v>
      </c>
      <c r="N229" s="22">
        <f t="shared" si="36"/>
        <v>2.375</v>
      </c>
      <c r="O229" s="22">
        <f t="shared" si="36"/>
        <v>2.355</v>
      </c>
      <c r="P229" s="22">
        <f t="shared" si="36"/>
        <v>2.335</v>
      </c>
      <c r="Q229" s="22">
        <f t="shared" si="36"/>
        <v>2.3149999999999999</v>
      </c>
      <c r="R229" s="22">
        <f t="shared" si="36"/>
        <v>2.2949999999999999</v>
      </c>
      <c r="S229" s="22">
        <f t="shared" si="36"/>
        <v>2.2749999999999999</v>
      </c>
      <c r="T229" s="22">
        <f t="shared" si="36"/>
        <v>2.2549999999999999</v>
      </c>
      <c r="U229" s="23"/>
    </row>
    <row r="230" spans="9:21">
      <c r="I230" s="5">
        <v>139</v>
      </c>
      <c r="J230" s="22">
        <f t="shared" ref="J230:T230" si="37">(J229+J231)/2</f>
        <v>2.5724999999999998</v>
      </c>
      <c r="K230" s="22">
        <f t="shared" si="37"/>
        <v>2.5525000000000002</v>
      </c>
      <c r="L230" s="22">
        <f t="shared" si="37"/>
        <v>2.5324999999999998</v>
      </c>
      <c r="M230" s="22">
        <f t="shared" si="37"/>
        <v>2.5125000000000002</v>
      </c>
      <c r="N230" s="22">
        <f t="shared" si="37"/>
        <v>2.4924999999999997</v>
      </c>
      <c r="O230" s="22">
        <f t="shared" si="37"/>
        <v>2.4725000000000001</v>
      </c>
      <c r="P230" s="22">
        <f t="shared" si="37"/>
        <v>2.4524999999999997</v>
      </c>
      <c r="Q230" s="22">
        <f t="shared" si="37"/>
        <v>2.4325000000000001</v>
      </c>
      <c r="R230" s="22">
        <f t="shared" si="37"/>
        <v>2.4124999999999996</v>
      </c>
      <c r="S230" s="22">
        <f t="shared" si="37"/>
        <v>2.3925000000000001</v>
      </c>
      <c r="T230" s="22">
        <f t="shared" si="37"/>
        <v>2.3724999999999996</v>
      </c>
      <c r="U230" s="23"/>
    </row>
    <row r="231" spans="9:21">
      <c r="I231" s="5">
        <v>140</v>
      </c>
      <c r="J231" s="21">
        <v>2.69</v>
      </c>
      <c r="K231" s="22">
        <f>J231-0.02</f>
        <v>2.67</v>
      </c>
      <c r="L231" s="22">
        <f t="shared" ref="L231:T231" si="38">K231-0.02</f>
        <v>2.65</v>
      </c>
      <c r="M231" s="22">
        <f t="shared" si="38"/>
        <v>2.63</v>
      </c>
      <c r="N231" s="22">
        <f t="shared" si="38"/>
        <v>2.61</v>
      </c>
      <c r="O231" s="22">
        <f t="shared" si="38"/>
        <v>2.59</v>
      </c>
      <c r="P231" s="22">
        <f t="shared" si="38"/>
        <v>2.57</v>
      </c>
      <c r="Q231" s="22">
        <f t="shared" si="38"/>
        <v>2.5499999999999998</v>
      </c>
      <c r="R231" s="22">
        <f t="shared" si="38"/>
        <v>2.5299999999999998</v>
      </c>
      <c r="S231" s="22">
        <f t="shared" si="38"/>
        <v>2.5099999999999998</v>
      </c>
      <c r="T231" s="22">
        <f t="shared" si="38"/>
        <v>2.4899999999999998</v>
      </c>
      <c r="U231" s="23"/>
    </row>
    <row r="232" spans="9:21">
      <c r="I232" s="5">
        <v>141</v>
      </c>
      <c r="J232" s="22">
        <f t="shared" ref="J232:T232" si="39">(J231+J234)/2</f>
        <v>2.835</v>
      </c>
      <c r="K232" s="22">
        <f t="shared" si="39"/>
        <v>2.8149999999999999</v>
      </c>
      <c r="L232" s="22">
        <f t="shared" si="39"/>
        <v>2.7949999999999999</v>
      </c>
      <c r="M232" s="22">
        <f t="shared" si="39"/>
        <v>2.7749999999999999</v>
      </c>
      <c r="N232" s="22">
        <f t="shared" si="39"/>
        <v>2.7549999999999999</v>
      </c>
      <c r="O232" s="22">
        <f t="shared" si="39"/>
        <v>2.7349999999999999</v>
      </c>
      <c r="P232" s="22">
        <f t="shared" si="39"/>
        <v>2.7149999999999999</v>
      </c>
      <c r="Q232" s="22">
        <f t="shared" si="39"/>
        <v>2.6949999999999998</v>
      </c>
      <c r="R232" s="22">
        <f t="shared" si="39"/>
        <v>2.6749999999999998</v>
      </c>
      <c r="S232" s="22">
        <f t="shared" si="39"/>
        <v>2.6549999999999998</v>
      </c>
      <c r="T232" s="22">
        <f t="shared" si="39"/>
        <v>2.6349999999999998</v>
      </c>
      <c r="U232" s="23"/>
    </row>
    <row r="233" spans="9:21">
      <c r="I233" s="5">
        <v>142</v>
      </c>
      <c r="J233" s="22">
        <f t="shared" ref="J233:T233" si="40">(J232+J234)/2</f>
        <v>2.9074999999999998</v>
      </c>
      <c r="K233" s="22">
        <f t="shared" si="40"/>
        <v>2.8875000000000002</v>
      </c>
      <c r="L233" s="22">
        <f t="shared" si="40"/>
        <v>2.8674999999999997</v>
      </c>
      <c r="M233" s="22">
        <f t="shared" si="40"/>
        <v>2.8475000000000001</v>
      </c>
      <c r="N233" s="22">
        <f t="shared" si="40"/>
        <v>2.8274999999999997</v>
      </c>
      <c r="O233" s="22">
        <f t="shared" si="40"/>
        <v>2.8075000000000001</v>
      </c>
      <c r="P233" s="22">
        <f t="shared" si="40"/>
        <v>2.7874999999999996</v>
      </c>
      <c r="Q233" s="22">
        <f t="shared" si="40"/>
        <v>2.7675000000000001</v>
      </c>
      <c r="R233" s="22">
        <f t="shared" si="40"/>
        <v>2.7474999999999996</v>
      </c>
      <c r="S233" s="22">
        <f t="shared" si="40"/>
        <v>2.7275</v>
      </c>
      <c r="T233" s="22">
        <f t="shared" si="40"/>
        <v>2.7074999999999996</v>
      </c>
      <c r="U233" s="23"/>
    </row>
    <row r="234" spans="9:21">
      <c r="I234" s="5">
        <v>143</v>
      </c>
      <c r="J234" s="22">
        <f t="shared" ref="J234:T234" si="41">(J231+J236)/2</f>
        <v>2.98</v>
      </c>
      <c r="K234" s="22">
        <f t="shared" si="41"/>
        <v>2.96</v>
      </c>
      <c r="L234" s="22">
        <f t="shared" si="41"/>
        <v>2.94</v>
      </c>
      <c r="M234" s="22">
        <f t="shared" si="41"/>
        <v>2.92</v>
      </c>
      <c r="N234" s="22">
        <f t="shared" si="41"/>
        <v>2.9</v>
      </c>
      <c r="O234" s="22">
        <f t="shared" si="41"/>
        <v>2.88</v>
      </c>
      <c r="P234" s="22">
        <f t="shared" si="41"/>
        <v>2.86</v>
      </c>
      <c r="Q234" s="22">
        <f t="shared" si="41"/>
        <v>2.84</v>
      </c>
      <c r="R234" s="22">
        <f t="shared" si="41"/>
        <v>2.82</v>
      </c>
      <c r="S234" s="22">
        <f t="shared" si="41"/>
        <v>2.8</v>
      </c>
      <c r="T234" s="22">
        <f t="shared" si="41"/>
        <v>2.78</v>
      </c>
      <c r="U234" s="23"/>
    </row>
    <row r="235" spans="9:21">
      <c r="I235" s="5">
        <v>144</v>
      </c>
      <c r="J235" s="22">
        <f t="shared" ref="J235:T235" si="42">(J234+J236)/2</f>
        <v>3.125</v>
      </c>
      <c r="K235" s="22">
        <f t="shared" si="42"/>
        <v>3.105</v>
      </c>
      <c r="L235" s="22">
        <f t="shared" si="42"/>
        <v>3.085</v>
      </c>
      <c r="M235" s="22">
        <f t="shared" si="42"/>
        <v>3.0649999999999999</v>
      </c>
      <c r="N235" s="22">
        <f t="shared" si="42"/>
        <v>3.0449999999999999</v>
      </c>
      <c r="O235" s="22">
        <f t="shared" si="42"/>
        <v>3.0249999999999999</v>
      </c>
      <c r="P235" s="22">
        <f t="shared" si="42"/>
        <v>3.0049999999999999</v>
      </c>
      <c r="Q235" s="22">
        <f t="shared" si="42"/>
        <v>2.9849999999999999</v>
      </c>
      <c r="R235" s="22">
        <f t="shared" si="42"/>
        <v>2.9649999999999999</v>
      </c>
      <c r="S235" s="22">
        <f t="shared" si="42"/>
        <v>2.9449999999999998</v>
      </c>
      <c r="T235" s="22">
        <f t="shared" si="42"/>
        <v>2.9249999999999998</v>
      </c>
      <c r="U235" s="23"/>
    </row>
    <row r="236" spans="9:21">
      <c r="I236" s="5">
        <v>145</v>
      </c>
      <c r="J236" s="22">
        <f t="shared" ref="J236:T236" si="43">(J231+J241)/2</f>
        <v>3.27</v>
      </c>
      <c r="K236" s="22">
        <f t="shared" si="43"/>
        <v>3.25</v>
      </c>
      <c r="L236" s="22">
        <f t="shared" si="43"/>
        <v>3.23</v>
      </c>
      <c r="M236" s="22">
        <f t="shared" si="43"/>
        <v>3.21</v>
      </c>
      <c r="N236" s="22">
        <f t="shared" si="43"/>
        <v>3.19</v>
      </c>
      <c r="O236" s="22">
        <f t="shared" si="43"/>
        <v>3.17</v>
      </c>
      <c r="P236" s="22">
        <f t="shared" si="43"/>
        <v>3.15</v>
      </c>
      <c r="Q236" s="22">
        <f t="shared" si="43"/>
        <v>3.13</v>
      </c>
      <c r="R236" s="22">
        <f t="shared" si="43"/>
        <v>3.11</v>
      </c>
      <c r="S236" s="22">
        <f t="shared" si="43"/>
        <v>3.09</v>
      </c>
      <c r="T236" s="22">
        <f t="shared" si="43"/>
        <v>3.07</v>
      </c>
      <c r="U236" s="23"/>
    </row>
    <row r="237" spans="9:21">
      <c r="I237" s="5">
        <v>146</v>
      </c>
      <c r="J237" s="22">
        <f t="shared" ref="J237:T237" si="44">(J236+J238)/2</f>
        <v>3.3787500000000001</v>
      </c>
      <c r="K237" s="22">
        <f t="shared" si="44"/>
        <v>3.3587500000000001</v>
      </c>
      <c r="L237" s="22">
        <f t="shared" si="44"/>
        <v>3.3387500000000001</v>
      </c>
      <c r="M237" s="22">
        <f t="shared" si="44"/>
        <v>3.3187500000000001</v>
      </c>
      <c r="N237" s="22">
        <f t="shared" si="44"/>
        <v>3.2987500000000001</v>
      </c>
      <c r="O237" s="22">
        <f t="shared" si="44"/>
        <v>3.2787500000000001</v>
      </c>
      <c r="P237" s="22">
        <f t="shared" si="44"/>
        <v>3.25875</v>
      </c>
      <c r="Q237" s="22">
        <f t="shared" si="44"/>
        <v>3.23875</v>
      </c>
      <c r="R237" s="22">
        <f t="shared" si="44"/>
        <v>3.21875</v>
      </c>
      <c r="S237" s="22">
        <f t="shared" si="44"/>
        <v>3.19875</v>
      </c>
      <c r="T237" s="22">
        <f t="shared" si="44"/>
        <v>3.17875</v>
      </c>
      <c r="U237" s="23"/>
    </row>
    <row r="238" spans="9:21">
      <c r="I238" s="5">
        <v>147</v>
      </c>
      <c r="J238" s="22">
        <f t="shared" ref="J238:T238" si="45">(J236+J240)/2</f>
        <v>3.4874999999999998</v>
      </c>
      <c r="K238" s="22">
        <f t="shared" si="45"/>
        <v>3.4675000000000002</v>
      </c>
      <c r="L238" s="22">
        <f t="shared" si="45"/>
        <v>3.4474999999999998</v>
      </c>
      <c r="M238" s="22">
        <f t="shared" si="45"/>
        <v>3.4275000000000002</v>
      </c>
      <c r="N238" s="22">
        <f t="shared" si="45"/>
        <v>3.4074999999999998</v>
      </c>
      <c r="O238" s="22">
        <f t="shared" si="45"/>
        <v>3.3875000000000002</v>
      </c>
      <c r="P238" s="22">
        <f t="shared" si="45"/>
        <v>3.3674999999999997</v>
      </c>
      <c r="Q238" s="22">
        <f t="shared" si="45"/>
        <v>3.3475000000000001</v>
      </c>
      <c r="R238" s="22">
        <f t="shared" si="45"/>
        <v>3.3274999999999997</v>
      </c>
      <c r="S238" s="22">
        <f t="shared" si="45"/>
        <v>3.3075000000000001</v>
      </c>
      <c r="T238" s="22">
        <f t="shared" si="45"/>
        <v>3.2874999999999996</v>
      </c>
      <c r="U238" s="23"/>
    </row>
    <row r="239" spans="9:21">
      <c r="I239" s="5">
        <v>148</v>
      </c>
      <c r="J239" s="22">
        <f t="shared" ref="J239:T239" si="46">(J236+J241)/2</f>
        <v>3.56</v>
      </c>
      <c r="K239" s="22">
        <f t="shared" si="46"/>
        <v>3.54</v>
      </c>
      <c r="L239" s="22">
        <f t="shared" si="46"/>
        <v>3.52</v>
      </c>
      <c r="M239" s="22">
        <f t="shared" si="46"/>
        <v>3.5</v>
      </c>
      <c r="N239" s="22">
        <f t="shared" si="46"/>
        <v>3.48</v>
      </c>
      <c r="O239" s="22">
        <f t="shared" si="46"/>
        <v>3.46</v>
      </c>
      <c r="P239" s="22">
        <f t="shared" si="46"/>
        <v>3.44</v>
      </c>
      <c r="Q239" s="22">
        <f t="shared" si="46"/>
        <v>3.42</v>
      </c>
      <c r="R239" s="22">
        <f t="shared" si="46"/>
        <v>3.4</v>
      </c>
      <c r="S239" s="22">
        <f t="shared" si="46"/>
        <v>3.38</v>
      </c>
      <c r="T239" s="22">
        <f t="shared" si="46"/>
        <v>3.36</v>
      </c>
      <c r="U239" s="23"/>
    </row>
    <row r="240" spans="9:21">
      <c r="I240" s="5">
        <v>149</v>
      </c>
      <c r="J240" s="22">
        <f t="shared" ref="J240:T240" si="47">(J239+J241)/2</f>
        <v>3.7050000000000001</v>
      </c>
      <c r="K240" s="22">
        <f t="shared" si="47"/>
        <v>3.6850000000000001</v>
      </c>
      <c r="L240" s="22">
        <f t="shared" si="47"/>
        <v>3.665</v>
      </c>
      <c r="M240" s="22">
        <f t="shared" si="47"/>
        <v>3.645</v>
      </c>
      <c r="N240" s="22">
        <f t="shared" si="47"/>
        <v>3.625</v>
      </c>
      <c r="O240" s="22">
        <f t="shared" si="47"/>
        <v>3.605</v>
      </c>
      <c r="P240" s="22">
        <f t="shared" si="47"/>
        <v>3.585</v>
      </c>
      <c r="Q240" s="22">
        <f t="shared" si="47"/>
        <v>3.5649999999999999</v>
      </c>
      <c r="R240" s="22">
        <f t="shared" si="47"/>
        <v>3.5449999999999999</v>
      </c>
      <c r="S240" s="22">
        <f t="shared" si="47"/>
        <v>3.5249999999999999</v>
      </c>
      <c r="T240" s="22">
        <f t="shared" si="47"/>
        <v>3.5049999999999999</v>
      </c>
      <c r="U240" s="23"/>
    </row>
    <row r="241" spans="9:36">
      <c r="I241" s="5">
        <v>150</v>
      </c>
      <c r="J241" s="21">
        <v>3.85</v>
      </c>
      <c r="K241" s="22">
        <f>J241-0.02</f>
        <v>3.83</v>
      </c>
      <c r="L241" s="22">
        <f t="shared" ref="L241:T241" si="48">K241-0.02</f>
        <v>3.81</v>
      </c>
      <c r="M241" s="22">
        <f t="shared" si="48"/>
        <v>3.79</v>
      </c>
      <c r="N241" s="22">
        <f t="shared" si="48"/>
        <v>3.77</v>
      </c>
      <c r="O241" s="22">
        <f t="shared" si="48"/>
        <v>3.75</v>
      </c>
      <c r="P241" s="22">
        <f t="shared" si="48"/>
        <v>3.73</v>
      </c>
      <c r="Q241" s="22">
        <f t="shared" si="48"/>
        <v>3.71</v>
      </c>
      <c r="R241" s="22">
        <f t="shared" si="48"/>
        <v>3.69</v>
      </c>
      <c r="S241" s="22">
        <f>R241-0.02</f>
        <v>3.67</v>
      </c>
      <c r="T241" s="22">
        <f t="shared" si="48"/>
        <v>3.65</v>
      </c>
      <c r="U241" s="23"/>
    </row>
    <row r="242" spans="9:36">
      <c r="W242" s="16"/>
      <c r="X242" s="16"/>
      <c r="Y242" s="17"/>
      <c r="Z242" s="17"/>
      <c r="AA242" s="17"/>
      <c r="AB242" s="17"/>
      <c r="AC242" s="17"/>
      <c r="AD242" s="17"/>
      <c r="AE242" s="17"/>
      <c r="AF242" s="17"/>
      <c r="AG242" s="17"/>
      <c r="AH242" s="17"/>
      <c r="AI242" s="17"/>
      <c r="AJ242" s="17"/>
    </row>
    <row r="243" spans="9:36">
      <c r="W243" s="16"/>
      <c r="X243" s="16"/>
      <c r="Y243" s="496"/>
      <c r="Z243" s="496"/>
      <c r="AA243" s="496"/>
      <c r="AB243" s="496"/>
      <c r="AC243" s="496"/>
      <c r="AD243" s="496"/>
      <c r="AE243" s="20"/>
      <c r="AF243" s="20"/>
      <c r="AG243" s="20"/>
      <c r="AH243" s="20"/>
      <c r="AI243" s="20"/>
      <c r="AJ243" s="20"/>
    </row>
    <row r="245" spans="9:36">
      <c r="J245" s="497" t="s">
        <v>31</v>
      </c>
      <c r="K245" s="497"/>
      <c r="L245" s="497"/>
      <c r="M245" s="497"/>
      <c r="N245" s="497"/>
      <c r="O245" s="497"/>
      <c r="P245" s="497"/>
      <c r="Q245" s="497"/>
      <c r="R245" s="497"/>
      <c r="S245" s="497"/>
      <c r="T245" s="497"/>
    </row>
    <row r="246" spans="9:36">
      <c r="I246" s="3" t="s">
        <v>360</v>
      </c>
      <c r="J246" s="4">
        <v>0</v>
      </c>
      <c r="K246" s="4">
        <v>5</v>
      </c>
      <c r="L246" s="4">
        <v>10</v>
      </c>
      <c r="M246" s="4">
        <v>15</v>
      </c>
      <c r="N246" s="4">
        <v>20</v>
      </c>
      <c r="O246" s="4">
        <v>25</v>
      </c>
      <c r="P246" s="4">
        <v>30</v>
      </c>
      <c r="Q246" s="4">
        <v>35</v>
      </c>
      <c r="R246" s="4">
        <v>40</v>
      </c>
      <c r="S246" s="4">
        <v>45</v>
      </c>
      <c r="T246" s="4">
        <v>50</v>
      </c>
    </row>
    <row r="247" spans="9:36">
      <c r="I247" s="8">
        <v>-34</v>
      </c>
      <c r="J247" s="105">
        <v>1.23E-2</v>
      </c>
      <c r="K247" s="14"/>
      <c r="L247" s="11"/>
      <c r="M247" s="14"/>
      <c r="N247" s="11"/>
      <c r="O247" s="14"/>
      <c r="P247" s="11"/>
      <c r="Q247" s="14"/>
      <c r="R247" s="11"/>
      <c r="S247" s="14"/>
      <c r="T247" s="11"/>
      <c r="U247" s="8">
        <f t="shared" ref="U247:U307" si="49">I247</f>
        <v>-34</v>
      </c>
    </row>
    <row r="248" spans="9:36">
      <c r="I248" s="8">
        <v>-33</v>
      </c>
      <c r="J248" s="105">
        <f>(J247+J250)/2</f>
        <v>1.1724999999999999E-2</v>
      </c>
      <c r="K248" s="14"/>
      <c r="L248" s="11"/>
      <c r="M248" s="14"/>
      <c r="N248" s="11"/>
      <c r="O248" s="14"/>
      <c r="P248" s="11"/>
      <c r="Q248" s="14"/>
      <c r="R248" s="11"/>
      <c r="S248" s="14"/>
      <c r="T248" s="11"/>
      <c r="U248" s="8">
        <f t="shared" si="49"/>
        <v>-33</v>
      </c>
    </row>
    <row r="249" spans="9:36">
      <c r="I249" s="8">
        <v>-32</v>
      </c>
      <c r="J249" s="105">
        <f>(J248+J250)/2</f>
        <v>1.14375E-2</v>
      </c>
      <c r="K249" s="14"/>
      <c r="L249" s="11"/>
      <c r="M249" s="14"/>
      <c r="N249" s="11"/>
      <c r="O249" s="14"/>
      <c r="P249" s="11"/>
      <c r="Q249" s="14"/>
      <c r="R249" s="11"/>
      <c r="S249" s="14"/>
      <c r="T249" s="11"/>
      <c r="U249" s="8">
        <f t="shared" si="49"/>
        <v>-32</v>
      </c>
    </row>
    <row r="250" spans="9:36">
      <c r="I250" s="8">
        <v>-31</v>
      </c>
      <c r="J250" s="105">
        <f>(J247+J253)/2</f>
        <v>1.115E-2</v>
      </c>
      <c r="K250" s="14"/>
      <c r="L250" s="11"/>
      <c r="M250" s="14"/>
      <c r="N250" s="11"/>
      <c r="O250" s="14"/>
      <c r="P250" s="11"/>
      <c r="Q250" s="14"/>
      <c r="R250" s="11"/>
      <c r="S250" s="14"/>
      <c r="T250" s="11"/>
      <c r="U250" s="8">
        <f t="shared" si="49"/>
        <v>-31</v>
      </c>
    </row>
    <row r="251" spans="9:36">
      <c r="I251" s="8">
        <v>-30</v>
      </c>
      <c r="J251" s="105">
        <f>(J250+J253)/2</f>
        <v>1.0575000000000001E-2</v>
      </c>
      <c r="K251" s="14"/>
      <c r="L251" s="11"/>
      <c r="M251" s="14"/>
      <c r="N251" s="11"/>
      <c r="O251" s="14"/>
      <c r="P251" s="11"/>
      <c r="Q251" s="14"/>
      <c r="R251" s="11"/>
      <c r="S251" s="14"/>
      <c r="T251" s="11"/>
      <c r="U251" s="8">
        <f t="shared" si="49"/>
        <v>-30</v>
      </c>
    </row>
    <row r="252" spans="9:36">
      <c r="I252" s="8">
        <v>-29</v>
      </c>
      <c r="J252" s="105">
        <f>(J251+J253)/2</f>
        <v>1.0287500000000002E-2</v>
      </c>
      <c r="K252" s="14"/>
      <c r="L252" s="11"/>
      <c r="M252" s="14"/>
      <c r="N252" s="11"/>
      <c r="O252" s="14"/>
      <c r="P252" s="11"/>
      <c r="Q252" s="14"/>
      <c r="R252" s="11"/>
      <c r="S252" s="14"/>
      <c r="T252" s="11"/>
      <c r="U252" s="8">
        <f t="shared" si="49"/>
        <v>-29</v>
      </c>
    </row>
    <row r="253" spans="9:36">
      <c r="I253" s="8">
        <v>-28</v>
      </c>
      <c r="J253" s="105">
        <v>0.01</v>
      </c>
      <c r="K253" s="14"/>
      <c r="L253" s="11"/>
      <c r="M253" s="14"/>
      <c r="N253" s="11"/>
      <c r="O253" s="14"/>
      <c r="P253" s="11"/>
      <c r="Q253" s="14"/>
      <c r="R253" s="11"/>
      <c r="S253" s="14"/>
      <c r="T253" s="11"/>
      <c r="U253" s="8">
        <f t="shared" si="49"/>
        <v>-28</v>
      </c>
    </row>
    <row r="254" spans="9:36">
      <c r="I254" s="8">
        <v>-27</v>
      </c>
      <c r="J254" s="105">
        <f>(J253+J255)/2</f>
        <v>9.5000000000000015E-3</v>
      </c>
      <c r="K254" s="14"/>
      <c r="L254" s="11"/>
      <c r="M254" s="14"/>
      <c r="N254" s="11"/>
      <c r="O254" s="14"/>
      <c r="P254" s="11"/>
      <c r="Q254" s="14"/>
      <c r="R254" s="11"/>
      <c r="S254" s="14"/>
      <c r="T254" s="11"/>
      <c r="U254" s="8">
        <f t="shared" si="49"/>
        <v>-27</v>
      </c>
    </row>
    <row r="255" spans="9:36">
      <c r="I255" s="8">
        <v>-26</v>
      </c>
      <c r="J255" s="105">
        <f>(J253+J257)/2</f>
        <v>9.0000000000000011E-3</v>
      </c>
      <c r="K255" s="14"/>
      <c r="L255" s="11"/>
      <c r="M255" s="14"/>
      <c r="N255" s="11"/>
      <c r="O255" s="14"/>
      <c r="P255" s="11"/>
      <c r="Q255" s="14"/>
      <c r="R255" s="11"/>
      <c r="S255" s="14"/>
      <c r="T255" s="11"/>
      <c r="U255" s="8">
        <f t="shared" si="49"/>
        <v>-26</v>
      </c>
    </row>
    <row r="256" spans="9:36">
      <c r="I256" s="8">
        <v>-25</v>
      </c>
      <c r="J256" s="105">
        <f>(J255+J257)/2</f>
        <v>8.5000000000000006E-3</v>
      </c>
      <c r="K256" s="14"/>
      <c r="L256" s="11"/>
      <c r="M256" s="14"/>
      <c r="N256" s="11"/>
      <c r="O256" s="14"/>
      <c r="P256" s="11"/>
      <c r="Q256" s="14"/>
      <c r="R256" s="11"/>
      <c r="S256" s="14"/>
      <c r="T256" s="11"/>
      <c r="U256" s="8">
        <f t="shared" si="49"/>
        <v>-25</v>
      </c>
    </row>
    <row r="257" spans="9:21">
      <c r="I257" s="8">
        <v>-24</v>
      </c>
      <c r="J257" s="105">
        <v>8.0000000000000002E-3</v>
      </c>
      <c r="K257" s="14"/>
      <c r="L257" s="11"/>
      <c r="M257" s="14"/>
      <c r="N257" s="11"/>
      <c r="O257" s="14"/>
      <c r="P257" s="11"/>
      <c r="Q257" s="14"/>
      <c r="R257" s="11"/>
      <c r="S257" s="14"/>
      <c r="T257" s="11"/>
      <c r="U257" s="8">
        <f t="shared" si="49"/>
        <v>-24</v>
      </c>
    </row>
    <row r="258" spans="9:21">
      <c r="I258" s="8">
        <v>-23</v>
      </c>
      <c r="J258" s="105">
        <f>(J257+J259)/2</f>
        <v>7.4999999999999997E-3</v>
      </c>
      <c r="K258" s="14"/>
      <c r="L258" s="11"/>
      <c r="M258" s="14"/>
      <c r="N258" s="11"/>
      <c r="O258" s="14"/>
      <c r="P258" s="11"/>
      <c r="Q258" s="14"/>
      <c r="R258" s="11"/>
      <c r="S258" s="14"/>
      <c r="T258" s="11"/>
      <c r="U258" s="8">
        <f t="shared" si="49"/>
        <v>-23</v>
      </c>
    </row>
    <row r="259" spans="9:21">
      <c r="I259" s="8">
        <v>-22</v>
      </c>
      <c r="J259" s="105">
        <f>(J257+J261)/2</f>
        <v>7.0000000000000001E-3</v>
      </c>
      <c r="K259" s="14"/>
      <c r="L259" s="11"/>
      <c r="M259" s="14"/>
      <c r="N259" s="11"/>
      <c r="O259" s="14"/>
      <c r="P259" s="11"/>
      <c r="Q259" s="14"/>
      <c r="R259" s="11"/>
      <c r="S259" s="14"/>
      <c r="T259" s="11"/>
      <c r="U259" s="8">
        <f t="shared" si="49"/>
        <v>-22</v>
      </c>
    </row>
    <row r="260" spans="9:21">
      <c r="I260" s="8">
        <v>-21</v>
      </c>
      <c r="J260" s="105">
        <f>(J259+J261)/2</f>
        <v>6.5000000000000006E-3</v>
      </c>
      <c r="K260" s="14"/>
      <c r="L260" s="11"/>
      <c r="M260" s="14"/>
      <c r="N260" s="11"/>
      <c r="O260" s="14"/>
      <c r="P260" s="11"/>
      <c r="Q260" s="14"/>
      <c r="R260" s="11"/>
      <c r="S260" s="14"/>
      <c r="T260" s="11"/>
      <c r="U260" s="8">
        <f t="shared" si="49"/>
        <v>-21</v>
      </c>
    </row>
    <row r="261" spans="9:21">
      <c r="I261" s="8">
        <v>-20</v>
      </c>
      <c r="J261" s="105">
        <f>(J257+J265)/2</f>
        <v>6.0000000000000001E-3</v>
      </c>
      <c r="K261" s="14"/>
      <c r="L261" s="11"/>
      <c r="M261" s="14"/>
      <c r="N261" s="11"/>
      <c r="O261" s="14"/>
      <c r="P261" s="11"/>
      <c r="Q261" s="14"/>
      <c r="R261" s="11"/>
      <c r="S261" s="14"/>
      <c r="T261" s="11"/>
      <c r="U261" s="8">
        <f t="shared" si="49"/>
        <v>-20</v>
      </c>
    </row>
    <row r="262" spans="9:21">
      <c r="I262" s="8">
        <v>-19</v>
      </c>
      <c r="J262" s="105">
        <f>(J261+J263)/2</f>
        <v>5.4999999999999997E-3</v>
      </c>
      <c r="K262" s="14"/>
      <c r="L262" s="11"/>
      <c r="M262" s="14"/>
      <c r="N262" s="11"/>
      <c r="O262" s="14"/>
      <c r="P262" s="11"/>
      <c r="Q262" s="14"/>
      <c r="R262" s="11"/>
      <c r="S262" s="14"/>
      <c r="T262" s="11"/>
      <c r="U262" s="8">
        <f t="shared" si="49"/>
        <v>-19</v>
      </c>
    </row>
    <row r="263" spans="9:21">
      <c r="I263" s="8">
        <v>-18</v>
      </c>
      <c r="J263" s="105">
        <f>(J261+J265)/2</f>
        <v>5.0000000000000001E-3</v>
      </c>
      <c r="K263" s="14"/>
      <c r="L263" s="11"/>
      <c r="M263" s="14"/>
      <c r="N263" s="11"/>
      <c r="O263" s="14"/>
      <c r="P263" s="11"/>
      <c r="Q263" s="14"/>
      <c r="R263" s="11"/>
      <c r="S263" s="14"/>
      <c r="T263" s="11"/>
      <c r="U263" s="8">
        <f t="shared" si="49"/>
        <v>-18</v>
      </c>
    </row>
    <row r="264" spans="9:21">
      <c r="I264" s="8">
        <v>-17</v>
      </c>
      <c r="J264" s="105">
        <f>(J263+J265)/2</f>
        <v>4.5000000000000005E-3</v>
      </c>
      <c r="K264" s="14"/>
      <c r="L264" s="11"/>
      <c r="M264" s="14"/>
      <c r="N264" s="11"/>
      <c r="O264" s="14"/>
      <c r="P264" s="11"/>
      <c r="Q264" s="14"/>
      <c r="R264" s="11"/>
      <c r="S264" s="14"/>
      <c r="T264" s="11"/>
      <c r="U264" s="8">
        <f t="shared" si="49"/>
        <v>-17</v>
      </c>
    </row>
    <row r="265" spans="9:21">
      <c r="I265" s="8">
        <v>-16</v>
      </c>
      <c r="J265" s="105">
        <v>4.0000000000000001E-3</v>
      </c>
      <c r="K265" s="14"/>
      <c r="L265" s="11"/>
      <c r="M265" s="14"/>
      <c r="N265" s="11"/>
      <c r="O265" s="14"/>
      <c r="P265" s="11"/>
      <c r="Q265" s="14"/>
      <c r="R265" s="11"/>
      <c r="S265" s="14"/>
      <c r="T265" s="11"/>
      <c r="U265" s="8">
        <f t="shared" si="49"/>
        <v>-16</v>
      </c>
    </row>
    <row r="266" spans="9:21">
      <c r="I266" s="8">
        <v>-15</v>
      </c>
      <c r="J266" s="105">
        <f>(J265+J268)/2</f>
        <v>3.2500000000000003E-3</v>
      </c>
      <c r="K266" s="14"/>
      <c r="L266" s="11"/>
      <c r="M266" s="14"/>
      <c r="N266" s="11"/>
      <c r="O266" s="14"/>
      <c r="P266" s="11"/>
      <c r="Q266" s="14"/>
      <c r="R266" s="11"/>
      <c r="S266" s="14"/>
      <c r="T266" s="11"/>
      <c r="U266" s="8">
        <f t="shared" si="49"/>
        <v>-15</v>
      </c>
    </row>
    <row r="267" spans="9:21">
      <c r="I267" s="8">
        <v>-14</v>
      </c>
      <c r="J267" s="105">
        <f>(J266+J268)/2</f>
        <v>2.875E-3</v>
      </c>
      <c r="K267" s="14"/>
      <c r="L267" s="11"/>
      <c r="M267" s="14"/>
      <c r="N267" s="11"/>
      <c r="O267" s="14"/>
      <c r="P267" s="11"/>
      <c r="Q267" s="14"/>
      <c r="R267" s="11"/>
      <c r="S267" s="14"/>
      <c r="T267" s="11"/>
      <c r="U267" s="8">
        <f t="shared" si="49"/>
        <v>-14</v>
      </c>
    </row>
    <row r="268" spans="9:21">
      <c r="I268" s="8">
        <v>-13</v>
      </c>
      <c r="J268" s="105">
        <f>(J265+J271)/2</f>
        <v>2.5000000000000001E-3</v>
      </c>
      <c r="K268" s="14"/>
      <c r="L268" s="11"/>
      <c r="M268" s="14"/>
      <c r="N268" s="11"/>
      <c r="O268" s="14"/>
      <c r="P268" s="11"/>
      <c r="Q268" s="14"/>
      <c r="R268" s="11"/>
      <c r="S268" s="14"/>
      <c r="T268" s="11"/>
      <c r="U268" s="8">
        <f t="shared" si="49"/>
        <v>-13</v>
      </c>
    </row>
    <row r="269" spans="9:21">
      <c r="I269" s="8">
        <v>-12</v>
      </c>
      <c r="J269" s="105">
        <f>(J268+J271)/2</f>
        <v>1.75E-3</v>
      </c>
      <c r="K269" s="14"/>
      <c r="L269" s="11"/>
      <c r="M269" s="14"/>
      <c r="N269" s="11"/>
      <c r="O269" s="14"/>
      <c r="P269" s="11"/>
      <c r="Q269" s="14"/>
      <c r="R269" s="11"/>
      <c r="S269" s="14"/>
      <c r="T269" s="11"/>
      <c r="U269" s="8">
        <f t="shared" si="49"/>
        <v>-12</v>
      </c>
    </row>
    <row r="270" spans="9:21">
      <c r="I270" s="8">
        <v>-11</v>
      </c>
      <c r="J270" s="105">
        <f>(J269+J271)/2</f>
        <v>1.3749999999999999E-3</v>
      </c>
      <c r="K270" s="14"/>
      <c r="L270" s="11"/>
      <c r="M270" s="14"/>
      <c r="N270" s="11"/>
      <c r="O270" s="14"/>
      <c r="P270" s="11"/>
      <c r="Q270" s="14"/>
      <c r="R270" s="11"/>
      <c r="S270" s="14"/>
      <c r="T270" s="11"/>
      <c r="U270" s="8">
        <f t="shared" si="49"/>
        <v>-11</v>
      </c>
    </row>
    <row r="271" spans="9:21">
      <c r="I271" s="8">
        <v>-10</v>
      </c>
      <c r="J271" s="105">
        <v>1E-3</v>
      </c>
      <c r="K271" s="14"/>
      <c r="L271" s="11"/>
      <c r="M271" s="14"/>
      <c r="N271" s="11"/>
      <c r="O271" s="14"/>
      <c r="P271" s="11"/>
      <c r="Q271" s="14"/>
      <c r="R271" s="11"/>
      <c r="S271" s="14"/>
      <c r="T271" s="11"/>
      <c r="U271" s="8">
        <f t="shared" si="49"/>
        <v>-10</v>
      </c>
    </row>
    <row r="272" spans="9:21">
      <c r="I272" s="8">
        <v>-9</v>
      </c>
      <c r="J272" s="105">
        <f>(J271+J273)/2</f>
        <v>9.3749999999999997E-4</v>
      </c>
      <c r="K272" s="14"/>
      <c r="L272" s="11"/>
      <c r="M272" s="14"/>
      <c r="N272" s="11"/>
      <c r="O272" s="14"/>
      <c r="P272" s="11"/>
      <c r="Q272" s="14"/>
      <c r="R272" s="11"/>
      <c r="S272" s="14"/>
      <c r="T272" s="11"/>
      <c r="U272" s="8">
        <f t="shared" si="49"/>
        <v>-9</v>
      </c>
    </row>
    <row r="273" spans="9:21">
      <c r="I273" s="8">
        <v>-8</v>
      </c>
      <c r="J273" s="105">
        <f>(J271+J275)/2</f>
        <v>8.7500000000000002E-4</v>
      </c>
      <c r="K273" s="14"/>
      <c r="L273" s="11"/>
      <c r="M273" s="14"/>
      <c r="N273" s="11"/>
      <c r="O273" s="14"/>
      <c r="P273" s="11"/>
      <c r="Q273" s="14"/>
      <c r="R273" s="11"/>
      <c r="S273" s="14"/>
      <c r="T273" s="11"/>
      <c r="U273" s="8">
        <f t="shared" si="49"/>
        <v>-8</v>
      </c>
    </row>
    <row r="274" spans="9:21">
      <c r="I274" s="8">
        <v>-7</v>
      </c>
      <c r="J274" s="105">
        <f>(J273+J275)/2</f>
        <v>8.1250000000000007E-4</v>
      </c>
      <c r="K274" s="14"/>
      <c r="L274" s="11"/>
      <c r="M274" s="14"/>
      <c r="N274" s="11"/>
      <c r="O274" s="14"/>
      <c r="P274" s="11"/>
      <c r="Q274" s="14"/>
      <c r="R274" s="11"/>
      <c r="S274" s="14"/>
      <c r="T274" s="11"/>
      <c r="U274" s="8">
        <f t="shared" si="49"/>
        <v>-7</v>
      </c>
    </row>
    <row r="275" spans="9:21">
      <c r="I275" s="8">
        <v>-6</v>
      </c>
      <c r="J275" s="105">
        <f>(J271+J279)/2</f>
        <v>7.5000000000000002E-4</v>
      </c>
      <c r="K275" s="14"/>
      <c r="L275" s="11"/>
      <c r="M275" s="14"/>
      <c r="N275" s="11"/>
      <c r="O275" s="14"/>
      <c r="P275" s="11"/>
      <c r="Q275" s="14"/>
      <c r="R275" s="11"/>
      <c r="S275" s="14"/>
      <c r="T275" s="11"/>
      <c r="U275" s="8">
        <f t="shared" si="49"/>
        <v>-6</v>
      </c>
    </row>
    <row r="276" spans="9:21">
      <c r="I276" s="8">
        <v>-5</v>
      </c>
      <c r="J276" s="105">
        <f>(J275+J277)/2</f>
        <v>6.8749999999999996E-4</v>
      </c>
      <c r="K276" s="14"/>
      <c r="L276" s="11"/>
      <c r="M276" s="14"/>
      <c r="N276" s="11"/>
      <c r="O276" s="14"/>
      <c r="P276" s="11"/>
      <c r="Q276" s="14"/>
      <c r="R276" s="11"/>
      <c r="S276" s="14"/>
      <c r="T276" s="11"/>
      <c r="U276" s="8">
        <f t="shared" si="49"/>
        <v>-5</v>
      </c>
    </row>
    <row r="277" spans="9:21">
      <c r="I277" s="8">
        <v>-4</v>
      </c>
      <c r="J277" s="105">
        <f>(J275+J279)/2</f>
        <v>6.2500000000000001E-4</v>
      </c>
      <c r="K277" s="14"/>
      <c r="L277" s="11"/>
      <c r="M277" s="14"/>
      <c r="N277" s="11"/>
      <c r="O277" s="14"/>
      <c r="P277" s="11"/>
      <c r="Q277" s="14"/>
      <c r="R277" s="11"/>
      <c r="S277" s="14"/>
      <c r="T277" s="11"/>
      <c r="U277" s="8">
        <f t="shared" si="49"/>
        <v>-4</v>
      </c>
    </row>
    <row r="278" spans="9:21">
      <c r="I278" s="8">
        <v>-3</v>
      </c>
      <c r="J278" s="105">
        <f>(J277+J279)/2</f>
        <v>5.6250000000000007E-4</v>
      </c>
      <c r="K278" s="14"/>
      <c r="L278" s="11"/>
      <c r="M278" s="14"/>
      <c r="N278" s="11"/>
      <c r="O278" s="14"/>
      <c r="P278" s="11"/>
      <c r="Q278" s="14"/>
      <c r="R278" s="11"/>
      <c r="S278" s="14"/>
      <c r="T278" s="11"/>
      <c r="U278" s="8">
        <f t="shared" si="49"/>
        <v>-3</v>
      </c>
    </row>
    <row r="279" spans="9:21">
      <c r="I279" s="8">
        <v>-2</v>
      </c>
      <c r="J279" s="105">
        <f>(J271+J286)/2</f>
        <v>5.0000000000000001E-4</v>
      </c>
      <c r="K279" s="14"/>
      <c r="L279" s="11"/>
      <c r="M279" s="14"/>
      <c r="N279" s="11"/>
      <c r="O279" s="14"/>
      <c r="P279" s="11"/>
      <c r="Q279" s="14"/>
      <c r="R279" s="11"/>
      <c r="S279" s="14"/>
      <c r="T279" s="11"/>
      <c r="U279" s="8">
        <f t="shared" si="49"/>
        <v>-2</v>
      </c>
    </row>
    <row r="280" spans="9:21">
      <c r="I280" s="8">
        <v>-1</v>
      </c>
      <c r="J280" s="105">
        <f>(J279+J281)/2</f>
        <v>4.3750000000000001E-4</v>
      </c>
      <c r="K280" s="14"/>
      <c r="L280" s="11"/>
      <c r="M280" s="14"/>
      <c r="N280" s="11"/>
      <c r="O280" s="14"/>
      <c r="P280" s="11"/>
      <c r="Q280" s="14"/>
      <c r="R280" s="11"/>
      <c r="S280" s="14"/>
      <c r="T280" s="11"/>
      <c r="U280" s="8">
        <f t="shared" si="49"/>
        <v>-1</v>
      </c>
    </row>
    <row r="281" spans="9:21">
      <c r="I281" s="8">
        <v>0</v>
      </c>
      <c r="J281" s="105">
        <f>(J279+J283)/2</f>
        <v>3.7500000000000001E-4</v>
      </c>
      <c r="K281" s="14"/>
      <c r="L281" s="11"/>
      <c r="M281" s="14"/>
      <c r="N281" s="11"/>
      <c r="O281" s="14"/>
      <c r="P281" s="11"/>
      <c r="Q281" s="14"/>
      <c r="R281" s="11"/>
      <c r="S281" s="14"/>
      <c r="T281" s="11"/>
      <c r="U281" s="8">
        <f t="shared" si="49"/>
        <v>0</v>
      </c>
    </row>
    <row r="282" spans="9:21">
      <c r="I282" s="8">
        <v>1</v>
      </c>
      <c r="J282" s="105">
        <f>(J281+J283)/2</f>
        <v>3.1250000000000001E-4</v>
      </c>
      <c r="K282" s="14"/>
      <c r="L282" s="11"/>
      <c r="M282" s="14"/>
      <c r="N282" s="11"/>
      <c r="O282" s="14"/>
      <c r="P282" s="11"/>
      <c r="Q282" s="14"/>
      <c r="R282" s="11"/>
      <c r="S282" s="14"/>
      <c r="T282" s="11"/>
      <c r="U282" s="8">
        <f t="shared" si="49"/>
        <v>1</v>
      </c>
    </row>
    <row r="283" spans="9:21">
      <c r="I283" s="8">
        <v>2</v>
      </c>
      <c r="J283" s="105">
        <f>(J279+J286)/2</f>
        <v>2.5000000000000001E-4</v>
      </c>
      <c r="K283" s="14"/>
      <c r="L283" s="11"/>
      <c r="M283" s="14"/>
      <c r="N283" s="11"/>
      <c r="O283" s="14"/>
      <c r="P283" s="11"/>
      <c r="Q283" s="14"/>
      <c r="R283" s="11"/>
      <c r="S283" s="14"/>
      <c r="T283" s="11"/>
      <c r="U283" s="8">
        <f t="shared" si="49"/>
        <v>2</v>
      </c>
    </row>
    <row r="284" spans="9:21">
      <c r="I284" s="8">
        <v>3</v>
      </c>
      <c r="J284" s="105">
        <f>(J283+J286)/2</f>
        <v>1.25E-4</v>
      </c>
      <c r="K284" s="14"/>
      <c r="L284" s="11"/>
      <c r="M284" s="14"/>
      <c r="N284" s="11"/>
      <c r="O284" s="14"/>
      <c r="P284" s="11"/>
      <c r="Q284" s="14"/>
      <c r="R284" s="11"/>
      <c r="S284" s="14"/>
      <c r="T284" s="11"/>
      <c r="U284" s="8">
        <f t="shared" si="49"/>
        <v>3</v>
      </c>
    </row>
    <row r="285" spans="9:21">
      <c r="I285" s="8">
        <v>4</v>
      </c>
      <c r="J285" s="105">
        <f>(J284+J286)/2</f>
        <v>6.2500000000000001E-5</v>
      </c>
      <c r="K285" s="14"/>
      <c r="L285" s="11"/>
      <c r="M285" s="14"/>
      <c r="N285" s="11"/>
      <c r="O285" s="14"/>
      <c r="P285" s="11"/>
      <c r="Q285" s="14"/>
      <c r="R285" s="11"/>
      <c r="S285" s="14"/>
      <c r="T285" s="11"/>
      <c r="U285" s="8">
        <f t="shared" si="49"/>
        <v>4</v>
      </c>
    </row>
    <row r="286" spans="9:21">
      <c r="I286" s="8">
        <v>5</v>
      </c>
      <c r="J286" s="11">
        <v>0</v>
      </c>
      <c r="K286" s="14"/>
      <c r="L286" s="11"/>
      <c r="M286" s="14"/>
      <c r="N286" s="11"/>
      <c r="O286" s="14"/>
      <c r="P286" s="11"/>
      <c r="Q286" s="14"/>
      <c r="R286" s="11"/>
      <c r="S286" s="14"/>
      <c r="T286" s="11"/>
      <c r="U286" s="8">
        <f t="shared" si="49"/>
        <v>5</v>
      </c>
    </row>
    <row r="287" spans="9:21">
      <c r="I287" s="5">
        <v>70</v>
      </c>
      <c r="J287" s="11">
        <v>0</v>
      </c>
      <c r="K287" s="14"/>
      <c r="L287" s="11"/>
      <c r="M287" s="14"/>
      <c r="N287" s="11"/>
      <c r="O287" s="14"/>
      <c r="P287" s="11"/>
      <c r="Q287" s="14"/>
      <c r="R287" s="11"/>
      <c r="S287" s="14"/>
      <c r="T287" s="11"/>
      <c r="U287" s="8">
        <f t="shared" si="49"/>
        <v>70</v>
      </c>
    </row>
    <row r="288" spans="9:21">
      <c r="I288" s="5">
        <v>71</v>
      </c>
      <c r="J288" s="11">
        <f>(J287+J289)/2</f>
        <v>8.6249999999999999E-4</v>
      </c>
      <c r="K288" s="14"/>
      <c r="L288" s="11"/>
      <c r="M288" s="14"/>
      <c r="N288" s="11"/>
      <c r="O288" s="14"/>
      <c r="P288" s="11"/>
      <c r="Q288" s="14"/>
      <c r="R288" s="11"/>
      <c r="S288" s="14"/>
      <c r="T288" s="11"/>
      <c r="U288" s="8">
        <f t="shared" si="49"/>
        <v>71</v>
      </c>
    </row>
    <row r="289" spans="9:21">
      <c r="I289" s="5">
        <v>72</v>
      </c>
      <c r="J289" s="11">
        <f>(J287+J292)/2</f>
        <v>1.725E-3</v>
      </c>
      <c r="K289" s="14"/>
      <c r="L289" s="11"/>
      <c r="M289" s="14"/>
      <c r="N289" s="11"/>
      <c r="O289" s="14"/>
      <c r="P289" s="11"/>
      <c r="Q289" s="14"/>
      <c r="R289" s="11"/>
      <c r="S289" s="14"/>
      <c r="T289" s="11"/>
      <c r="U289" s="8">
        <f t="shared" si="49"/>
        <v>72</v>
      </c>
    </row>
    <row r="290" spans="9:21">
      <c r="I290" s="5">
        <v>73</v>
      </c>
      <c r="J290" s="11">
        <f>(J288+J292)/2</f>
        <v>2.1562500000000002E-3</v>
      </c>
      <c r="K290" s="14"/>
      <c r="L290" s="11"/>
      <c r="M290" s="14"/>
      <c r="N290" s="11"/>
      <c r="O290" s="14"/>
      <c r="P290" s="11"/>
      <c r="Q290" s="14"/>
      <c r="R290" s="11"/>
      <c r="S290" s="14"/>
      <c r="T290" s="11"/>
      <c r="U290" s="8">
        <f t="shared" si="49"/>
        <v>73</v>
      </c>
    </row>
    <row r="291" spans="9:21">
      <c r="I291" s="5">
        <v>74</v>
      </c>
      <c r="J291" s="11">
        <f>(J290+J292)/2</f>
        <v>2.8031250000000001E-3</v>
      </c>
      <c r="K291" s="14"/>
      <c r="L291" s="11"/>
      <c r="M291" s="14"/>
      <c r="N291" s="11"/>
      <c r="O291" s="14"/>
      <c r="P291" s="11"/>
      <c r="Q291" s="14"/>
      <c r="R291" s="11"/>
      <c r="S291" s="14"/>
      <c r="T291" s="11"/>
      <c r="U291" s="8">
        <f t="shared" si="49"/>
        <v>74</v>
      </c>
    </row>
    <row r="292" spans="9:21">
      <c r="I292" s="5">
        <v>75</v>
      </c>
      <c r="J292" s="11">
        <f>(J287+J297)/2</f>
        <v>3.4499999999999999E-3</v>
      </c>
      <c r="K292" s="14"/>
      <c r="L292" s="11"/>
      <c r="M292" s="14"/>
      <c r="N292" s="11"/>
      <c r="O292" s="14"/>
      <c r="P292" s="11"/>
      <c r="Q292" s="14"/>
      <c r="R292" s="11"/>
      <c r="S292" s="14"/>
      <c r="T292" s="11"/>
      <c r="U292" s="8">
        <f t="shared" si="49"/>
        <v>75</v>
      </c>
    </row>
    <row r="293" spans="9:21">
      <c r="I293" s="5">
        <v>76</v>
      </c>
      <c r="J293" s="11">
        <f>(J291+J295)/2</f>
        <v>3.9890624999999996E-3</v>
      </c>
      <c r="K293" s="14"/>
      <c r="L293" s="11"/>
      <c r="M293" s="14"/>
      <c r="N293" s="11"/>
      <c r="O293" s="14"/>
      <c r="P293" s="11"/>
      <c r="Q293" s="14"/>
      <c r="R293" s="11"/>
      <c r="S293" s="14"/>
      <c r="T293" s="11"/>
      <c r="U293" s="8">
        <f t="shared" si="49"/>
        <v>76</v>
      </c>
    </row>
    <row r="294" spans="9:21">
      <c r="I294" s="5">
        <v>77</v>
      </c>
      <c r="J294" s="11">
        <f>(J293+J295)/2</f>
        <v>4.5820312500000002E-3</v>
      </c>
      <c r="K294" s="14"/>
      <c r="L294" s="11"/>
      <c r="M294" s="14"/>
      <c r="N294" s="11"/>
      <c r="O294" s="14"/>
      <c r="P294" s="11"/>
      <c r="Q294" s="14"/>
      <c r="R294" s="11"/>
      <c r="S294" s="14"/>
      <c r="T294" s="11"/>
      <c r="U294" s="8">
        <f t="shared" si="49"/>
        <v>77</v>
      </c>
    </row>
    <row r="295" spans="9:21">
      <c r="I295" s="5">
        <v>78</v>
      </c>
      <c r="J295" s="11">
        <f>(J292+J297)/2</f>
        <v>5.1749999999999999E-3</v>
      </c>
      <c r="K295" s="14"/>
      <c r="L295" s="11"/>
      <c r="M295" s="14"/>
      <c r="N295" s="11"/>
      <c r="O295" s="14"/>
      <c r="P295" s="11"/>
      <c r="Q295" s="14"/>
      <c r="R295" s="11"/>
      <c r="S295" s="14"/>
      <c r="T295" s="11"/>
      <c r="U295" s="8">
        <f t="shared" si="49"/>
        <v>78</v>
      </c>
    </row>
    <row r="296" spans="9:21">
      <c r="I296" s="5">
        <v>79</v>
      </c>
      <c r="J296" s="11">
        <f>(J295+J297)/2</f>
        <v>6.0374999999999995E-3</v>
      </c>
      <c r="K296" s="14"/>
      <c r="L296" s="11"/>
      <c r="M296" s="14"/>
      <c r="N296" s="11"/>
      <c r="O296" s="14"/>
      <c r="P296" s="11"/>
      <c r="Q296" s="14"/>
      <c r="R296" s="11"/>
      <c r="S296" s="14"/>
      <c r="T296" s="11"/>
      <c r="U296" s="8">
        <f t="shared" si="49"/>
        <v>79</v>
      </c>
    </row>
    <row r="297" spans="9:21">
      <c r="I297" s="5">
        <v>80</v>
      </c>
      <c r="J297" s="11">
        <v>6.8999999999999999E-3</v>
      </c>
      <c r="K297" s="14"/>
      <c r="L297" s="11"/>
      <c r="M297" s="14"/>
      <c r="N297" s="11"/>
      <c r="O297" s="14"/>
      <c r="P297" s="11"/>
      <c r="Q297" s="14"/>
      <c r="R297" s="11"/>
      <c r="S297" s="14"/>
      <c r="T297" s="11"/>
      <c r="U297" s="8">
        <f t="shared" si="49"/>
        <v>80</v>
      </c>
    </row>
    <row r="298" spans="9:21">
      <c r="I298" s="5">
        <v>81</v>
      </c>
      <c r="J298" s="11">
        <f>(J297+J299)/2</f>
        <v>7.8250000000000004E-3</v>
      </c>
      <c r="K298" s="14"/>
      <c r="L298" s="11"/>
      <c r="M298" s="14"/>
      <c r="N298" s="11"/>
      <c r="O298" s="14"/>
      <c r="P298" s="11"/>
      <c r="Q298" s="14"/>
      <c r="R298" s="11"/>
      <c r="S298" s="14"/>
      <c r="T298" s="11"/>
      <c r="U298" s="8">
        <f t="shared" si="49"/>
        <v>81</v>
      </c>
    </row>
    <row r="299" spans="9:21">
      <c r="I299" s="5">
        <v>82</v>
      </c>
      <c r="J299" s="11">
        <f>(J297+J302)/2</f>
        <v>8.7500000000000008E-3</v>
      </c>
      <c r="K299" s="14"/>
      <c r="L299" s="11"/>
      <c r="M299" s="14"/>
      <c r="N299" s="11"/>
      <c r="O299" s="14"/>
      <c r="P299" s="11"/>
      <c r="Q299" s="14"/>
      <c r="R299" s="11"/>
      <c r="S299" s="14"/>
      <c r="T299" s="11"/>
      <c r="U299" s="8">
        <f t="shared" si="49"/>
        <v>82</v>
      </c>
    </row>
    <row r="300" spans="9:21">
      <c r="I300" s="5">
        <v>83</v>
      </c>
      <c r="J300" s="11">
        <f>(J298+J302)/2</f>
        <v>9.2125000000000002E-3</v>
      </c>
      <c r="K300" s="14"/>
      <c r="L300" s="11"/>
      <c r="M300" s="14"/>
      <c r="N300" s="11"/>
      <c r="O300" s="14"/>
      <c r="P300" s="11"/>
      <c r="Q300" s="14"/>
      <c r="R300" s="11"/>
      <c r="S300" s="14"/>
      <c r="T300" s="11"/>
      <c r="U300" s="8">
        <f t="shared" si="49"/>
        <v>83</v>
      </c>
    </row>
    <row r="301" spans="9:21">
      <c r="I301" s="5">
        <v>84</v>
      </c>
      <c r="J301" s="11">
        <f>(J300+J302)/2</f>
        <v>9.9062500000000001E-3</v>
      </c>
      <c r="K301" s="14"/>
      <c r="L301" s="11"/>
      <c r="M301" s="14"/>
      <c r="N301" s="11"/>
      <c r="O301" s="14"/>
      <c r="P301" s="11"/>
      <c r="Q301" s="14"/>
      <c r="R301" s="11"/>
      <c r="S301" s="14"/>
      <c r="T301" s="11"/>
      <c r="U301" s="8">
        <f t="shared" si="49"/>
        <v>84</v>
      </c>
    </row>
    <row r="302" spans="9:21">
      <c r="I302" s="5">
        <v>85</v>
      </c>
      <c r="J302" s="11">
        <f>(J297+J307)/2</f>
        <v>1.06E-2</v>
      </c>
      <c r="K302" s="14"/>
      <c r="L302" s="11"/>
      <c r="M302" s="14"/>
      <c r="N302" s="11"/>
      <c r="O302" s="14"/>
      <c r="P302" s="11"/>
      <c r="Q302" s="14"/>
      <c r="R302" s="11"/>
      <c r="S302" s="14"/>
      <c r="T302" s="11"/>
      <c r="U302" s="8">
        <f t="shared" si="49"/>
        <v>85</v>
      </c>
    </row>
    <row r="303" spans="9:21">
      <c r="I303" s="5">
        <v>86</v>
      </c>
      <c r="J303" s="11">
        <f>(J301+J305)/2</f>
        <v>1.1178125000000001E-2</v>
      </c>
      <c r="K303" s="14"/>
      <c r="L303" s="11"/>
      <c r="M303" s="14"/>
      <c r="N303" s="11"/>
      <c r="O303" s="14"/>
      <c r="P303" s="11"/>
      <c r="Q303" s="14"/>
      <c r="R303" s="11"/>
      <c r="S303" s="14"/>
      <c r="T303" s="11"/>
      <c r="U303" s="8">
        <f t="shared" si="49"/>
        <v>86</v>
      </c>
    </row>
    <row r="304" spans="9:21">
      <c r="I304" s="5">
        <v>87</v>
      </c>
      <c r="J304" s="11">
        <f>(J303+J305)/2</f>
        <v>1.18140625E-2</v>
      </c>
      <c r="K304" s="14"/>
      <c r="L304" s="11"/>
      <c r="M304" s="14"/>
      <c r="N304" s="11"/>
      <c r="O304" s="14"/>
      <c r="P304" s="11"/>
      <c r="Q304" s="14"/>
      <c r="R304" s="11"/>
      <c r="S304" s="14"/>
      <c r="T304" s="11"/>
      <c r="U304" s="8">
        <f t="shared" si="49"/>
        <v>87</v>
      </c>
    </row>
    <row r="305" spans="9:21">
      <c r="I305" s="5">
        <v>88</v>
      </c>
      <c r="J305" s="11">
        <f>(J302+J307)/2</f>
        <v>1.2449999999999999E-2</v>
      </c>
      <c r="K305" s="14"/>
      <c r="L305" s="11"/>
      <c r="M305" s="14"/>
      <c r="N305" s="11"/>
      <c r="O305" s="14"/>
      <c r="P305" s="11"/>
      <c r="Q305" s="14"/>
      <c r="R305" s="11"/>
      <c r="S305" s="14"/>
      <c r="T305" s="11"/>
      <c r="U305" s="8">
        <f t="shared" si="49"/>
        <v>88</v>
      </c>
    </row>
    <row r="306" spans="9:21">
      <c r="I306" s="5">
        <v>89</v>
      </c>
      <c r="J306" s="11">
        <f>(J305+J307)/2</f>
        <v>1.3375E-2</v>
      </c>
      <c r="K306" s="14"/>
      <c r="L306" s="11"/>
      <c r="M306" s="14"/>
      <c r="N306" s="11"/>
      <c r="O306" s="14"/>
      <c r="P306" s="11"/>
      <c r="Q306" s="14"/>
      <c r="R306" s="11"/>
      <c r="S306" s="14"/>
      <c r="T306" s="11"/>
      <c r="U306" s="8">
        <f t="shared" si="49"/>
        <v>89</v>
      </c>
    </row>
    <row r="307" spans="9:21">
      <c r="I307" s="5">
        <v>90</v>
      </c>
      <c r="J307" s="11">
        <v>1.43E-2</v>
      </c>
      <c r="K307" s="14"/>
      <c r="L307" s="11"/>
      <c r="M307" s="14"/>
      <c r="N307" s="11"/>
      <c r="O307" s="14"/>
      <c r="P307" s="11"/>
      <c r="Q307" s="14"/>
      <c r="R307" s="11"/>
      <c r="S307" s="14"/>
      <c r="T307" s="11"/>
      <c r="U307" s="8">
        <f t="shared" si="49"/>
        <v>90</v>
      </c>
    </row>
    <row r="308" spans="9:21">
      <c r="I308" s="5">
        <v>91</v>
      </c>
      <c r="J308" s="11">
        <f>(J307+J309)/2</f>
        <v>1.5275E-2</v>
      </c>
    </row>
    <row r="309" spans="9:21">
      <c r="I309" s="5">
        <v>92</v>
      </c>
      <c r="J309" s="11">
        <f>(J307+J312)/2</f>
        <v>1.6250000000000001E-2</v>
      </c>
    </row>
    <row r="310" spans="9:21">
      <c r="I310" s="5">
        <v>93</v>
      </c>
      <c r="J310" s="11">
        <f>(J308+J312)/2</f>
        <v>1.6737500000000002E-2</v>
      </c>
    </row>
    <row r="311" spans="9:21">
      <c r="I311" s="5">
        <v>94</v>
      </c>
      <c r="J311" s="11">
        <f>(J310+J312)/2</f>
        <v>1.7468750000000002E-2</v>
      </c>
    </row>
    <row r="312" spans="9:21">
      <c r="I312" s="5">
        <v>95</v>
      </c>
      <c r="J312" s="11">
        <f>(J307+J317)/2</f>
        <v>1.8200000000000001E-2</v>
      </c>
    </row>
    <row r="313" spans="9:21">
      <c r="I313" s="5">
        <v>96</v>
      </c>
      <c r="J313" s="11">
        <f>(J311+J315)/2</f>
        <v>1.8809375000000003E-2</v>
      </c>
    </row>
    <row r="314" spans="9:21">
      <c r="I314" s="5">
        <v>97</v>
      </c>
      <c r="J314" s="11">
        <f>(J313+J315)/2</f>
        <v>1.9479687500000002E-2</v>
      </c>
    </row>
    <row r="315" spans="9:21">
      <c r="I315" s="5">
        <v>98</v>
      </c>
      <c r="J315" s="11">
        <f>(J312+J317)/2</f>
        <v>2.0150000000000001E-2</v>
      </c>
    </row>
    <row r="316" spans="9:21">
      <c r="I316" s="5">
        <v>99</v>
      </c>
      <c r="J316" s="11">
        <f>(J315+J317)/2</f>
        <v>2.1125000000000001E-2</v>
      </c>
    </row>
    <row r="317" spans="9:21">
      <c r="I317" s="5">
        <v>100</v>
      </c>
      <c r="J317" s="11">
        <v>2.2100000000000002E-2</v>
      </c>
    </row>
    <row r="318" spans="9:21">
      <c r="I318" s="5">
        <v>101</v>
      </c>
      <c r="J318" s="11">
        <f>(J317+J319)/2</f>
        <v>2.3137500000000002E-2</v>
      </c>
    </row>
    <row r="319" spans="9:21">
      <c r="I319" s="5">
        <v>102</v>
      </c>
      <c r="J319" s="11">
        <f>(J317+J322)/2</f>
        <v>2.4175000000000002E-2</v>
      </c>
    </row>
    <row r="320" spans="9:21">
      <c r="I320" s="5">
        <v>103</v>
      </c>
      <c r="J320" s="11">
        <f>(J318+J322)/2</f>
        <v>2.469375E-2</v>
      </c>
    </row>
    <row r="321" spans="9:10">
      <c r="I321" s="5">
        <v>104</v>
      </c>
      <c r="J321" s="11">
        <f>(J320+J322)/2</f>
        <v>2.5471875000000001E-2</v>
      </c>
    </row>
    <row r="322" spans="9:10">
      <c r="I322" s="5">
        <v>105</v>
      </c>
      <c r="J322" s="11">
        <f>(J317+J327)/2</f>
        <v>2.6250000000000002E-2</v>
      </c>
    </row>
    <row r="323" spans="9:10">
      <c r="I323" s="5">
        <v>106</v>
      </c>
      <c r="J323" s="11">
        <f>(J321+J325)/2</f>
        <v>2.6898437500000004E-2</v>
      </c>
    </row>
    <row r="324" spans="9:10">
      <c r="I324" s="5">
        <v>107</v>
      </c>
      <c r="J324" s="11">
        <f>(J323+J325)/2</f>
        <v>2.7611718750000003E-2</v>
      </c>
    </row>
    <row r="325" spans="9:10">
      <c r="I325" s="5">
        <v>108</v>
      </c>
      <c r="J325" s="11">
        <f>(J322+J327)/2</f>
        <v>2.8325000000000003E-2</v>
      </c>
    </row>
    <row r="326" spans="9:10">
      <c r="I326" s="5">
        <v>109</v>
      </c>
      <c r="J326" s="11">
        <f>(J325+J327)/2</f>
        <v>2.93625E-2</v>
      </c>
    </row>
    <row r="327" spans="9:10">
      <c r="I327" s="5">
        <v>110</v>
      </c>
      <c r="J327" s="11">
        <v>3.04E-2</v>
      </c>
    </row>
    <row r="328" spans="9:10">
      <c r="I328" s="5">
        <v>111</v>
      </c>
      <c r="J328" s="11">
        <f>(J327+J329)/2</f>
        <v>3.13125E-2</v>
      </c>
    </row>
    <row r="329" spans="9:10">
      <c r="I329" s="5">
        <v>112</v>
      </c>
      <c r="J329" s="11">
        <f>(J327+J332)/2</f>
        <v>3.2224999999999997E-2</v>
      </c>
    </row>
    <row r="330" spans="9:10">
      <c r="I330" s="5">
        <v>113</v>
      </c>
      <c r="J330" s="11">
        <f>(J328+J332)/2</f>
        <v>3.2681249999999995E-2</v>
      </c>
    </row>
    <row r="331" spans="9:10">
      <c r="I331" s="5">
        <v>114</v>
      </c>
      <c r="J331" s="11">
        <f>(J330+J332)/2</f>
        <v>3.3365624999999996E-2</v>
      </c>
    </row>
    <row r="332" spans="9:10">
      <c r="I332" s="5">
        <v>115</v>
      </c>
      <c r="J332" s="11">
        <f>(J327+J337)/2</f>
        <v>3.4049999999999997E-2</v>
      </c>
    </row>
    <row r="333" spans="9:10">
      <c r="I333" s="5">
        <v>116</v>
      </c>
      <c r="J333" s="11">
        <f>(J331+J335)/2</f>
        <v>3.46203125E-2</v>
      </c>
    </row>
    <row r="334" spans="9:10">
      <c r="I334" s="5">
        <v>117</v>
      </c>
      <c r="J334" s="11">
        <f>(J333+J335)/2</f>
        <v>3.5247656249999995E-2</v>
      </c>
    </row>
    <row r="335" spans="9:10">
      <c r="I335" s="5">
        <v>118</v>
      </c>
      <c r="J335" s="11">
        <f>(J332+J337)/2</f>
        <v>3.5874999999999997E-2</v>
      </c>
    </row>
    <row r="336" spans="9:10">
      <c r="I336" s="5">
        <v>119</v>
      </c>
      <c r="J336" s="11">
        <f>(J335+J337)/2</f>
        <v>3.6787500000000001E-2</v>
      </c>
    </row>
    <row r="337" spans="9:10">
      <c r="I337" s="5">
        <v>120</v>
      </c>
      <c r="J337" s="11">
        <v>3.7699999999999997E-2</v>
      </c>
    </row>
    <row r="338" spans="9:10">
      <c r="I338" s="5">
        <v>121</v>
      </c>
      <c r="J338" s="11">
        <f>(J337+J339)/2</f>
        <v>3.9162499999999996E-2</v>
      </c>
    </row>
    <row r="339" spans="9:10">
      <c r="I339" s="5">
        <v>122</v>
      </c>
      <c r="J339" s="11">
        <f>(J337+J342)/2</f>
        <v>4.0624999999999994E-2</v>
      </c>
    </row>
    <row r="340" spans="9:10">
      <c r="I340" s="5">
        <v>123</v>
      </c>
      <c r="J340" s="11">
        <f>(J338+J342)/2</f>
        <v>4.1356249999999997E-2</v>
      </c>
    </row>
    <row r="341" spans="9:10">
      <c r="I341" s="5">
        <v>124</v>
      </c>
      <c r="J341" s="11">
        <f>(J340+J342)/2</f>
        <v>4.2453124999999994E-2</v>
      </c>
    </row>
    <row r="342" spans="9:10">
      <c r="I342" s="5">
        <v>125</v>
      </c>
      <c r="J342" s="11">
        <f>(J337+J347)/2</f>
        <v>4.3549999999999998E-2</v>
      </c>
    </row>
    <row r="343" spans="9:10">
      <c r="I343" s="5">
        <v>126</v>
      </c>
      <c r="J343" s="11">
        <f>(J341+J345)/2</f>
        <v>4.4464062499999998E-2</v>
      </c>
    </row>
    <row r="344" spans="9:10">
      <c r="I344" s="5">
        <v>127</v>
      </c>
      <c r="J344" s="11">
        <f>(J343+J345)/2</f>
        <v>4.546953125E-2</v>
      </c>
    </row>
    <row r="345" spans="9:10">
      <c r="I345" s="5">
        <v>128</v>
      </c>
      <c r="J345" s="11">
        <f>(J342+J347)/2</f>
        <v>4.6475000000000002E-2</v>
      </c>
    </row>
    <row r="346" spans="9:10">
      <c r="I346" s="5">
        <v>129</v>
      </c>
      <c r="J346" s="11">
        <f>(J345+J347)/2</f>
        <v>4.7937500000000001E-2</v>
      </c>
    </row>
    <row r="347" spans="9:10">
      <c r="I347" s="5">
        <v>130</v>
      </c>
      <c r="J347" s="11">
        <v>4.9399999999999999E-2</v>
      </c>
    </row>
  </sheetData>
  <mergeCells count="6">
    <mergeCell ref="J245:T245"/>
    <mergeCell ref="K1:O1"/>
    <mergeCell ref="P1:T1"/>
    <mergeCell ref="J189:T189"/>
    <mergeCell ref="Z197:AE197"/>
    <mergeCell ref="Y243:AD2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dimension ref="A1:AT376"/>
  <sheetViews>
    <sheetView topLeftCell="H10" zoomScaleNormal="100" workbookViewId="0">
      <selection activeCell="F5" sqref="F5:K5"/>
    </sheetView>
  </sheetViews>
  <sheetFormatPr defaultColWidth="9" defaultRowHeight="14.4"/>
  <cols>
    <col min="1" max="1" width="9" style="3"/>
    <col min="2" max="2" width="31.59765625" style="3" customWidth="1"/>
    <col min="3" max="5" width="9" style="3"/>
    <col min="6" max="6" width="12.5" style="3" customWidth="1"/>
    <col min="7" max="8" width="9" style="3"/>
    <col min="9" max="9" width="12.59765625" style="3" customWidth="1"/>
    <col min="10" max="25" width="9" style="3"/>
    <col min="26" max="26" width="14" style="3" customWidth="1"/>
    <col min="27" max="16384" width="9" style="3"/>
  </cols>
  <sheetData>
    <row r="1" spans="1:32">
      <c r="C1" s="3" t="s">
        <v>9</v>
      </c>
      <c r="D1" s="3" t="s">
        <v>5</v>
      </c>
      <c r="E1" s="3" t="s">
        <v>10</v>
      </c>
      <c r="F1" s="3" t="s">
        <v>35</v>
      </c>
      <c r="H1" s="3">
        <v>5</v>
      </c>
    </row>
    <row r="2" spans="1:32">
      <c r="C2" s="3">
        <v>1</v>
      </c>
      <c r="D2" s="3">
        <f>VLOOKUP(C2,A3:C15,3,0)</f>
        <v>0</v>
      </c>
      <c r="E2" s="3">
        <f>Compresso!K9</f>
        <v>40</v>
      </c>
      <c r="F2" s="3" t="str">
        <f>VLOOKUP(C2,A3:C15,2,0)</f>
        <v>woda</v>
      </c>
    </row>
    <row r="3" spans="1:32">
      <c r="A3" s="3">
        <v>1</v>
      </c>
      <c r="B3" s="3" t="s">
        <v>6</v>
      </c>
      <c r="C3" s="3">
        <v>0</v>
      </c>
    </row>
    <row r="4" spans="1:32">
      <c r="A4" s="3">
        <v>2</v>
      </c>
      <c r="B4" s="475" t="s">
        <v>1015</v>
      </c>
      <c r="C4" s="3">
        <v>20</v>
      </c>
      <c r="I4" s="293"/>
      <c r="J4" s="294"/>
      <c r="K4" s="476"/>
      <c r="L4" s="497" t="s">
        <v>666</v>
      </c>
      <c r="M4" s="498"/>
      <c r="N4" s="498"/>
      <c r="O4" s="498"/>
      <c r="P4" s="498"/>
      <c r="Q4" s="476"/>
      <c r="R4" s="497" t="s">
        <v>667</v>
      </c>
      <c r="S4" s="498"/>
      <c r="T4" s="498"/>
      <c r="U4" s="498"/>
      <c r="V4" s="498"/>
    </row>
    <row r="5" spans="1:32">
      <c r="A5" s="3">
        <v>3</v>
      </c>
      <c r="B5" s="3" t="s">
        <v>672</v>
      </c>
      <c r="C5" s="3">
        <v>20</v>
      </c>
      <c r="E5" s="9" t="s">
        <v>158</v>
      </c>
      <c r="F5" s="3">
        <v>19</v>
      </c>
      <c r="I5" s="3" t="s">
        <v>640</v>
      </c>
      <c r="J5" s="4">
        <v>0</v>
      </c>
      <c r="K5" s="4">
        <v>15</v>
      </c>
      <c r="L5" s="4">
        <v>20</v>
      </c>
      <c r="M5" s="4">
        <v>25</v>
      </c>
      <c r="N5" s="4">
        <v>30</v>
      </c>
      <c r="O5" s="4">
        <v>35</v>
      </c>
      <c r="P5" s="4">
        <v>40</v>
      </c>
      <c r="Q5" s="4">
        <v>15</v>
      </c>
      <c r="R5" s="4">
        <v>20</v>
      </c>
      <c r="S5" s="4">
        <v>25</v>
      </c>
      <c r="T5" s="4">
        <v>30</v>
      </c>
      <c r="U5" s="4">
        <v>35</v>
      </c>
      <c r="V5" s="4">
        <v>40</v>
      </c>
      <c r="W5" s="3" t="s">
        <v>640</v>
      </c>
    </row>
    <row r="6" spans="1:32">
      <c r="A6" s="3">
        <v>4</v>
      </c>
      <c r="B6" s="3" t="s">
        <v>671</v>
      </c>
      <c r="C6" s="3">
        <v>25</v>
      </c>
      <c r="E6" s="9" t="s">
        <v>157</v>
      </c>
      <c r="F6" s="15">
        <f>F5/10</f>
        <v>1.9</v>
      </c>
      <c r="J6" s="4">
        <v>1</v>
      </c>
      <c r="K6" s="4">
        <v>2</v>
      </c>
      <c r="L6" s="4">
        <v>3</v>
      </c>
      <c r="M6" s="4">
        <v>4</v>
      </c>
      <c r="N6" s="4">
        <v>5</v>
      </c>
      <c r="O6" s="4">
        <v>6</v>
      </c>
      <c r="P6" s="4">
        <v>7</v>
      </c>
      <c r="Q6" s="4">
        <v>8</v>
      </c>
      <c r="R6" s="4">
        <v>9</v>
      </c>
      <c r="S6" s="4">
        <v>10</v>
      </c>
      <c r="T6" s="4">
        <v>11</v>
      </c>
      <c r="U6" s="4">
        <v>12</v>
      </c>
      <c r="V6" s="4">
        <v>13</v>
      </c>
      <c r="Y6" s="9" t="s">
        <v>643</v>
      </c>
      <c r="Z6" s="3" t="s">
        <v>10</v>
      </c>
    </row>
    <row r="7" spans="1:32">
      <c r="A7" s="3">
        <v>5</v>
      </c>
      <c r="B7" s="3" t="s">
        <v>670</v>
      </c>
      <c r="C7" s="3">
        <v>30</v>
      </c>
      <c r="E7" s="1"/>
      <c r="F7" s="15"/>
      <c r="I7" s="269">
        <v>-26</v>
      </c>
      <c r="J7" s="4"/>
      <c r="K7" s="4"/>
      <c r="L7" s="4"/>
      <c r="M7" s="4"/>
      <c r="N7" s="4"/>
      <c r="O7" s="4"/>
      <c r="P7" s="270">
        <v>1072.9000000000001</v>
      </c>
      <c r="Q7" s="270"/>
      <c r="T7" s="4"/>
      <c r="U7" s="4"/>
      <c r="W7" s="269">
        <v>-26</v>
      </c>
      <c r="Y7" s="3">
        <f>Compresso!K11</f>
        <v>5</v>
      </c>
      <c r="Z7" s="3">
        <f>Compresso!K9</f>
        <v>40</v>
      </c>
    </row>
    <row r="8" spans="1:32">
      <c r="A8" s="3">
        <v>6</v>
      </c>
      <c r="B8" s="3" t="s">
        <v>669</v>
      </c>
      <c r="C8" s="3">
        <v>35</v>
      </c>
      <c r="E8" s="9"/>
      <c r="F8" s="31"/>
      <c r="I8" s="269">
        <v>-25</v>
      </c>
      <c r="J8" s="4"/>
      <c r="K8" s="4"/>
      <c r="L8" s="4"/>
      <c r="M8" s="4"/>
      <c r="N8" s="4"/>
      <c r="O8" s="4"/>
      <c r="P8" s="270">
        <v>1072.7</v>
      </c>
      <c r="Q8" s="270"/>
      <c r="T8" s="4"/>
      <c r="U8" s="4"/>
      <c r="W8" s="269">
        <v>-25</v>
      </c>
    </row>
    <row r="9" spans="1:32" ht="15.6">
      <c r="A9" s="3">
        <v>7</v>
      </c>
      <c r="B9" s="3" t="s">
        <v>668</v>
      </c>
      <c r="C9" s="3">
        <v>40</v>
      </c>
      <c r="I9" s="246">
        <v>-24</v>
      </c>
      <c r="J9" s="248"/>
      <c r="K9" s="248"/>
      <c r="L9" s="248"/>
      <c r="M9" s="248"/>
      <c r="N9" s="248"/>
      <c r="O9" s="248"/>
      <c r="P9" s="248">
        <v>1072.5</v>
      </c>
      <c r="Q9" s="248"/>
      <c r="R9" s="248"/>
      <c r="S9" s="248"/>
      <c r="T9" s="248"/>
      <c r="U9" s="248"/>
      <c r="W9" s="246">
        <v>-24</v>
      </c>
      <c r="Y9" s="249" t="s">
        <v>641</v>
      </c>
      <c r="Z9" s="3">
        <f>INDEX(J7:V183,MATCH(Z7,I7:I183,0),MATCH(C2,J6:V6,0))</f>
        <v>992.2</v>
      </c>
    </row>
    <row r="10" spans="1:32" ht="15.6">
      <c r="A10" s="3">
        <v>8</v>
      </c>
      <c r="B10" s="475" t="s">
        <v>1016</v>
      </c>
      <c r="C10" s="3">
        <v>15</v>
      </c>
      <c r="I10" s="246">
        <v>-23</v>
      </c>
      <c r="J10" s="248"/>
      <c r="K10" s="248"/>
      <c r="L10" s="248"/>
      <c r="M10" s="248"/>
      <c r="N10" s="248"/>
      <c r="O10" s="248"/>
      <c r="P10" s="248">
        <v>1072.3</v>
      </c>
      <c r="Q10" s="248"/>
      <c r="R10" s="248"/>
      <c r="S10" s="248"/>
      <c r="T10" s="248"/>
      <c r="U10" s="248"/>
      <c r="W10" s="246">
        <v>-23</v>
      </c>
      <c r="Y10" s="249" t="s">
        <v>642</v>
      </c>
      <c r="Z10" s="3">
        <f>INDEX(J7:V183,MATCH(Y7,I7:I183,0),MATCH(C2,J6:V6,0))</f>
        <v>1000</v>
      </c>
    </row>
    <row r="11" spans="1:32" ht="15.6">
      <c r="A11" s="3">
        <v>9</v>
      </c>
      <c r="B11" s="3" t="s">
        <v>673</v>
      </c>
      <c r="C11" s="3">
        <v>20</v>
      </c>
      <c r="I11" s="246">
        <v>-22</v>
      </c>
      <c r="J11" s="248"/>
      <c r="K11" s="248"/>
      <c r="L11" s="248"/>
      <c r="M11" s="248"/>
      <c r="N11" s="248"/>
      <c r="O11" s="248">
        <v>1064.2</v>
      </c>
      <c r="P11" s="248">
        <v>1072.0999999999999</v>
      </c>
      <c r="Q11" s="248"/>
      <c r="R11" s="248"/>
      <c r="S11" s="248"/>
      <c r="T11" s="248"/>
      <c r="U11" s="248"/>
      <c r="W11" s="246">
        <v>-22</v>
      </c>
      <c r="Y11" s="3" t="s">
        <v>644</v>
      </c>
      <c r="Z11" s="3">
        <f>1/Z9</f>
        <v>1.0078613182826044E-3</v>
      </c>
      <c r="AF11" s="15"/>
    </row>
    <row r="12" spans="1:32" ht="15.6">
      <c r="A12" s="3">
        <v>10</v>
      </c>
      <c r="B12" s="3" t="s">
        <v>674</v>
      </c>
      <c r="C12" s="3">
        <v>25</v>
      </c>
      <c r="I12" s="246">
        <v>-21</v>
      </c>
      <c r="J12" s="248"/>
      <c r="K12" s="248"/>
      <c r="L12" s="248"/>
      <c r="M12" s="248"/>
      <c r="N12" s="248"/>
      <c r="O12" s="248">
        <v>1064</v>
      </c>
      <c r="P12" s="248">
        <v>1071.9000000000001</v>
      </c>
      <c r="Q12" s="248"/>
      <c r="R12" s="248"/>
      <c r="S12" s="248"/>
      <c r="T12" s="248"/>
      <c r="U12" s="248"/>
      <c r="V12" s="248">
        <v>1057.5999999999999</v>
      </c>
      <c r="W12" s="246">
        <v>-21</v>
      </c>
      <c r="Y12" s="3" t="s">
        <v>645</v>
      </c>
      <c r="Z12" s="3">
        <f>1/Z10</f>
        <v>1E-3</v>
      </c>
      <c r="AF12" s="15"/>
    </row>
    <row r="13" spans="1:32">
      <c r="A13" s="3">
        <v>11</v>
      </c>
      <c r="B13" s="3" t="s">
        <v>675</v>
      </c>
      <c r="C13" s="3">
        <v>30</v>
      </c>
      <c r="I13" s="246">
        <v>-20</v>
      </c>
      <c r="J13" s="248"/>
      <c r="K13" s="248"/>
      <c r="L13" s="248"/>
      <c r="M13" s="248"/>
      <c r="N13" s="248"/>
      <c r="O13" s="248">
        <v>1063.8</v>
      </c>
      <c r="P13" s="248">
        <v>1071.7</v>
      </c>
      <c r="Q13" s="248"/>
      <c r="R13" s="248"/>
      <c r="S13" s="248"/>
      <c r="T13" s="248"/>
      <c r="U13" s="248"/>
      <c r="V13" s="248">
        <v>1057.0999999999999</v>
      </c>
      <c r="W13" s="246">
        <v>-20</v>
      </c>
      <c r="Y13" s="250" t="s">
        <v>646</v>
      </c>
      <c r="Z13" s="251">
        <f>ABS(Z11-Z12)</f>
        <v>7.8613182826043314E-6</v>
      </c>
      <c r="AF13" s="31"/>
    </row>
    <row r="14" spans="1:32">
      <c r="A14" s="3">
        <v>12</v>
      </c>
      <c r="B14" s="3" t="s">
        <v>676</v>
      </c>
      <c r="C14" s="3">
        <v>35</v>
      </c>
      <c r="I14" s="246">
        <v>-19</v>
      </c>
      <c r="J14" s="248"/>
      <c r="K14" s="248"/>
      <c r="L14" s="248"/>
      <c r="M14" s="248"/>
      <c r="N14" s="248"/>
      <c r="O14" s="248">
        <v>1063.5</v>
      </c>
      <c r="P14" s="248">
        <v>1071.4000000000001</v>
      </c>
      <c r="Q14" s="248"/>
      <c r="R14" s="248"/>
      <c r="S14" s="248"/>
      <c r="T14" s="248"/>
      <c r="U14" s="248"/>
      <c r="V14" s="248">
        <v>1056.5999999999999</v>
      </c>
      <c r="W14" s="246">
        <v>-19</v>
      </c>
      <c r="Y14" s="9" t="s">
        <v>59</v>
      </c>
      <c r="Z14" s="3">
        <f>Z10*Z13</f>
        <v>7.8613182826043314E-3</v>
      </c>
    </row>
    <row r="15" spans="1:32">
      <c r="A15" s="3">
        <v>13</v>
      </c>
      <c r="B15" s="3" t="s">
        <v>677</v>
      </c>
      <c r="C15" s="3">
        <v>40</v>
      </c>
      <c r="I15" s="246">
        <v>-18</v>
      </c>
      <c r="J15" s="248"/>
      <c r="K15" s="248"/>
      <c r="L15" s="248"/>
      <c r="M15" s="248"/>
      <c r="N15" s="248"/>
      <c r="O15" s="248">
        <v>1063.3</v>
      </c>
      <c r="P15" s="248">
        <v>1071.0999999999999</v>
      </c>
      <c r="Q15" s="248"/>
      <c r="R15" s="248"/>
      <c r="S15" s="248"/>
      <c r="T15" s="248"/>
      <c r="U15" s="248"/>
      <c r="V15" s="248">
        <v>1056.0999999999999</v>
      </c>
      <c r="W15" s="246">
        <v>-18</v>
      </c>
    </row>
    <row r="16" spans="1:32">
      <c r="I16" s="246">
        <v>-17</v>
      </c>
      <c r="J16" s="248"/>
      <c r="K16" s="248"/>
      <c r="L16" s="248"/>
      <c r="M16" s="248"/>
      <c r="N16" s="248"/>
      <c r="O16" s="248">
        <v>1063.0999999999999</v>
      </c>
      <c r="P16" s="248">
        <v>1070.8</v>
      </c>
      <c r="Q16" s="248"/>
      <c r="R16" s="248"/>
      <c r="S16" s="248"/>
      <c r="T16" s="248"/>
      <c r="U16" s="248">
        <v>1051.5</v>
      </c>
      <c r="V16" s="248">
        <v>1055.5999999999999</v>
      </c>
      <c r="W16" s="246">
        <v>-17</v>
      </c>
    </row>
    <row r="17" spans="1:23">
      <c r="B17" s="9" t="s">
        <v>16</v>
      </c>
      <c r="C17" s="3">
        <v>60</v>
      </c>
      <c r="I17" s="246">
        <v>-16</v>
      </c>
      <c r="J17" s="248"/>
      <c r="K17" s="248"/>
      <c r="L17" s="248"/>
      <c r="M17" s="248"/>
      <c r="N17" s="248">
        <v>1051.9000000000001</v>
      </c>
      <c r="O17" s="248">
        <v>1062.8</v>
      </c>
      <c r="P17" s="248">
        <v>1070.5</v>
      </c>
      <c r="Q17" s="248"/>
      <c r="R17" s="248"/>
      <c r="S17" s="248"/>
      <c r="T17" s="248"/>
      <c r="U17" s="248">
        <v>1051.0999999999999</v>
      </c>
      <c r="V17" s="248">
        <v>1055.0999999999999</v>
      </c>
      <c r="W17" s="246">
        <v>-16</v>
      </c>
    </row>
    <row r="18" spans="1:23">
      <c r="I18" s="246">
        <v>-15</v>
      </c>
      <c r="J18" s="248"/>
      <c r="K18" s="248"/>
      <c r="L18" s="248"/>
      <c r="M18" s="248"/>
      <c r="N18" s="248">
        <v>1051.7</v>
      </c>
      <c r="O18" s="248">
        <v>1062.5999999999999</v>
      </c>
      <c r="P18" s="248">
        <v>1070.2</v>
      </c>
      <c r="Q18" s="248"/>
      <c r="R18" s="248"/>
      <c r="S18" s="248"/>
      <c r="T18" s="248"/>
      <c r="U18" s="248">
        <v>1050.5999999999999</v>
      </c>
      <c r="V18" s="248">
        <v>1054.5999999999999</v>
      </c>
      <c r="W18" s="246">
        <v>-15</v>
      </c>
    </row>
    <row r="19" spans="1:23">
      <c r="B19" s="9" t="s">
        <v>17</v>
      </c>
      <c r="C19" s="10">
        <f>IF(D19&gt;E19,D19,E19)</f>
        <v>4</v>
      </c>
      <c r="D19" s="10">
        <f>IF(Compresso!K17&lt;38,Compresso!K17/10+1.3,(Compresso!K17/10+1)/0.9)</f>
        <v>3.9000000000000004</v>
      </c>
      <c r="E19" s="10">
        <f>IF(Compresso!K19&gt;5,(Compresso!E99+0.1*Compresso!K19)+0.5,Compresso!E99+1)</f>
        <v>4</v>
      </c>
      <c r="I19" s="246">
        <v>-14</v>
      </c>
      <c r="J19" s="248"/>
      <c r="K19" s="248"/>
      <c r="L19" s="248"/>
      <c r="M19" s="248"/>
      <c r="N19" s="248">
        <v>1051.5</v>
      </c>
      <c r="O19" s="248">
        <v>1062.3</v>
      </c>
      <c r="P19" s="248">
        <v>1069.9000000000001</v>
      </c>
      <c r="Q19" s="248"/>
      <c r="R19" s="248"/>
      <c r="S19" s="248"/>
      <c r="T19" s="248">
        <v>1045.8</v>
      </c>
      <c r="U19" s="248">
        <v>1050.0999999999999</v>
      </c>
      <c r="V19" s="248">
        <v>1054.0999999999999</v>
      </c>
      <c r="W19" s="246">
        <v>-14</v>
      </c>
    </row>
    <row r="20" spans="1:23">
      <c r="C20" s="3">
        <f>IF(C21,1,0)</f>
        <v>1</v>
      </c>
      <c r="I20" s="246">
        <v>-13</v>
      </c>
      <c r="J20" s="248"/>
      <c r="K20" s="248"/>
      <c r="L20" s="248"/>
      <c r="M20" s="248"/>
      <c r="N20" s="248">
        <v>1051.3</v>
      </c>
      <c r="O20" s="248">
        <v>1062.0999999999999</v>
      </c>
      <c r="P20" s="248">
        <v>1069.5999999999999</v>
      </c>
      <c r="Q20" s="248"/>
      <c r="R20" s="248"/>
      <c r="S20" s="248"/>
      <c r="T20" s="248">
        <v>1045.5999999999999</v>
      </c>
      <c r="U20" s="248">
        <v>1049.5999999999999</v>
      </c>
      <c r="V20" s="248">
        <v>1053.5999999999999</v>
      </c>
      <c r="W20" s="246">
        <v>-13</v>
      </c>
    </row>
    <row r="21" spans="1:23">
      <c r="B21" s="9" t="s">
        <v>19</v>
      </c>
      <c r="C21" s="26" t="b">
        <v>1</v>
      </c>
      <c r="D21" s="3">
        <f>IF(C20=1,5,0)</f>
        <v>5</v>
      </c>
      <c r="I21" s="246">
        <v>-12</v>
      </c>
      <c r="J21" s="248"/>
      <c r="K21" s="248"/>
      <c r="L21" s="248"/>
      <c r="M21" s="248">
        <v>1043.7</v>
      </c>
      <c r="N21" s="248">
        <v>1051.0999999999999</v>
      </c>
      <c r="O21" s="248">
        <v>1061.8</v>
      </c>
      <c r="P21" s="248">
        <v>1069.3</v>
      </c>
      <c r="Q21" s="248"/>
      <c r="R21" s="248"/>
      <c r="S21" s="248"/>
      <c r="T21" s="248">
        <v>1045.0999999999999</v>
      </c>
      <c r="U21" s="248">
        <v>1049.2</v>
      </c>
      <c r="V21" s="248">
        <v>1053.0999999999999</v>
      </c>
      <c r="W21" s="246">
        <v>-12</v>
      </c>
    </row>
    <row r="22" spans="1:23">
      <c r="I22" s="246">
        <v>-11</v>
      </c>
      <c r="J22" s="248"/>
      <c r="K22" s="248"/>
      <c r="L22" s="248"/>
      <c r="M22" s="248">
        <v>1043.5</v>
      </c>
      <c r="N22" s="248">
        <v>1050.9000000000001</v>
      </c>
      <c r="O22" s="248">
        <v>1061.5999999999999</v>
      </c>
      <c r="P22" s="248">
        <v>1069</v>
      </c>
      <c r="Q22" s="248"/>
      <c r="R22" s="248"/>
      <c r="S22" s="248"/>
      <c r="T22" s="248">
        <v>1044.7</v>
      </c>
      <c r="U22" s="248">
        <v>1048.7</v>
      </c>
      <c r="V22" s="248">
        <v>1052.5999999999999</v>
      </c>
      <c r="W22" s="246">
        <v>-11</v>
      </c>
    </row>
    <row r="23" spans="1:23">
      <c r="B23" s="9" t="s">
        <v>29</v>
      </c>
      <c r="C23" s="13">
        <f>Z14</f>
        <v>7.8613182826043314E-3</v>
      </c>
      <c r="E23" s="9" t="s">
        <v>4</v>
      </c>
      <c r="F23" s="3">
        <f>VLOOKUP('3'!B27,'3'!A29:F74,3,0)</f>
        <v>1500</v>
      </c>
      <c r="I23" s="246">
        <v>-10</v>
      </c>
      <c r="J23" s="248"/>
      <c r="K23" s="248"/>
      <c r="L23" s="248"/>
      <c r="M23" s="248">
        <v>1043.3</v>
      </c>
      <c r="N23" s="248">
        <v>1050.7</v>
      </c>
      <c r="O23" s="248">
        <v>1061.4000000000001</v>
      </c>
      <c r="P23" s="248">
        <v>1068.7</v>
      </c>
      <c r="Q23" s="248"/>
      <c r="R23" s="248"/>
      <c r="S23" s="248">
        <v>1039.4000000000001</v>
      </c>
      <c r="T23" s="248">
        <v>1044.3</v>
      </c>
      <c r="U23" s="248">
        <v>1048.2</v>
      </c>
      <c r="V23" s="248">
        <v>1052.0999999999999</v>
      </c>
      <c r="W23" s="246">
        <v>-10</v>
      </c>
    </row>
    <row r="24" spans="1:23" ht="15.6">
      <c r="B24" s="1" t="s">
        <v>39</v>
      </c>
      <c r="C24" s="15">
        <f>Compresso!E82*Compresso!E81/100</f>
        <v>443.5</v>
      </c>
      <c r="E24" s="9" t="s">
        <v>138</v>
      </c>
      <c r="F24" s="3">
        <f>VLOOKUP('3'!B27,'3'!A29:F74,4,0)</f>
        <v>6</v>
      </c>
      <c r="I24" s="246">
        <v>-9</v>
      </c>
      <c r="J24" s="248"/>
      <c r="K24" s="248"/>
      <c r="L24" s="248">
        <v>1034.4000000000001</v>
      </c>
      <c r="M24" s="248">
        <v>1043.0999999999999</v>
      </c>
      <c r="N24" s="248">
        <v>1050.5</v>
      </c>
      <c r="O24" s="248">
        <v>1061</v>
      </c>
      <c r="P24" s="248">
        <v>1068.3</v>
      </c>
      <c r="Q24" s="248"/>
      <c r="R24" s="248"/>
      <c r="S24" s="248">
        <v>1039</v>
      </c>
      <c r="T24" s="248">
        <v>1043.8</v>
      </c>
      <c r="U24" s="248">
        <v>1047.7</v>
      </c>
      <c r="V24" s="248">
        <v>1051.5999999999999</v>
      </c>
      <c r="W24" s="246">
        <v>-9</v>
      </c>
    </row>
    <row r="25" spans="1:23" ht="15.6">
      <c r="B25" s="1" t="s">
        <v>47</v>
      </c>
      <c r="C25" s="3" t="e">
        <f>INDEX(J220:V270,MATCH(E2,I220:I270,0),MATCH(D2,J219:V219,0))</f>
        <v>#N/A</v>
      </c>
      <c r="E25" s="9" t="s">
        <v>144</v>
      </c>
      <c r="F25" s="3">
        <f>VLOOKUP('3'!B27,'3'!A29:G74,7,0)</f>
        <v>400</v>
      </c>
      <c r="I25" s="246">
        <v>-8</v>
      </c>
      <c r="J25" s="248"/>
      <c r="K25" s="248"/>
      <c r="L25" s="248">
        <v>1034.2</v>
      </c>
      <c r="M25" s="248">
        <v>1042.9000000000001</v>
      </c>
      <c r="N25" s="248">
        <v>1050.3</v>
      </c>
      <c r="O25" s="248">
        <v>1060.7</v>
      </c>
      <c r="P25" s="248">
        <v>1067.9000000000001</v>
      </c>
      <c r="Q25" s="248"/>
      <c r="R25" s="248">
        <v>1033</v>
      </c>
      <c r="S25" s="248">
        <v>1038.5</v>
      </c>
      <c r="T25" s="248">
        <v>1043.3</v>
      </c>
      <c r="U25" s="248">
        <v>1047.2</v>
      </c>
      <c r="V25" s="248">
        <v>1051</v>
      </c>
      <c r="W25" s="246">
        <v>-8</v>
      </c>
    </row>
    <row r="26" spans="1:23">
      <c r="I26" s="246">
        <v>-7</v>
      </c>
      <c r="J26" s="248"/>
      <c r="K26" s="248"/>
      <c r="L26" s="248">
        <v>1034</v>
      </c>
      <c r="M26" s="248">
        <v>1042.7</v>
      </c>
      <c r="N26" s="248">
        <v>1050</v>
      </c>
      <c r="O26" s="248">
        <v>1060.3</v>
      </c>
      <c r="P26" s="248">
        <v>1067.5</v>
      </c>
      <c r="Q26" s="248"/>
      <c r="R26" s="248">
        <v>1032.7</v>
      </c>
      <c r="S26" s="248">
        <v>1038.0999999999999</v>
      </c>
      <c r="T26" s="248">
        <v>1042.9000000000001</v>
      </c>
      <c r="U26" s="248">
        <v>1046.8</v>
      </c>
      <c r="V26" s="248">
        <v>1050.5</v>
      </c>
      <c r="W26" s="246">
        <v>-7</v>
      </c>
    </row>
    <row r="27" spans="1:23">
      <c r="B27" s="27">
        <v>11</v>
      </c>
      <c r="C27" s="27"/>
      <c r="D27" s="27"/>
      <c r="E27" s="27"/>
      <c r="F27" s="27"/>
      <c r="I27" s="246">
        <v>-6</v>
      </c>
      <c r="J27" s="248"/>
      <c r="K27" s="248"/>
      <c r="L27" s="248">
        <v>1033.8</v>
      </c>
      <c r="M27" s="248">
        <v>1042.5</v>
      </c>
      <c r="N27" s="248">
        <v>1049.8</v>
      </c>
      <c r="O27" s="248">
        <v>1060</v>
      </c>
      <c r="P27" s="248">
        <v>1067.0999999999999</v>
      </c>
      <c r="Q27" s="248"/>
      <c r="R27" s="248">
        <v>1032.3</v>
      </c>
      <c r="S27" s="248">
        <v>1037.7</v>
      </c>
      <c r="T27" s="248">
        <v>1042.4000000000001</v>
      </c>
      <c r="U27" s="248">
        <v>1046.3</v>
      </c>
      <c r="V27" s="248">
        <v>1050</v>
      </c>
      <c r="W27" s="246">
        <v>-6</v>
      </c>
    </row>
    <row r="28" spans="1:23">
      <c r="B28" s="27"/>
      <c r="C28" s="27" t="s">
        <v>125</v>
      </c>
      <c r="D28" s="27" t="s">
        <v>126</v>
      </c>
      <c r="E28" s="27"/>
      <c r="F28" s="27" t="s">
        <v>128</v>
      </c>
      <c r="G28" s="27" t="s">
        <v>143</v>
      </c>
      <c r="H28" s="27"/>
      <c r="I28" s="246">
        <v>-5</v>
      </c>
      <c r="J28" s="248"/>
      <c r="K28" s="248"/>
      <c r="L28" s="248">
        <v>1033.5999999999999</v>
      </c>
      <c r="M28" s="248">
        <v>1042.3</v>
      </c>
      <c r="N28" s="248">
        <v>1049.5999999999999</v>
      </c>
      <c r="O28" s="248">
        <v>1059.7</v>
      </c>
      <c r="P28" s="248">
        <v>1066.7</v>
      </c>
      <c r="Q28" s="248"/>
      <c r="R28" s="248">
        <v>1031.9000000000001</v>
      </c>
      <c r="S28" s="248">
        <v>1037.3</v>
      </c>
      <c r="T28" s="248">
        <v>1041.9000000000001</v>
      </c>
      <c r="U28" s="248">
        <v>1045.8</v>
      </c>
      <c r="V28" s="248">
        <v>1049.4000000000001</v>
      </c>
      <c r="W28" s="246">
        <v>-5</v>
      </c>
    </row>
    <row r="29" spans="1:23">
      <c r="A29" s="27">
        <v>1</v>
      </c>
      <c r="B29" s="28" t="s">
        <v>562</v>
      </c>
      <c r="C29" s="27">
        <v>200</v>
      </c>
      <c r="D29" s="27">
        <v>6</v>
      </c>
      <c r="E29" s="27"/>
      <c r="F29" s="29">
        <v>7121000</v>
      </c>
      <c r="G29" s="27">
        <v>36</v>
      </c>
      <c r="H29" s="27"/>
      <c r="I29" s="246">
        <v>-4</v>
      </c>
      <c r="J29" s="248"/>
      <c r="K29" s="248"/>
      <c r="L29" s="248">
        <v>1033.4000000000001</v>
      </c>
      <c r="M29" s="248">
        <v>1042.0999999999999</v>
      </c>
      <c r="N29" s="248">
        <v>1049.4000000000001</v>
      </c>
      <c r="O29" s="248">
        <v>1059.3</v>
      </c>
      <c r="P29" s="248">
        <v>1066.3</v>
      </c>
      <c r="Q29" s="248"/>
      <c r="R29" s="248">
        <v>1031.5999999999999</v>
      </c>
      <c r="S29" s="248">
        <v>1036.9000000000001</v>
      </c>
      <c r="T29" s="248">
        <v>1041.5</v>
      </c>
      <c r="U29" s="248">
        <v>1045.3</v>
      </c>
      <c r="V29" s="248">
        <v>1048.9000000000001</v>
      </c>
      <c r="W29" s="246">
        <v>-4</v>
      </c>
    </row>
    <row r="30" spans="1:23">
      <c r="A30" s="27">
        <v>2</v>
      </c>
      <c r="B30" s="28" t="s">
        <v>563</v>
      </c>
      <c r="C30" s="27">
        <v>300</v>
      </c>
      <c r="D30" s="27">
        <v>6</v>
      </c>
      <c r="E30" s="27"/>
      <c r="F30" s="29">
        <v>7121001</v>
      </c>
      <c r="G30" s="27">
        <v>45</v>
      </c>
      <c r="H30" s="27"/>
      <c r="I30" s="246">
        <v>-3</v>
      </c>
      <c r="J30" s="248"/>
      <c r="K30" s="248"/>
      <c r="L30" s="248">
        <v>1033.2</v>
      </c>
      <c r="M30" s="248">
        <v>1041.9000000000001</v>
      </c>
      <c r="N30" s="248">
        <v>1049.0999999999999</v>
      </c>
      <c r="O30" s="248">
        <v>1059</v>
      </c>
      <c r="P30" s="248">
        <v>1065.9000000000001</v>
      </c>
      <c r="Q30" s="248"/>
      <c r="R30" s="248">
        <v>1031.2</v>
      </c>
      <c r="S30" s="248">
        <v>1036.4000000000001</v>
      </c>
      <c r="T30" s="248">
        <v>1041</v>
      </c>
      <c r="U30" s="248">
        <v>1044.8</v>
      </c>
      <c r="V30" s="248">
        <v>1048.4000000000001</v>
      </c>
      <c r="W30" s="246">
        <v>-3</v>
      </c>
    </row>
    <row r="31" spans="1:23">
      <c r="A31" s="27">
        <v>3</v>
      </c>
      <c r="B31" s="28" t="s">
        <v>564</v>
      </c>
      <c r="C31" s="27">
        <v>400</v>
      </c>
      <c r="D31" s="27">
        <v>6</v>
      </c>
      <c r="E31" s="27"/>
      <c r="F31" s="29">
        <v>7121002</v>
      </c>
      <c r="G31" s="27">
        <v>65</v>
      </c>
      <c r="H31" s="27"/>
      <c r="I31" s="246">
        <v>-2</v>
      </c>
      <c r="J31" s="248"/>
      <c r="K31" s="248"/>
      <c r="L31" s="248">
        <v>1033</v>
      </c>
      <c r="M31" s="248">
        <v>1041.7</v>
      </c>
      <c r="N31" s="248">
        <v>1048.9000000000001</v>
      </c>
      <c r="O31" s="248">
        <v>1058.5999999999999</v>
      </c>
      <c r="P31" s="248">
        <v>1065.5</v>
      </c>
      <c r="Q31" s="248"/>
      <c r="R31" s="248">
        <v>1030.8</v>
      </c>
      <c r="S31" s="248">
        <v>1036</v>
      </c>
      <c r="T31" s="248">
        <v>1040.5999999999999</v>
      </c>
      <c r="U31" s="248">
        <v>1044.3</v>
      </c>
      <c r="V31" s="248">
        <v>1047.9000000000001</v>
      </c>
      <c r="W31" s="246">
        <v>-2</v>
      </c>
    </row>
    <row r="32" spans="1:23">
      <c r="A32" s="27">
        <v>4</v>
      </c>
      <c r="B32" s="28" t="s">
        <v>565</v>
      </c>
      <c r="C32" s="27">
        <v>500</v>
      </c>
      <c r="D32" s="27">
        <v>6</v>
      </c>
      <c r="E32" s="27"/>
      <c r="F32" s="29">
        <v>7121003</v>
      </c>
      <c r="G32" s="27">
        <v>76</v>
      </c>
      <c r="H32" s="27"/>
      <c r="I32" s="246">
        <v>-1</v>
      </c>
      <c r="J32" s="248"/>
      <c r="K32" s="248"/>
      <c r="L32" s="248">
        <v>1032.8</v>
      </c>
      <c r="M32" s="248">
        <v>1041.5</v>
      </c>
      <c r="N32" s="248">
        <v>1048.7</v>
      </c>
      <c r="O32" s="248">
        <v>1058.3</v>
      </c>
      <c r="P32" s="248">
        <v>1065.0999999999999</v>
      </c>
      <c r="Q32" s="248"/>
      <c r="R32" s="248">
        <v>1030.4000000000001</v>
      </c>
      <c r="S32" s="248">
        <v>1035.5999999999999</v>
      </c>
      <c r="T32" s="248">
        <v>1040.0999999999999</v>
      </c>
      <c r="U32" s="248">
        <v>1043.8</v>
      </c>
      <c r="V32" s="248">
        <v>1047.3</v>
      </c>
      <c r="W32" s="246">
        <v>-1</v>
      </c>
    </row>
    <row r="33" spans="1:23">
      <c r="A33" s="27">
        <v>5</v>
      </c>
      <c r="B33" s="28" t="s">
        <v>566</v>
      </c>
      <c r="C33" s="27">
        <v>600</v>
      </c>
      <c r="D33" s="27">
        <v>6</v>
      </c>
      <c r="E33" s="27"/>
      <c r="F33" s="29">
        <v>7121004</v>
      </c>
      <c r="G33" s="27">
        <v>83</v>
      </c>
      <c r="H33" s="27"/>
      <c r="I33" s="246">
        <v>0</v>
      </c>
      <c r="J33" s="248">
        <v>999.9</v>
      </c>
      <c r="K33" s="248"/>
      <c r="L33" s="248">
        <v>1032.5999999999999</v>
      </c>
      <c r="M33" s="248">
        <v>1041.3</v>
      </c>
      <c r="N33" s="248">
        <v>1048.5</v>
      </c>
      <c r="O33" s="248">
        <v>1057.9000000000001</v>
      </c>
      <c r="P33" s="248">
        <v>1064.7</v>
      </c>
      <c r="Q33" s="248"/>
      <c r="R33" s="248">
        <v>1030</v>
      </c>
      <c r="S33" s="248">
        <v>1035.2</v>
      </c>
      <c r="T33" s="248">
        <v>1039.5999999999999</v>
      </c>
      <c r="U33" s="248">
        <v>1043.3</v>
      </c>
      <c r="V33" s="248">
        <v>1046.8</v>
      </c>
      <c r="W33" s="246">
        <v>0</v>
      </c>
    </row>
    <row r="34" spans="1:23">
      <c r="A34" s="27">
        <v>6</v>
      </c>
      <c r="B34" s="28" t="s">
        <v>567</v>
      </c>
      <c r="C34" s="27">
        <v>800</v>
      </c>
      <c r="D34" s="27">
        <v>6</v>
      </c>
      <c r="E34" s="27"/>
      <c r="F34" s="29">
        <v>7121005</v>
      </c>
      <c r="G34" s="27">
        <v>108</v>
      </c>
      <c r="H34" s="27"/>
      <c r="I34" s="5">
        <v>1</v>
      </c>
      <c r="J34" s="247">
        <v>999.9</v>
      </c>
      <c r="K34" s="247"/>
      <c r="L34" s="247">
        <v>1032.4000000000001</v>
      </c>
      <c r="M34" s="248">
        <v>1041</v>
      </c>
      <c r="N34" s="247">
        <v>1048.0999999999999</v>
      </c>
      <c r="O34" s="248">
        <v>1057.5</v>
      </c>
      <c r="P34" s="247">
        <v>1064.2</v>
      </c>
      <c r="Q34" s="247"/>
      <c r="R34" s="248">
        <v>1029.5999999999999</v>
      </c>
      <c r="S34" s="248">
        <v>1034.7</v>
      </c>
      <c r="T34" s="247">
        <v>1039.0999999999999</v>
      </c>
      <c r="U34" s="248">
        <v>1042.7</v>
      </c>
      <c r="V34" s="248">
        <v>1046.2</v>
      </c>
      <c r="W34" s="5">
        <v>1</v>
      </c>
    </row>
    <row r="35" spans="1:23">
      <c r="A35" s="27">
        <v>7</v>
      </c>
      <c r="B35" s="28" t="s">
        <v>568</v>
      </c>
      <c r="C35" s="27">
        <v>300</v>
      </c>
      <c r="D35" s="27">
        <v>6</v>
      </c>
      <c r="E35" s="27"/>
      <c r="F35" s="29">
        <v>7121006</v>
      </c>
      <c r="G35" s="27">
        <v>140</v>
      </c>
      <c r="H35" s="27"/>
      <c r="I35" s="5">
        <v>2</v>
      </c>
      <c r="J35" s="247">
        <v>999.9</v>
      </c>
      <c r="K35" s="247"/>
      <c r="L35" s="247">
        <v>1032.3</v>
      </c>
      <c r="M35" s="248">
        <v>1040.8</v>
      </c>
      <c r="N35" s="247">
        <v>1047.8</v>
      </c>
      <c r="O35" s="248">
        <v>1057.0999999999999</v>
      </c>
      <c r="P35" s="247">
        <v>1063.8</v>
      </c>
      <c r="Q35" s="247"/>
      <c r="R35" s="247">
        <v>1029.0999999999999</v>
      </c>
      <c r="S35" s="248">
        <v>1034.3</v>
      </c>
      <c r="T35" s="247">
        <v>1038.5999999999999</v>
      </c>
      <c r="U35" s="248">
        <v>1042.2</v>
      </c>
      <c r="V35" s="248">
        <v>1045.7</v>
      </c>
      <c r="W35" s="5">
        <v>2</v>
      </c>
    </row>
    <row r="36" spans="1:23">
      <c r="A36" s="27">
        <v>8</v>
      </c>
      <c r="B36" s="28" t="s">
        <v>569</v>
      </c>
      <c r="C36" s="27">
        <v>500</v>
      </c>
      <c r="D36" s="27">
        <v>6</v>
      </c>
      <c r="E36" s="27"/>
      <c r="F36" s="29">
        <v>7121007</v>
      </c>
      <c r="G36" s="27">
        <v>190</v>
      </c>
      <c r="H36" s="27"/>
      <c r="I36" s="5">
        <v>3</v>
      </c>
      <c r="J36" s="247">
        <v>1000</v>
      </c>
      <c r="K36" s="247"/>
      <c r="L36" s="247">
        <v>1032.0999999999999</v>
      </c>
      <c r="M36" s="248">
        <v>1040.5</v>
      </c>
      <c r="N36" s="247">
        <v>1047.5</v>
      </c>
      <c r="O36" s="248">
        <v>1056.7</v>
      </c>
      <c r="P36" s="247">
        <v>1063.4000000000001</v>
      </c>
      <c r="Q36" s="247"/>
      <c r="R36" s="247">
        <v>1028.7</v>
      </c>
      <c r="S36" s="248">
        <v>1033.8</v>
      </c>
      <c r="T36" s="247">
        <v>1038.0999999999999</v>
      </c>
      <c r="U36" s="248">
        <v>1041.7</v>
      </c>
      <c r="V36" s="248">
        <v>1045.0999999999999</v>
      </c>
      <c r="W36" s="5">
        <v>3</v>
      </c>
    </row>
    <row r="37" spans="1:23">
      <c r="A37" s="27">
        <v>9</v>
      </c>
      <c r="B37" s="28" t="s">
        <v>570</v>
      </c>
      <c r="C37" s="27">
        <v>700</v>
      </c>
      <c r="D37" s="27">
        <v>6</v>
      </c>
      <c r="E37" s="27"/>
      <c r="F37" s="29">
        <v>7121008</v>
      </c>
      <c r="G37" s="27">
        <v>210</v>
      </c>
      <c r="H37" s="27"/>
      <c r="I37" s="5">
        <v>4</v>
      </c>
      <c r="J37" s="247">
        <v>1000</v>
      </c>
      <c r="K37" s="247"/>
      <c r="L37" s="247">
        <v>1031.9000000000001</v>
      </c>
      <c r="M37" s="248">
        <v>1040.3</v>
      </c>
      <c r="N37" s="247">
        <v>1047.0999999999999</v>
      </c>
      <c r="O37" s="248">
        <v>1056.3</v>
      </c>
      <c r="P37" s="247">
        <v>1062.9000000000001</v>
      </c>
      <c r="Q37" s="247"/>
      <c r="R37" s="247">
        <v>1028.3</v>
      </c>
      <c r="S37" s="248">
        <v>1033.3</v>
      </c>
      <c r="T37" s="247">
        <v>1037.5999999999999</v>
      </c>
      <c r="U37" s="248">
        <v>1041.2</v>
      </c>
      <c r="V37" s="248">
        <v>1044.5999999999999</v>
      </c>
      <c r="W37" s="5">
        <v>4</v>
      </c>
    </row>
    <row r="38" spans="1:23">
      <c r="A38" s="27">
        <v>10</v>
      </c>
      <c r="B38" s="28" t="s">
        <v>571</v>
      </c>
      <c r="C38" s="27">
        <v>1000</v>
      </c>
      <c r="D38" s="27">
        <v>6</v>
      </c>
      <c r="E38" s="27"/>
      <c r="F38" s="29">
        <v>7121009</v>
      </c>
      <c r="G38" s="27">
        <v>290</v>
      </c>
      <c r="H38" s="27"/>
      <c r="I38" s="5">
        <v>5</v>
      </c>
      <c r="J38" s="247">
        <v>1000</v>
      </c>
      <c r="K38" s="247"/>
      <c r="L38" s="247">
        <v>1031.7</v>
      </c>
      <c r="M38" s="248">
        <v>1040</v>
      </c>
      <c r="N38" s="247">
        <v>1046.8</v>
      </c>
      <c r="O38" s="248">
        <v>1055.9000000000001</v>
      </c>
      <c r="P38" s="247">
        <v>1062.5</v>
      </c>
      <c r="Q38" s="247"/>
      <c r="R38" s="247">
        <v>1027.9000000000001</v>
      </c>
      <c r="S38" s="248">
        <v>1032.9000000000001</v>
      </c>
      <c r="T38" s="247">
        <v>1037.0999999999999</v>
      </c>
      <c r="U38" s="248">
        <v>1040.5999999999999</v>
      </c>
      <c r="V38" s="248">
        <v>1044</v>
      </c>
      <c r="W38" s="5">
        <v>5</v>
      </c>
    </row>
    <row r="39" spans="1:23">
      <c r="A39" s="27">
        <v>11</v>
      </c>
      <c r="B39" s="28" t="s">
        <v>572</v>
      </c>
      <c r="C39" s="27">
        <v>1500</v>
      </c>
      <c r="D39" s="27">
        <v>6</v>
      </c>
      <c r="E39" s="27"/>
      <c r="F39" s="29">
        <v>7121010</v>
      </c>
      <c r="G39" s="27">
        <v>400</v>
      </c>
      <c r="H39" s="27"/>
      <c r="I39" s="5">
        <v>6</v>
      </c>
      <c r="J39" s="247">
        <v>999.9</v>
      </c>
      <c r="K39" s="247"/>
      <c r="L39" s="247">
        <v>1031.5</v>
      </c>
      <c r="M39" s="248">
        <v>1039.7</v>
      </c>
      <c r="N39" s="247">
        <v>1046.5</v>
      </c>
      <c r="O39" s="248">
        <v>1055.5</v>
      </c>
      <c r="P39" s="247">
        <v>1062.0999999999999</v>
      </c>
      <c r="Q39" s="247"/>
      <c r="R39" s="247">
        <v>1027.4000000000001</v>
      </c>
      <c r="S39" s="248">
        <v>1032.4000000000001</v>
      </c>
      <c r="T39" s="247">
        <v>1036.5999999999999</v>
      </c>
      <c r="U39" s="248">
        <v>1040.0999999999999</v>
      </c>
      <c r="V39" s="248">
        <v>1043.5</v>
      </c>
      <c r="W39" s="5">
        <v>6</v>
      </c>
    </row>
    <row r="40" spans="1:23">
      <c r="A40" s="27">
        <v>12</v>
      </c>
      <c r="B40" s="28" t="s">
        <v>573</v>
      </c>
      <c r="C40" s="27">
        <v>2000</v>
      </c>
      <c r="D40" s="27">
        <v>6</v>
      </c>
      <c r="E40" s="27"/>
      <c r="F40" s="29">
        <v>7121015</v>
      </c>
      <c r="G40" s="27">
        <v>680</v>
      </c>
      <c r="H40" s="27"/>
      <c r="I40" s="5">
        <v>7</v>
      </c>
      <c r="J40" s="247">
        <v>999.9</v>
      </c>
      <c r="K40" s="247"/>
      <c r="L40" s="247">
        <v>1031.3</v>
      </c>
      <c r="M40" s="248">
        <v>1039.5</v>
      </c>
      <c r="N40" s="247">
        <v>1046.2</v>
      </c>
      <c r="O40" s="248">
        <v>1055.0999999999999</v>
      </c>
      <c r="P40" s="247">
        <v>1061.5999999999999</v>
      </c>
      <c r="Q40" s="247"/>
      <c r="R40" s="247">
        <v>1027</v>
      </c>
      <c r="S40" s="248">
        <v>1031.9000000000001</v>
      </c>
      <c r="T40" s="247">
        <v>1036.0999999999999</v>
      </c>
      <c r="U40" s="248">
        <v>1039.5999999999999</v>
      </c>
      <c r="V40" s="248">
        <v>1042.9000000000001</v>
      </c>
      <c r="W40" s="5">
        <v>7</v>
      </c>
    </row>
    <row r="41" spans="1:23">
      <c r="A41" s="27">
        <v>13</v>
      </c>
      <c r="B41" s="28" t="s">
        <v>574</v>
      </c>
      <c r="C41" s="27">
        <v>3000</v>
      </c>
      <c r="D41" s="27">
        <v>6</v>
      </c>
      <c r="E41" s="27"/>
      <c r="F41" s="29">
        <v>7121012</v>
      </c>
      <c r="G41" s="27">
        <v>840</v>
      </c>
      <c r="H41" s="27"/>
      <c r="I41" s="5">
        <v>8</v>
      </c>
      <c r="J41" s="247">
        <v>999.8</v>
      </c>
      <c r="K41" s="247"/>
      <c r="L41" s="247">
        <v>1031.2</v>
      </c>
      <c r="M41" s="248">
        <v>1039.2</v>
      </c>
      <c r="N41" s="247">
        <v>1045.8</v>
      </c>
      <c r="O41" s="248">
        <v>1054.7</v>
      </c>
      <c r="P41" s="247">
        <v>1061.2</v>
      </c>
      <c r="Q41" s="247"/>
      <c r="R41" s="247">
        <v>1026.5999999999999</v>
      </c>
      <c r="S41" s="248">
        <v>1031.5</v>
      </c>
      <c r="T41" s="247">
        <v>1035.5999999999999</v>
      </c>
      <c r="U41" s="248">
        <v>1039.0999999999999</v>
      </c>
      <c r="V41" s="248">
        <v>1042.4000000000001</v>
      </c>
      <c r="W41" s="5">
        <v>8</v>
      </c>
    </row>
    <row r="42" spans="1:23">
      <c r="A42" s="27">
        <v>14</v>
      </c>
      <c r="B42" s="28" t="s">
        <v>575</v>
      </c>
      <c r="C42" s="27">
        <v>4000</v>
      </c>
      <c r="D42" s="27">
        <v>6</v>
      </c>
      <c r="E42" s="27"/>
      <c r="F42" s="29">
        <v>7121013</v>
      </c>
      <c r="G42" s="27">
        <v>950</v>
      </c>
      <c r="H42" s="27"/>
      <c r="I42" s="5">
        <v>9</v>
      </c>
      <c r="J42" s="247">
        <v>999.8</v>
      </c>
      <c r="K42" s="247"/>
      <c r="L42" s="247">
        <v>1031</v>
      </c>
      <c r="M42" s="248">
        <v>1039</v>
      </c>
      <c r="N42" s="247">
        <v>1045.5</v>
      </c>
      <c r="O42" s="248">
        <v>1054.3</v>
      </c>
      <c r="P42" s="247">
        <v>1060.8</v>
      </c>
      <c r="Q42" s="247"/>
      <c r="R42" s="247">
        <v>1026.2</v>
      </c>
      <c r="S42" s="248">
        <v>1031</v>
      </c>
      <c r="T42" s="247">
        <v>1035.0999999999999</v>
      </c>
      <c r="U42" s="248">
        <v>1038.5</v>
      </c>
      <c r="V42" s="248">
        <v>1041.8</v>
      </c>
      <c r="W42" s="5">
        <v>9</v>
      </c>
    </row>
    <row r="43" spans="1:23">
      <c r="A43" s="27">
        <v>15</v>
      </c>
      <c r="B43" s="28" t="s">
        <v>576</v>
      </c>
      <c r="C43" s="27">
        <v>5000</v>
      </c>
      <c r="D43" s="27">
        <v>6</v>
      </c>
      <c r="E43" s="27"/>
      <c r="F43" s="29">
        <v>7121014</v>
      </c>
      <c r="G43" s="27">
        <v>1050</v>
      </c>
      <c r="H43" s="27"/>
      <c r="I43" s="5">
        <v>10</v>
      </c>
      <c r="J43" s="247">
        <v>999.7</v>
      </c>
      <c r="K43" s="247"/>
      <c r="L43" s="247">
        <v>1030.8</v>
      </c>
      <c r="M43" s="248">
        <v>1038.7</v>
      </c>
      <c r="N43" s="247">
        <v>1045.2</v>
      </c>
      <c r="O43" s="248">
        <v>1053.9000000000001</v>
      </c>
      <c r="P43" s="247">
        <v>1060.3</v>
      </c>
      <c r="Q43" s="247"/>
      <c r="R43" s="247">
        <v>1025.7</v>
      </c>
      <c r="S43" s="248">
        <v>1030.5</v>
      </c>
      <c r="T43" s="247">
        <v>1034.7</v>
      </c>
      <c r="U43" s="248">
        <v>1038</v>
      </c>
      <c r="V43" s="248">
        <v>1041.2</v>
      </c>
      <c r="W43" s="5">
        <v>10</v>
      </c>
    </row>
    <row r="44" spans="1:23">
      <c r="A44" s="27">
        <v>16</v>
      </c>
      <c r="B44" s="28" t="s">
        <v>577</v>
      </c>
      <c r="C44" s="27">
        <v>300</v>
      </c>
      <c r="D44" s="27">
        <v>10</v>
      </c>
      <c r="E44" s="27"/>
      <c r="F44" s="27">
        <v>7130000</v>
      </c>
      <c r="G44" s="27">
        <v>160</v>
      </c>
      <c r="H44" s="27"/>
      <c r="I44" s="5">
        <v>11</v>
      </c>
      <c r="J44" s="247">
        <v>999.6</v>
      </c>
      <c r="K44" s="247"/>
      <c r="L44" s="247">
        <v>1030.5</v>
      </c>
      <c r="M44" s="248">
        <v>1038.4000000000001</v>
      </c>
      <c r="N44" s="247">
        <v>1044.8</v>
      </c>
      <c r="O44" s="248">
        <v>1053.5</v>
      </c>
      <c r="P44" s="247">
        <v>1059.9000000000001</v>
      </c>
      <c r="Q44" s="247"/>
      <c r="R44" s="247">
        <v>1025.3</v>
      </c>
      <c r="S44" s="248">
        <v>1030</v>
      </c>
      <c r="T44" s="247">
        <v>1034.0999999999999</v>
      </c>
      <c r="U44" s="248">
        <v>1037.4000000000001</v>
      </c>
      <c r="V44" s="248">
        <v>1040.7</v>
      </c>
      <c r="W44" s="5">
        <v>11</v>
      </c>
    </row>
    <row r="45" spans="1:23">
      <c r="A45" s="27">
        <v>17</v>
      </c>
      <c r="B45" s="28" t="s">
        <v>578</v>
      </c>
      <c r="C45" s="27">
        <v>500</v>
      </c>
      <c r="D45" s="27">
        <v>10</v>
      </c>
      <c r="E45" s="27"/>
      <c r="F45" s="27">
        <v>7130001</v>
      </c>
      <c r="G45" s="27">
        <v>220</v>
      </c>
      <c r="H45" s="27"/>
      <c r="I45" s="5">
        <v>12</v>
      </c>
      <c r="J45" s="247">
        <v>999.4</v>
      </c>
      <c r="K45" s="247"/>
      <c r="L45" s="247">
        <v>1030.2</v>
      </c>
      <c r="M45" s="248">
        <v>1038</v>
      </c>
      <c r="N45" s="247">
        <v>1044.4000000000001</v>
      </c>
      <c r="O45" s="248">
        <v>1053.0999999999999</v>
      </c>
      <c r="P45" s="247">
        <v>1059.5</v>
      </c>
      <c r="Q45" s="247"/>
      <c r="R45" s="247">
        <v>1024.8</v>
      </c>
      <c r="S45" s="248">
        <v>1029.5</v>
      </c>
      <c r="T45" s="247">
        <v>1033.5999999999999</v>
      </c>
      <c r="U45" s="248">
        <v>1036.9000000000001</v>
      </c>
      <c r="V45" s="248">
        <v>1040.0999999999999</v>
      </c>
      <c r="W45" s="5">
        <v>12</v>
      </c>
    </row>
    <row r="46" spans="1:23">
      <c r="A46" s="27">
        <v>18</v>
      </c>
      <c r="B46" s="28" t="s">
        <v>579</v>
      </c>
      <c r="C46" s="27">
        <v>700</v>
      </c>
      <c r="D46" s="27">
        <v>10</v>
      </c>
      <c r="E46" s="27"/>
      <c r="F46" s="27">
        <v>7130002</v>
      </c>
      <c r="G46" s="27">
        <v>250</v>
      </c>
      <c r="H46" s="27"/>
      <c r="I46" s="5">
        <v>13</v>
      </c>
      <c r="J46" s="247">
        <v>999.3</v>
      </c>
      <c r="K46" s="247"/>
      <c r="L46" s="247">
        <v>1029.9000000000001</v>
      </c>
      <c r="M46" s="248">
        <v>1037.5999999999999</v>
      </c>
      <c r="N46" s="247">
        <v>1044</v>
      </c>
      <c r="O46" s="248">
        <v>1052.7</v>
      </c>
      <c r="P46" s="247">
        <v>1059</v>
      </c>
      <c r="Q46" s="247"/>
      <c r="R46" s="247">
        <v>1024.4000000000001</v>
      </c>
      <c r="S46" s="248">
        <v>1029</v>
      </c>
      <c r="T46" s="247">
        <v>1033</v>
      </c>
      <c r="U46" s="248">
        <v>1036.3</v>
      </c>
      <c r="V46" s="248">
        <v>1039.5</v>
      </c>
      <c r="W46" s="5">
        <v>13</v>
      </c>
    </row>
    <row r="47" spans="1:23">
      <c r="A47" s="27">
        <v>19</v>
      </c>
      <c r="B47" s="28" t="s">
        <v>580</v>
      </c>
      <c r="C47" s="27">
        <v>1000</v>
      </c>
      <c r="D47" s="27">
        <v>10</v>
      </c>
      <c r="E47" s="27"/>
      <c r="F47" s="27">
        <v>7130003</v>
      </c>
      <c r="G47" s="27">
        <v>340</v>
      </c>
      <c r="H47" s="27"/>
      <c r="I47" s="5">
        <v>14</v>
      </c>
      <c r="J47" s="247">
        <v>999.1</v>
      </c>
      <c r="K47" s="247"/>
      <c r="L47" s="247">
        <v>1029.7</v>
      </c>
      <c r="M47" s="248">
        <v>1037.3</v>
      </c>
      <c r="N47" s="247">
        <v>1043.5999999999999</v>
      </c>
      <c r="O47" s="248">
        <v>1052.3</v>
      </c>
      <c r="P47" s="247">
        <v>1058.5999999999999</v>
      </c>
      <c r="Q47" s="247"/>
      <c r="R47" s="247">
        <v>1023.9</v>
      </c>
      <c r="S47" s="248">
        <v>1028.5</v>
      </c>
      <c r="T47" s="247">
        <v>1032.5</v>
      </c>
      <c r="U47" s="248">
        <v>1035.8</v>
      </c>
      <c r="V47" s="248">
        <v>1038.9000000000001</v>
      </c>
      <c r="W47" s="5">
        <v>14</v>
      </c>
    </row>
    <row r="48" spans="1:23">
      <c r="A48" s="27">
        <v>20</v>
      </c>
      <c r="B48" s="28" t="s">
        <v>581</v>
      </c>
      <c r="C48" s="27">
        <v>1500</v>
      </c>
      <c r="D48" s="27">
        <v>10</v>
      </c>
      <c r="E48" s="27"/>
      <c r="F48" s="27">
        <v>7130004</v>
      </c>
      <c r="G48" s="27">
        <v>460</v>
      </c>
      <c r="H48" s="27"/>
      <c r="I48" s="5">
        <v>15</v>
      </c>
      <c r="J48" s="247">
        <v>999</v>
      </c>
      <c r="K48" s="247"/>
      <c r="L48" s="247">
        <v>1029.4000000000001</v>
      </c>
      <c r="M48" s="248">
        <v>1036.9000000000001</v>
      </c>
      <c r="N48" s="247">
        <v>1043.2</v>
      </c>
      <c r="O48" s="248">
        <v>1051.9000000000001</v>
      </c>
      <c r="P48" s="247">
        <v>1058.2</v>
      </c>
      <c r="Q48" s="247"/>
      <c r="R48" s="247">
        <v>1023.4</v>
      </c>
      <c r="S48" s="248">
        <v>1028</v>
      </c>
      <c r="T48" s="247">
        <v>1032</v>
      </c>
      <c r="U48" s="248">
        <v>1035.2</v>
      </c>
      <c r="V48" s="248">
        <v>1038.3</v>
      </c>
      <c r="W48" s="5">
        <v>15</v>
      </c>
    </row>
    <row r="49" spans="1:23">
      <c r="A49" s="27">
        <v>21</v>
      </c>
      <c r="B49" s="28" t="s">
        <v>582</v>
      </c>
      <c r="C49" s="27">
        <v>2000</v>
      </c>
      <c r="D49" s="27">
        <v>10</v>
      </c>
      <c r="E49" s="27"/>
      <c r="F49" s="27">
        <v>7130009</v>
      </c>
      <c r="G49" s="27">
        <v>760</v>
      </c>
      <c r="H49" s="27"/>
      <c r="I49" s="5">
        <v>16</v>
      </c>
      <c r="J49" s="247">
        <v>998.8</v>
      </c>
      <c r="K49" s="247"/>
      <c r="L49" s="247">
        <v>1029.0999999999999</v>
      </c>
      <c r="M49" s="248">
        <v>1036.5999999999999</v>
      </c>
      <c r="N49" s="247">
        <v>1042.8</v>
      </c>
      <c r="O49" s="248">
        <v>1051.5</v>
      </c>
      <c r="P49" s="247">
        <v>1057.7</v>
      </c>
      <c r="Q49" s="247"/>
      <c r="R49" s="247">
        <v>1023</v>
      </c>
      <c r="S49" s="248">
        <v>1027.5</v>
      </c>
      <c r="T49" s="247">
        <v>1031.4000000000001</v>
      </c>
      <c r="U49" s="248">
        <v>1034.5999999999999</v>
      </c>
      <c r="V49" s="248">
        <v>1037.7</v>
      </c>
      <c r="W49" s="5">
        <v>16</v>
      </c>
    </row>
    <row r="50" spans="1:23">
      <c r="A50" s="27">
        <v>22</v>
      </c>
      <c r="B50" s="28" t="s">
        <v>583</v>
      </c>
      <c r="C50" s="27">
        <v>3000</v>
      </c>
      <c r="D50" s="27">
        <v>10</v>
      </c>
      <c r="E50" s="27"/>
      <c r="F50" s="27">
        <v>7130006</v>
      </c>
      <c r="G50" s="27">
        <v>920</v>
      </c>
      <c r="H50" s="27"/>
      <c r="I50" s="5">
        <v>17</v>
      </c>
      <c r="J50" s="247">
        <v>998.7</v>
      </c>
      <c r="K50" s="247"/>
      <c r="L50" s="247">
        <v>1028.8</v>
      </c>
      <c r="M50" s="248">
        <v>1036.2</v>
      </c>
      <c r="N50" s="247">
        <v>1042.4000000000001</v>
      </c>
      <c r="O50" s="248">
        <v>1051.0999999999999</v>
      </c>
      <c r="P50" s="247">
        <v>1057.3</v>
      </c>
      <c r="Q50" s="247"/>
      <c r="R50" s="247">
        <v>1022.5</v>
      </c>
      <c r="S50" s="248">
        <v>1027</v>
      </c>
      <c r="T50" s="247">
        <v>1030.9000000000001</v>
      </c>
      <c r="U50" s="248">
        <v>1034.0999999999999</v>
      </c>
      <c r="V50" s="248">
        <v>1037.0999999999999</v>
      </c>
      <c r="W50" s="5">
        <v>17</v>
      </c>
    </row>
    <row r="51" spans="1:23">
      <c r="A51" s="27">
        <v>23</v>
      </c>
      <c r="B51" s="28" t="s">
        <v>584</v>
      </c>
      <c r="C51" s="27">
        <v>4000</v>
      </c>
      <c r="D51" s="27">
        <v>10</v>
      </c>
      <c r="E51" s="27"/>
      <c r="F51" s="27">
        <v>7130007</v>
      </c>
      <c r="G51" s="27">
        <v>1060</v>
      </c>
      <c r="H51" s="27"/>
      <c r="I51" s="5">
        <v>18</v>
      </c>
      <c r="J51" s="247">
        <v>998.5</v>
      </c>
      <c r="K51" s="247"/>
      <c r="L51" s="247">
        <v>1028.5</v>
      </c>
      <c r="M51" s="248">
        <v>1035.9000000000001</v>
      </c>
      <c r="N51" s="247">
        <v>1042</v>
      </c>
      <c r="O51" s="248">
        <v>1050.7</v>
      </c>
      <c r="P51" s="247">
        <v>1056.9000000000001</v>
      </c>
      <c r="Q51" s="247"/>
      <c r="R51" s="247">
        <v>1022</v>
      </c>
      <c r="S51" s="248">
        <v>1026.5</v>
      </c>
      <c r="T51" s="247">
        <v>1030.4000000000001</v>
      </c>
      <c r="U51" s="248">
        <v>1033.5</v>
      </c>
      <c r="V51" s="248">
        <v>1036.5</v>
      </c>
      <c r="W51" s="5">
        <v>18</v>
      </c>
    </row>
    <row r="52" spans="1:23">
      <c r="A52" s="27">
        <v>24</v>
      </c>
      <c r="B52" s="28" t="s">
        <v>585</v>
      </c>
      <c r="C52" s="27">
        <v>5000</v>
      </c>
      <c r="D52" s="27">
        <v>10</v>
      </c>
      <c r="E52" s="27"/>
      <c r="F52" s="27">
        <v>7130008</v>
      </c>
      <c r="G52" s="27">
        <v>1180</v>
      </c>
      <c r="H52" s="27"/>
      <c r="I52" s="5">
        <v>19</v>
      </c>
      <c r="J52" s="247">
        <v>998.4</v>
      </c>
      <c r="K52" s="247"/>
      <c r="L52" s="247">
        <v>1028.2</v>
      </c>
      <c r="M52" s="248">
        <v>1035.5</v>
      </c>
      <c r="N52" s="247">
        <v>1041.5999999999999</v>
      </c>
      <c r="O52" s="248">
        <v>1050.3</v>
      </c>
      <c r="P52" s="247">
        <v>1056.4000000000001</v>
      </c>
      <c r="Q52" s="247"/>
      <c r="R52" s="247">
        <v>1021.6</v>
      </c>
      <c r="S52" s="248">
        <v>1026</v>
      </c>
      <c r="T52" s="247">
        <v>1029.8</v>
      </c>
      <c r="U52" s="248">
        <v>1032.9000000000001</v>
      </c>
      <c r="V52" s="248">
        <v>1035.9000000000001</v>
      </c>
      <c r="W52" s="5">
        <v>19</v>
      </c>
    </row>
    <row r="53" spans="1:23">
      <c r="A53" s="27"/>
      <c r="B53" s="28"/>
      <c r="C53" s="27"/>
      <c r="D53" s="27"/>
      <c r="E53" s="27"/>
      <c r="F53" s="27"/>
      <c r="G53" s="27"/>
      <c r="H53" s="27"/>
      <c r="I53" s="5">
        <v>20</v>
      </c>
      <c r="J53" s="248">
        <v>998.2</v>
      </c>
      <c r="K53" s="248"/>
      <c r="L53" s="247">
        <v>1027.9000000000001</v>
      </c>
      <c r="M53" s="248">
        <v>1035.0999999999999</v>
      </c>
      <c r="N53" s="247">
        <v>1041.2</v>
      </c>
      <c r="O53" s="248">
        <v>1049.9000000000001</v>
      </c>
      <c r="P53" s="247">
        <v>1056</v>
      </c>
      <c r="Q53" s="247"/>
      <c r="R53" s="247">
        <v>1021.1</v>
      </c>
      <c r="S53" s="248">
        <v>1025.5999999999999</v>
      </c>
      <c r="T53" s="247">
        <v>1029.3</v>
      </c>
      <c r="U53" s="248">
        <v>1032.4000000000001</v>
      </c>
      <c r="V53" s="248">
        <v>1035.4000000000001</v>
      </c>
      <c r="W53" s="5">
        <v>20</v>
      </c>
    </row>
    <row r="54" spans="1:23">
      <c r="A54" s="27"/>
      <c r="B54" s="28"/>
      <c r="C54" s="27"/>
      <c r="D54" s="27"/>
      <c r="E54" s="27"/>
      <c r="F54" s="27"/>
      <c r="G54" s="27"/>
      <c r="H54" s="27"/>
      <c r="I54" s="5">
        <v>21</v>
      </c>
      <c r="J54" s="248">
        <v>998</v>
      </c>
      <c r="K54" s="248"/>
      <c r="L54" s="247">
        <v>1027.5999999999999</v>
      </c>
      <c r="M54" s="248">
        <v>1034.8</v>
      </c>
      <c r="N54" s="247">
        <v>1040.8</v>
      </c>
      <c r="O54" s="248">
        <v>1049.5</v>
      </c>
      <c r="P54" s="247">
        <v>1055.5</v>
      </c>
      <c r="Q54" s="247"/>
      <c r="R54" s="247">
        <v>1020.6</v>
      </c>
      <c r="S54" s="248">
        <v>1025</v>
      </c>
      <c r="T54" s="247">
        <v>1028.7</v>
      </c>
      <c r="U54" s="248">
        <v>1031.8</v>
      </c>
      <c r="V54" s="248">
        <v>1034.7</v>
      </c>
      <c r="W54" s="5">
        <v>21</v>
      </c>
    </row>
    <row r="55" spans="1:23">
      <c r="A55" s="27"/>
      <c r="B55" s="28"/>
      <c r="C55" s="27"/>
      <c r="D55" s="27"/>
      <c r="E55" s="27"/>
      <c r="F55" s="27"/>
      <c r="G55" s="27"/>
      <c r="H55" s="27"/>
      <c r="I55" s="5">
        <v>22</v>
      </c>
      <c r="J55" s="248">
        <v>997.7</v>
      </c>
      <c r="K55" s="248"/>
      <c r="L55" s="247">
        <v>1027.2</v>
      </c>
      <c r="M55" s="248">
        <v>1034.4000000000001</v>
      </c>
      <c r="N55" s="247">
        <v>1040.4000000000001</v>
      </c>
      <c r="O55" s="248">
        <v>1049</v>
      </c>
      <c r="P55" s="247">
        <v>1055</v>
      </c>
      <c r="Q55" s="247"/>
      <c r="R55" s="247">
        <v>1020.1</v>
      </c>
      <c r="S55" s="248">
        <v>1024.5</v>
      </c>
      <c r="T55" s="247">
        <v>1028.2</v>
      </c>
      <c r="U55" s="248">
        <v>1031.2</v>
      </c>
      <c r="V55" s="248">
        <v>1034.0999999999999</v>
      </c>
      <c r="W55" s="5">
        <v>22</v>
      </c>
    </row>
    <row r="56" spans="1:23">
      <c r="A56" s="27"/>
      <c r="B56" s="28"/>
      <c r="C56" s="27"/>
      <c r="D56" s="27"/>
      <c r="E56" s="27"/>
      <c r="F56" s="27"/>
      <c r="G56" s="27"/>
      <c r="H56" s="27"/>
      <c r="I56" s="5">
        <v>23</v>
      </c>
      <c r="J56" s="248">
        <v>997.5</v>
      </c>
      <c r="K56" s="248"/>
      <c r="L56" s="247">
        <v>1026.9000000000001</v>
      </c>
      <c r="M56" s="248">
        <v>1034</v>
      </c>
      <c r="N56" s="247">
        <v>1040</v>
      </c>
      <c r="O56" s="248">
        <v>1048.5</v>
      </c>
      <c r="P56" s="247">
        <v>1054.5</v>
      </c>
      <c r="Q56" s="247"/>
      <c r="R56" s="247">
        <v>1019.6</v>
      </c>
      <c r="S56" s="248">
        <v>1023.9</v>
      </c>
      <c r="T56" s="247">
        <v>1027.5999999999999</v>
      </c>
      <c r="U56" s="248">
        <v>1030.5999999999999</v>
      </c>
      <c r="V56" s="248">
        <v>1033.5</v>
      </c>
      <c r="W56" s="5">
        <v>23</v>
      </c>
    </row>
    <row r="57" spans="1:23">
      <c r="A57" s="27"/>
      <c r="B57" s="28"/>
      <c r="C57" s="27"/>
      <c r="D57" s="27"/>
      <c r="E57" s="27"/>
      <c r="F57" s="27"/>
      <c r="G57" s="27"/>
      <c r="H57" s="27"/>
      <c r="I57" s="5">
        <v>24</v>
      </c>
      <c r="J57" s="248">
        <v>997.2</v>
      </c>
      <c r="K57" s="248"/>
      <c r="L57" s="247">
        <v>1026.5</v>
      </c>
      <c r="M57" s="248">
        <v>1033.5999999999999</v>
      </c>
      <c r="N57" s="247">
        <v>1039.5999999999999</v>
      </c>
      <c r="O57" s="248">
        <v>1048.0999999999999</v>
      </c>
      <c r="P57" s="247">
        <v>1053.9000000000001</v>
      </c>
      <c r="Q57" s="247"/>
      <c r="R57" s="247">
        <v>1019.1</v>
      </c>
      <c r="S57" s="248">
        <v>1023.4</v>
      </c>
      <c r="T57" s="247">
        <v>1027</v>
      </c>
      <c r="U57" s="248">
        <v>1030</v>
      </c>
      <c r="V57" s="248">
        <v>1032.8</v>
      </c>
      <c r="W57" s="5">
        <v>24</v>
      </c>
    </row>
    <row r="58" spans="1:23">
      <c r="A58" s="27"/>
      <c r="B58" s="28"/>
      <c r="C58" s="27"/>
      <c r="D58" s="27"/>
      <c r="E58" s="27"/>
      <c r="F58" s="27"/>
      <c r="G58" s="27"/>
      <c r="H58" s="27"/>
      <c r="I58" s="5">
        <v>25</v>
      </c>
      <c r="J58" s="248">
        <v>997</v>
      </c>
      <c r="K58" s="248"/>
      <c r="L58" s="247">
        <v>1026.0999999999999</v>
      </c>
      <c r="M58" s="248">
        <v>1033.3</v>
      </c>
      <c r="N58" s="247">
        <v>1039.2</v>
      </c>
      <c r="O58" s="248">
        <v>1047.5999999999999</v>
      </c>
      <c r="P58" s="247">
        <v>1053.4000000000001</v>
      </c>
      <c r="Q58" s="247"/>
      <c r="R58" s="247">
        <v>1018.6</v>
      </c>
      <c r="S58" s="248">
        <v>1022.8</v>
      </c>
      <c r="T58" s="247">
        <v>1026.5</v>
      </c>
      <c r="U58" s="248">
        <v>1029.4000000000001</v>
      </c>
      <c r="V58" s="248">
        <v>1032.2</v>
      </c>
      <c r="W58" s="5">
        <v>25</v>
      </c>
    </row>
    <row r="59" spans="1:23">
      <c r="A59" s="27"/>
      <c r="B59" s="28"/>
      <c r="C59" s="27"/>
      <c r="D59" s="27"/>
      <c r="E59" s="27"/>
      <c r="F59" s="27"/>
      <c r="G59" s="27"/>
      <c r="H59" s="27"/>
      <c r="I59" s="5">
        <v>26</v>
      </c>
      <c r="J59" s="248">
        <v>996.7</v>
      </c>
      <c r="K59" s="248"/>
      <c r="L59" s="247">
        <v>1025.8</v>
      </c>
      <c r="M59" s="248">
        <v>1032.9000000000001</v>
      </c>
      <c r="N59" s="247">
        <v>1038.8</v>
      </c>
      <c r="O59" s="248">
        <v>1047.0999999999999</v>
      </c>
      <c r="P59" s="247">
        <v>1052.9000000000001</v>
      </c>
      <c r="Q59" s="247"/>
      <c r="R59" s="247">
        <v>1018.1</v>
      </c>
      <c r="S59" s="248">
        <v>1022.3</v>
      </c>
      <c r="T59" s="247">
        <v>1025.9000000000001</v>
      </c>
      <c r="U59" s="248">
        <v>1028.8</v>
      </c>
      <c r="V59" s="248">
        <v>1031.5999999999999</v>
      </c>
      <c r="W59" s="5">
        <v>26</v>
      </c>
    </row>
    <row r="60" spans="1:23">
      <c r="A60" s="27"/>
      <c r="B60" s="28"/>
      <c r="C60" s="27"/>
      <c r="D60" s="27"/>
      <c r="E60" s="27"/>
      <c r="F60" s="27"/>
      <c r="G60" s="27"/>
      <c r="H60" s="27"/>
      <c r="I60" s="5">
        <v>27</v>
      </c>
      <c r="J60" s="248">
        <v>996.5</v>
      </c>
      <c r="K60" s="248"/>
      <c r="L60" s="247">
        <v>1025.4000000000001</v>
      </c>
      <c r="M60" s="248">
        <v>1032.5</v>
      </c>
      <c r="N60" s="247">
        <v>1038.4000000000001</v>
      </c>
      <c r="O60" s="248">
        <v>1046.5999999999999</v>
      </c>
      <c r="P60" s="247">
        <v>1052.4000000000001</v>
      </c>
      <c r="Q60" s="247"/>
      <c r="R60" s="247">
        <v>1017.6</v>
      </c>
      <c r="S60" s="248">
        <v>1021.7</v>
      </c>
      <c r="T60" s="247">
        <v>1025.3</v>
      </c>
      <c r="U60" s="248">
        <v>1028.2</v>
      </c>
      <c r="V60" s="248">
        <v>1031</v>
      </c>
      <c r="W60" s="5">
        <v>27</v>
      </c>
    </row>
    <row r="61" spans="1:23">
      <c r="A61" s="27"/>
      <c r="B61" s="28"/>
      <c r="C61" s="27"/>
      <c r="D61" s="27"/>
      <c r="E61" s="27"/>
      <c r="F61" s="27"/>
      <c r="G61" s="27"/>
      <c r="H61" s="27"/>
      <c r="I61" s="5">
        <v>28</v>
      </c>
      <c r="J61" s="248">
        <v>996.2</v>
      </c>
      <c r="K61" s="248"/>
      <c r="L61" s="247">
        <v>1025</v>
      </c>
      <c r="M61" s="248">
        <v>1032.0999999999999</v>
      </c>
      <c r="N61" s="247">
        <v>1038</v>
      </c>
      <c r="O61" s="248">
        <v>1046.2</v>
      </c>
      <c r="P61" s="247">
        <v>1051.9000000000001</v>
      </c>
      <c r="Q61" s="247"/>
      <c r="R61" s="247">
        <v>1017.1</v>
      </c>
      <c r="S61" s="248">
        <v>1021.2</v>
      </c>
      <c r="T61" s="247">
        <v>1024.7</v>
      </c>
      <c r="U61" s="248">
        <v>1027.5999999999999</v>
      </c>
      <c r="V61" s="248">
        <v>1030.3</v>
      </c>
      <c r="W61" s="5">
        <v>28</v>
      </c>
    </row>
    <row r="62" spans="1:23">
      <c r="A62" s="27"/>
      <c r="B62" s="28"/>
      <c r="C62" s="27"/>
      <c r="D62" s="27"/>
      <c r="E62" s="27"/>
      <c r="F62" s="27"/>
      <c r="G62" s="27"/>
      <c r="H62" s="27"/>
      <c r="I62" s="5">
        <v>29</v>
      </c>
      <c r="J62" s="248">
        <v>996</v>
      </c>
      <c r="K62" s="248"/>
      <c r="L62" s="247">
        <v>1024.7</v>
      </c>
      <c r="M62" s="248">
        <v>1031.7</v>
      </c>
      <c r="N62" s="247">
        <v>1037.5999999999999</v>
      </c>
      <c r="O62" s="248">
        <v>1045.7</v>
      </c>
      <c r="P62" s="247">
        <v>1051.4000000000001</v>
      </c>
      <c r="Q62" s="247"/>
      <c r="R62" s="247">
        <v>1016.6</v>
      </c>
      <c r="S62" s="248">
        <v>1020.6</v>
      </c>
      <c r="T62" s="247">
        <v>1024.2</v>
      </c>
      <c r="U62" s="248">
        <v>1027</v>
      </c>
      <c r="V62" s="248">
        <v>1029.7</v>
      </c>
      <c r="W62" s="5">
        <v>29</v>
      </c>
    </row>
    <row r="63" spans="1:23">
      <c r="A63" s="27"/>
      <c r="B63" s="28"/>
      <c r="C63" s="27"/>
      <c r="D63" s="27"/>
      <c r="E63" s="27"/>
      <c r="F63" s="27"/>
      <c r="G63" s="27"/>
      <c r="H63" s="27"/>
      <c r="I63" s="5">
        <v>30</v>
      </c>
      <c r="J63" s="248">
        <v>995.7</v>
      </c>
      <c r="K63" s="248"/>
      <c r="L63" s="247">
        <v>1024.3</v>
      </c>
      <c r="M63" s="248">
        <v>1031.4000000000001</v>
      </c>
      <c r="N63" s="247">
        <v>1037.2</v>
      </c>
      <c r="O63" s="248">
        <v>1045.2</v>
      </c>
      <c r="P63" s="247">
        <v>1050.9000000000001</v>
      </c>
      <c r="Q63" s="247"/>
      <c r="R63" s="247">
        <v>1016.1</v>
      </c>
      <c r="S63" s="248">
        <v>1020.1</v>
      </c>
      <c r="T63" s="247">
        <v>1023.6</v>
      </c>
      <c r="U63" s="248">
        <v>1026.4000000000001</v>
      </c>
      <c r="V63" s="248">
        <v>1029.0999999999999</v>
      </c>
      <c r="W63" s="5">
        <v>30</v>
      </c>
    </row>
    <row r="64" spans="1:23">
      <c r="A64" s="27"/>
      <c r="B64" s="28"/>
      <c r="C64" s="27"/>
      <c r="D64" s="27"/>
      <c r="E64" s="27"/>
      <c r="F64" s="27"/>
      <c r="G64" s="27"/>
      <c r="H64" s="27"/>
      <c r="I64" s="5">
        <v>31</v>
      </c>
      <c r="J64" s="248">
        <v>995.4</v>
      </c>
      <c r="K64" s="248"/>
      <c r="L64" s="247">
        <v>1024</v>
      </c>
      <c r="M64" s="248">
        <v>1031</v>
      </c>
      <c r="N64" s="247">
        <v>1036.8</v>
      </c>
      <c r="O64" s="248">
        <v>1044.8</v>
      </c>
      <c r="P64" s="247">
        <v>1050.4000000000001</v>
      </c>
      <c r="Q64" s="247"/>
      <c r="R64" s="247">
        <v>1015.5</v>
      </c>
      <c r="S64" s="248">
        <v>1019.5</v>
      </c>
      <c r="T64" s="247">
        <v>1023</v>
      </c>
      <c r="U64" s="248">
        <v>1025.8</v>
      </c>
      <c r="V64" s="248">
        <v>1028.4000000000001</v>
      </c>
      <c r="W64" s="5">
        <v>31</v>
      </c>
    </row>
    <row r="65" spans="1:23">
      <c r="A65" s="27"/>
      <c r="B65" s="28"/>
      <c r="C65" s="27"/>
      <c r="D65" s="27"/>
      <c r="E65" s="27"/>
      <c r="F65" s="27"/>
      <c r="G65" s="27"/>
      <c r="H65" s="27"/>
      <c r="I65" s="5">
        <v>32</v>
      </c>
      <c r="J65" s="248">
        <v>995</v>
      </c>
      <c r="K65" s="248"/>
      <c r="L65" s="247">
        <v>1023.6</v>
      </c>
      <c r="M65" s="248">
        <v>1030.5999999999999</v>
      </c>
      <c r="N65" s="247">
        <v>1036.3</v>
      </c>
      <c r="O65" s="248">
        <v>1044.3</v>
      </c>
      <c r="P65" s="247">
        <v>1049.8</v>
      </c>
      <c r="Q65" s="247"/>
      <c r="R65" s="247">
        <v>1015</v>
      </c>
      <c r="S65" s="248">
        <v>1018.9</v>
      </c>
      <c r="T65" s="247">
        <v>1022.4</v>
      </c>
      <c r="U65" s="248">
        <v>1025.2</v>
      </c>
      <c r="V65" s="248">
        <v>1027.8</v>
      </c>
      <c r="W65" s="5">
        <v>32</v>
      </c>
    </row>
    <row r="66" spans="1:23">
      <c r="A66" s="27"/>
      <c r="B66" s="28"/>
      <c r="C66" s="27"/>
      <c r="D66" s="27"/>
      <c r="E66" s="27"/>
      <c r="F66" s="27"/>
      <c r="G66" s="27"/>
      <c r="H66" s="27"/>
      <c r="I66" s="5">
        <v>33</v>
      </c>
      <c r="J66" s="248">
        <v>994.7</v>
      </c>
      <c r="K66" s="248"/>
      <c r="L66" s="247">
        <v>1023.2</v>
      </c>
      <c r="M66" s="248">
        <v>1030.2</v>
      </c>
      <c r="N66" s="247">
        <v>1035.9000000000001</v>
      </c>
      <c r="O66" s="248">
        <v>1043.8</v>
      </c>
      <c r="P66" s="247">
        <v>1049.3</v>
      </c>
      <c r="Q66" s="247"/>
      <c r="R66" s="247">
        <v>1014.4</v>
      </c>
      <c r="S66" s="248">
        <v>1018.4</v>
      </c>
      <c r="T66" s="247">
        <v>1021.8</v>
      </c>
      <c r="U66" s="248">
        <v>1024.5</v>
      </c>
      <c r="V66" s="248">
        <v>1027.0999999999999</v>
      </c>
      <c r="W66" s="5">
        <v>33</v>
      </c>
    </row>
    <row r="67" spans="1:23">
      <c r="A67" s="27"/>
      <c r="B67" s="28"/>
      <c r="C67" s="27"/>
      <c r="D67" s="27"/>
      <c r="E67" s="27"/>
      <c r="F67" s="27"/>
      <c r="G67" s="27"/>
      <c r="H67" s="27"/>
      <c r="I67" s="5">
        <v>34</v>
      </c>
      <c r="J67" s="248">
        <v>994.3</v>
      </c>
      <c r="K67" s="248"/>
      <c r="L67" s="247">
        <v>1022.9</v>
      </c>
      <c r="M67" s="248">
        <v>1029.8</v>
      </c>
      <c r="N67" s="247">
        <v>1035.5</v>
      </c>
      <c r="O67" s="248">
        <v>1043.3</v>
      </c>
      <c r="P67" s="247">
        <v>1048.8</v>
      </c>
      <c r="Q67" s="247"/>
      <c r="R67" s="247">
        <v>1013.9</v>
      </c>
      <c r="S67" s="248">
        <v>1017.8</v>
      </c>
      <c r="T67" s="247">
        <v>1021.2</v>
      </c>
      <c r="U67" s="248">
        <v>1023.9</v>
      </c>
      <c r="V67" s="248">
        <v>1026.4000000000001</v>
      </c>
      <c r="W67" s="5">
        <v>34</v>
      </c>
    </row>
    <row r="68" spans="1:23">
      <c r="A68" s="27"/>
      <c r="B68" s="28"/>
      <c r="C68" s="27"/>
      <c r="D68" s="27"/>
      <c r="E68" s="27"/>
      <c r="F68" s="27"/>
      <c r="G68" s="27"/>
      <c r="H68" s="27"/>
      <c r="I68" s="5">
        <v>35</v>
      </c>
      <c r="J68" s="248">
        <v>994</v>
      </c>
      <c r="K68" s="248"/>
      <c r="L68" s="247">
        <v>1022.5</v>
      </c>
      <c r="M68" s="248">
        <v>1029.5</v>
      </c>
      <c r="N68" s="247">
        <v>1035.0999999999999</v>
      </c>
      <c r="O68" s="248">
        <v>1042.9000000000001</v>
      </c>
      <c r="P68" s="247">
        <v>1048.3</v>
      </c>
      <c r="Q68" s="247"/>
      <c r="R68" s="247">
        <v>1013.4</v>
      </c>
      <c r="S68" s="248">
        <v>1017.2</v>
      </c>
      <c r="T68" s="247">
        <v>1020.6</v>
      </c>
      <c r="U68" s="248">
        <v>1023.3</v>
      </c>
      <c r="V68" s="248">
        <v>1025.8</v>
      </c>
      <c r="W68" s="5">
        <v>35</v>
      </c>
    </row>
    <row r="69" spans="1:23">
      <c r="A69" s="27"/>
      <c r="B69" s="28"/>
      <c r="C69" s="27"/>
      <c r="D69" s="27"/>
      <c r="E69" s="27"/>
      <c r="F69" s="27"/>
      <c r="G69" s="27"/>
      <c r="H69" s="27"/>
      <c r="I69" s="5">
        <v>36</v>
      </c>
      <c r="J69" s="248">
        <v>993.6</v>
      </c>
      <c r="K69" s="248"/>
      <c r="L69" s="247">
        <v>1022.1</v>
      </c>
      <c r="M69" s="248">
        <v>1029.0999999999999</v>
      </c>
      <c r="N69" s="247">
        <v>1034.7</v>
      </c>
      <c r="O69" s="248">
        <v>1042.4000000000001</v>
      </c>
      <c r="P69" s="247">
        <v>1047.8</v>
      </c>
      <c r="Q69" s="247"/>
      <c r="R69" s="247">
        <v>1012.8</v>
      </c>
      <c r="S69" s="248">
        <v>1016.6</v>
      </c>
      <c r="T69" s="247">
        <v>1020</v>
      </c>
      <c r="U69" s="248">
        <v>1022.6</v>
      </c>
      <c r="V69" s="248">
        <v>1025.0999999999999</v>
      </c>
      <c r="W69" s="5">
        <v>36</v>
      </c>
    </row>
    <row r="70" spans="1:23">
      <c r="A70" s="27"/>
      <c r="B70" s="28"/>
      <c r="C70" s="27"/>
      <c r="D70" s="27"/>
      <c r="G70" s="27"/>
      <c r="H70" s="27"/>
      <c r="I70" s="5">
        <v>37</v>
      </c>
      <c r="J70" s="248">
        <v>993.3</v>
      </c>
      <c r="K70" s="248"/>
      <c r="L70" s="247">
        <v>1021.8</v>
      </c>
      <c r="M70" s="248">
        <v>1028.7</v>
      </c>
      <c r="N70" s="247">
        <v>1034.3</v>
      </c>
      <c r="O70" s="248">
        <v>1041.9000000000001</v>
      </c>
      <c r="P70" s="247">
        <v>1047.3</v>
      </c>
      <c r="Q70" s="247"/>
      <c r="R70" s="247">
        <v>1012.3</v>
      </c>
      <c r="S70" s="248">
        <v>1016.1</v>
      </c>
      <c r="T70" s="247">
        <v>1019.3</v>
      </c>
      <c r="U70" s="248">
        <v>1022</v>
      </c>
      <c r="V70" s="248">
        <v>1024.5</v>
      </c>
      <c r="W70" s="5">
        <v>37</v>
      </c>
    </row>
    <row r="71" spans="1:23">
      <c r="A71" s="27"/>
      <c r="B71" s="28"/>
      <c r="C71" s="27"/>
      <c r="D71" s="27"/>
      <c r="G71" s="27"/>
      <c r="H71" s="27"/>
      <c r="I71" s="5">
        <v>38</v>
      </c>
      <c r="J71" s="248">
        <v>992.9</v>
      </c>
      <c r="K71" s="248"/>
      <c r="L71" s="247">
        <v>1021.4</v>
      </c>
      <c r="M71" s="248">
        <v>1028.3</v>
      </c>
      <c r="N71" s="247">
        <v>1033.9000000000001</v>
      </c>
      <c r="O71" s="248">
        <v>1041.5</v>
      </c>
      <c r="P71" s="247">
        <v>1046.8</v>
      </c>
      <c r="Q71" s="247"/>
      <c r="R71" s="247">
        <v>1011.7</v>
      </c>
      <c r="S71" s="248">
        <v>1015.5</v>
      </c>
      <c r="T71" s="247">
        <v>1018.7</v>
      </c>
      <c r="U71" s="248">
        <v>1021.4</v>
      </c>
      <c r="V71" s="248">
        <v>1023.8</v>
      </c>
      <c r="W71" s="5">
        <v>38</v>
      </c>
    </row>
    <row r="72" spans="1:23">
      <c r="A72" s="27"/>
      <c r="B72" s="28"/>
      <c r="C72" s="27"/>
      <c r="D72" s="27"/>
      <c r="G72" s="27"/>
      <c r="H72" s="27"/>
      <c r="I72" s="5">
        <v>39</v>
      </c>
      <c r="J72" s="248">
        <v>992.6</v>
      </c>
      <c r="K72" s="248"/>
      <c r="L72" s="247">
        <v>1021.1</v>
      </c>
      <c r="M72" s="248">
        <v>1028</v>
      </c>
      <c r="N72" s="247">
        <v>1033.5</v>
      </c>
      <c r="O72" s="248">
        <v>1041</v>
      </c>
      <c r="P72" s="247">
        <v>1046.2</v>
      </c>
      <c r="Q72" s="247"/>
      <c r="R72" s="247">
        <v>1011.2</v>
      </c>
      <c r="S72" s="248">
        <v>1014.9</v>
      </c>
      <c r="T72" s="247">
        <v>1018.1</v>
      </c>
      <c r="U72" s="248">
        <v>1020.7</v>
      </c>
      <c r="V72" s="248">
        <v>1023.2</v>
      </c>
      <c r="W72" s="5">
        <v>39</v>
      </c>
    </row>
    <row r="73" spans="1:23">
      <c r="A73" s="27"/>
      <c r="B73" s="28"/>
      <c r="C73" s="27"/>
      <c r="D73" s="27"/>
      <c r="G73" s="27"/>
      <c r="H73" s="27"/>
      <c r="I73" s="5">
        <v>40</v>
      </c>
      <c r="J73" s="248">
        <v>992.2</v>
      </c>
      <c r="K73" s="248"/>
      <c r="L73" s="247">
        <v>1020.7</v>
      </c>
      <c r="M73" s="248">
        <v>1027.5999999999999</v>
      </c>
      <c r="N73" s="247">
        <v>1033.0999999999999</v>
      </c>
      <c r="O73" s="248">
        <v>1040.5</v>
      </c>
      <c r="P73" s="247">
        <v>1045.7</v>
      </c>
      <c r="Q73" s="247"/>
      <c r="R73" s="247">
        <v>1010.6</v>
      </c>
      <c r="S73" s="248">
        <v>1014.3</v>
      </c>
      <c r="T73" s="247">
        <v>1017.5</v>
      </c>
      <c r="U73" s="248">
        <v>1020.1</v>
      </c>
      <c r="V73" s="248">
        <v>1022.5</v>
      </c>
      <c r="W73" s="5">
        <v>40</v>
      </c>
    </row>
    <row r="74" spans="1:23">
      <c r="A74" s="27"/>
      <c r="B74" s="28"/>
      <c r="C74" s="27"/>
      <c r="D74" s="27"/>
      <c r="G74" s="27"/>
      <c r="H74" s="27"/>
      <c r="I74" s="5">
        <v>41</v>
      </c>
      <c r="J74" s="248">
        <v>991.8</v>
      </c>
      <c r="K74" s="248"/>
      <c r="L74" s="247">
        <v>1020.2</v>
      </c>
      <c r="M74" s="248">
        <v>1027</v>
      </c>
      <c r="N74" s="247">
        <v>1032.5999999999999</v>
      </c>
      <c r="O74" s="248">
        <v>1039.9000000000001</v>
      </c>
      <c r="P74" s="247">
        <v>1045.0999999999999</v>
      </c>
      <c r="Q74" s="247"/>
      <c r="R74" s="247">
        <v>1010</v>
      </c>
      <c r="S74" s="248">
        <v>1013.7</v>
      </c>
      <c r="T74" s="247">
        <v>1016.9</v>
      </c>
      <c r="U74" s="248">
        <v>1019.4</v>
      </c>
      <c r="V74" s="248">
        <v>1021.8</v>
      </c>
      <c r="W74" s="5">
        <v>41</v>
      </c>
    </row>
    <row r="75" spans="1:23">
      <c r="I75" s="5">
        <v>42</v>
      </c>
      <c r="J75" s="248">
        <v>991.4</v>
      </c>
      <c r="K75" s="248"/>
      <c r="L75" s="247">
        <v>1019.6</v>
      </c>
      <c r="M75" s="248">
        <v>1026.5</v>
      </c>
      <c r="N75" s="247">
        <v>1032</v>
      </c>
      <c r="O75" s="248">
        <v>1039.3</v>
      </c>
      <c r="P75" s="247">
        <v>1044.5</v>
      </c>
      <c r="Q75" s="247"/>
      <c r="R75" s="247">
        <v>1009.5</v>
      </c>
      <c r="S75" s="248">
        <v>1013.1</v>
      </c>
      <c r="T75" s="247">
        <v>1016.2</v>
      </c>
      <c r="U75" s="248">
        <v>1018.8</v>
      </c>
      <c r="V75" s="248">
        <v>1021.1</v>
      </c>
      <c r="W75" s="5">
        <v>42</v>
      </c>
    </row>
    <row r="76" spans="1:23">
      <c r="B76" s="27">
        <v>1</v>
      </c>
      <c r="C76" s="27" t="s">
        <v>125</v>
      </c>
      <c r="D76" s="27" t="s">
        <v>126</v>
      </c>
      <c r="E76" s="27"/>
      <c r="F76" s="27" t="s">
        <v>128</v>
      </c>
      <c r="G76" s="27" t="s">
        <v>143</v>
      </c>
      <c r="I76" s="5">
        <v>43</v>
      </c>
      <c r="J76" s="248">
        <v>991</v>
      </c>
      <c r="K76" s="248"/>
      <c r="L76" s="247">
        <v>1019.1</v>
      </c>
      <c r="M76" s="248">
        <v>1025.9000000000001</v>
      </c>
      <c r="N76" s="247">
        <v>1031.4000000000001</v>
      </c>
      <c r="O76" s="248">
        <v>1038.7</v>
      </c>
      <c r="P76" s="247">
        <v>1043.9000000000001</v>
      </c>
      <c r="Q76" s="247"/>
      <c r="R76" s="247">
        <v>1008.9</v>
      </c>
      <c r="S76" s="248">
        <v>1012.5</v>
      </c>
      <c r="T76" s="247">
        <v>1015.6</v>
      </c>
      <c r="U76" s="248">
        <v>1018.1</v>
      </c>
      <c r="V76" s="248">
        <v>1020.5</v>
      </c>
      <c r="W76" s="5">
        <v>43</v>
      </c>
    </row>
    <row r="77" spans="1:23">
      <c r="A77" s="27">
        <v>1</v>
      </c>
      <c r="B77" s="28" t="s">
        <v>208</v>
      </c>
      <c r="C77" s="28" t="s">
        <v>208</v>
      </c>
      <c r="D77" s="28" t="s">
        <v>208</v>
      </c>
      <c r="E77" s="28" t="s">
        <v>208</v>
      </c>
      <c r="F77" s="28" t="s">
        <v>208</v>
      </c>
      <c r="G77" s="28" t="s">
        <v>208</v>
      </c>
      <c r="I77" s="5">
        <v>44</v>
      </c>
      <c r="J77" s="248">
        <v>990.6</v>
      </c>
      <c r="K77" s="248"/>
      <c r="L77" s="247">
        <v>1018.6</v>
      </c>
      <c r="M77" s="248">
        <v>1025.4000000000001</v>
      </c>
      <c r="N77" s="247">
        <v>1030.9000000000001</v>
      </c>
      <c r="O77" s="248">
        <v>1038.0999999999999</v>
      </c>
      <c r="P77" s="247">
        <v>1043.3</v>
      </c>
      <c r="Q77" s="247"/>
      <c r="R77" s="247">
        <v>1008.3</v>
      </c>
      <c r="S77" s="248">
        <v>1011.9</v>
      </c>
      <c r="T77" s="247">
        <v>1014.9</v>
      </c>
      <c r="U77" s="248">
        <v>1017.4</v>
      </c>
      <c r="V77" s="248">
        <v>1019.8</v>
      </c>
      <c r="W77" s="5">
        <v>44</v>
      </c>
    </row>
    <row r="78" spans="1:23">
      <c r="A78" s="27">
        <v>2</v>
      </c>
      <c r="B78" s="28" t="s">
        <v>174</v>
      </c>
      <c r="C78" s="27">
        <v>8</v>
      </c>
      <c r="D78" s="27">
        <v>10</v>
      </c>
      <c r="E78" s="27"/>
      <c r="F78" s="29">
        <v>7142020</v>
      </c>
      <c r="G78" s="27">
        <v>3.9</v>
      </c>
      <c r="I78" s="5">
        <v>45</v>
      </c>
      <c r="J78" s="248">
        <v>990.2</v>
      </c>
      <c r="K78" s="248"/>
      <c r="L78" s="247">
        <v>1018</v>
      </c>
      <c r="M78" s="248">
        <v>1024.8</v>
      </c>
      <c r="N78" s="247">
        <v>1030.3</v>
      </c>
      <c r="O78" s="248">
        <v>1037.5</v>
      </c>
      <c r="P78" s="247">
        <v>1042.7</v>
      </c>
      <c r="Q78" s="247"/>
      <c r="R78" s="247">
        <v>1007.7</v>
      </c>
      <c r="S78" s="248">
        <v>1011.3</v>
      </c>
      <c r="T78" s="247">
        <v>1014.3</v>
      </c>
      <c r="U78" s="248">
        <v>1016.8</v>
      </c>
      <c r="V78" s="248">
        <v>1019.1</v>
      </c>
      <c r="W78" s="5">
        <v>45</v>
      </c>
    </row>
    <row r="79" spans="1:23">
      <c r="A79" s="27">
        <v>3</v>
      </c>
      <c r="B79" s="28" t="s">
        <v>175</v>
      </c>
      <c r="C79" s="27">
        <v>12</v>
      </c>
      <c r="D79" s="27">
        <v>10</v>
      </c>
      <c r="E79" s="27"/>
      <c r="F79" s="29">
        <v>7142021</v>
      </c>
      <c r="G79" s="27">
        <v>5.0999999999999996</v>
      </c>
      <c r="I79" s="5">
        <v>46</v>
      </c>
      <c r="J79" s="248">
        <v>989.8</v>
      </c>
      <c r="K79" s="248"/>
      <c r="L79" s="247">
        <v>1017.5</v>
      </c>
      <c r="M79" s="248">
        <v>1024.3</v>
      </c>
      <c r="N79" s="247">
        <v>1029.7</v>
      </c>
      <c r="O79" s="248">
        <v>1036.9000000000001</v>
      </c>
      <c r="P79" s="247">
        <v>1042.0999999999999</v>
      </c>
      <c r="Q79" s="247"/>
      <c r="R79" s="247">
        <v>1007.1</v>
      </c>
      <c r="S79" s="248">
        <v>1010.6</v>
      </c>
      <c r="T79" s="247">
        <v>1013.6</v>
      </c>
      <c r="U79" s="248">
        <v>1016.1</v>
      </c>
      <c r="V79" s="248">
        <v>1018.4</v>
      </c>
      <c r="W79" s="5">
        <v>46</v>
      </c>
    </row>
    <row r="80" spans="1:23">
      <c r="A80" s="27">
        <v>4</v>
      </c>
      <c r="B80" s="28" t="s">
        <v>176</v>
      </c>
      <c r="C80" s="27">
        <v>18</v>
      </c>
      <c r="D80" s="27">
        <v>10</v>
      </c>
      <c r="E80" s="27"/>
      <c r="F80" s="29">
        <v>7142022</v>
      </c>
      <c r="G80" s="27">
        <v>6.3</v>
      </c>
      <c r="I80" s="5">
        <v>47</v>
      </c>
      <c r="J80" s="248">
        <v>989.4</v>
      </c>
      <c r="K80" s="248"/>
      <c r="L80" s="247">
        <v>1017</v>
      </c>
      <c r="M80" s="248">
        <v>1023.7</v>
      </c>
      <c r="N80" s="247">
        <v>1029.2</v>
      </c>
      <c r="O80" s="248">
        <v>1036.3</v>
      </c>
      <c r="P80" s="247">
        <v>1041.4000000000001</v>
      </c>
      <c r="Q80" s="247"/>
      <c r="R80" s="247">
        <v>1006.5</v>
      </c>
      <c r="S80" s="248">
        <v>1010</v>
      </c>
      <c r="T80" s="247">
        <v>1013</v>
      </c>
      <c r="U80" s="248">
        <v>1015.4</v>
      </c>
      <c r="V80" s="248">
        <v>1017.7</v>
      </c>
      <c r="W80" s="5">
        <v>47</v>
      </c>
    </row>
    <row r="81" spans="1:23">
      <c r="A81" s="27">
        <v>5</v>
      </c>
      <c r="B81" s="28" t="s">
        <v>177</v>
      </c>
      <c r="C81" s="27">
        <v>25</v>
      </c>
      <c r="D81" s="27">
        <v>10</v>
      </c>
      <c r="E81" s="27"/>
      <c r="F81" s="29">
        <v>7142023</v>
      </c>
      <c r="G81" s="27">
        <v>8.1</v>
      </c>
      <c r="I81" s="5">
        <v>48</v>
      </c>
      <c r="J81" s="248">
        <v>988.9</v>
      </c>
      <c r="K81" s="248"/>
      <c r="L81" s="247">
        <v>1016.4</v>
      </c>
      <c r="M81" s="248">
        <v>1023.2</v>
      </c>
      <c r="N81" s="247">
        <v>1028.5999999999999</v>
      </c>
      <c r="O81" s="248">
        <v>1035.7</v>
      </c>
      <c r="P81" s="247">
        <v>1040.8</v>
      </c>
      <c r="Q81" s="247"/>
      <c r="R81" s="247">
        <v>1006</v>
      </c>
      <c r="S81" s="248">
        <v>1009.4</v>
      </c>
      <c r="T81" s="247">
        <v>1012.3</v>
      </c>
      <c r="U81" s="248">
        <v>1014.7</v>
      </c>
      <c r="V81" s="248">
        <v>1017</v>
      </c>
      <c r="W81" s="5">
        <v>48</v>
      </c>
    </row>
    <row r="82" spans="1:23">
      <c r="A82" s="27">
        <v>6</v>
      </c>
      <c r="B82" s="28" t="s">
        <v>178</v>
      </c>
      <c r="C82" s="27">
        <v>35</v>
      </c>
      <c r="D82" s="27">
        <v>10</v>
      </c>
      <c r="E82" s="27"/>
      <c r="F82" s="29">
        <v>7142024</v>
      </c>
      <c r="G82" s="27">
        <v>10</v>
      </c>
      <c r="I82" s="5">
        <v>49</v>
      </c>
      <c r="J82" s="248">
        <v>988.5</v>
      </c>
      <c r="K82" s="248"/>
      <c r="L82" s="247">
        <v>1015.9</v>
      </c>
      <c r="M82" s="248">
        <v>1022.6</v>
      </c>
      <c r="N82" s="247">
        <v>1028</v>
      </c>
      <c r="O82" s="248">
        <v>1035.0999999999999</v>
      </c>
      <c r="P82" s="247">
        <v>1040.2</v>
      </c>
      <c r="Q82" s="247"/>
      <c r="R82" s="247">
        <v>1005.4</v>
      </c>
      <c r="S82" s="248">
        <v>1008.8</v>
      </c>
      <c r="T82" s="247">
        <v>1011.7</v>
      </c>
      <c r="U82" s="248">
        <v>1014.1</v>
      </c>
      <c r="V82" s="248">
        <v>1016.3</v>
      </c>
      <c r="W82" s="5">
        <v>49</v>
      </c>
    </row>
    <row r="83" spans="1:23">
      <c r="A83" s="27">
        <v>7</v>
      </c>
      <c r="B83" s="28" t="s">
        <v>179</v>
      </c>
      <c r="C83" s="27">
        <v>50</v>
      </c>
      <c r="D83" s="27">
        <v>10</v>
      </c>
      <c r="E83" s="27"/>
      <c r="F83" s="29">
        <v>7142025</v>
      </c>
      <c r="G83" s="27">
        <v>12.2</v>
      </c>
      <c r="I83" s="5">
        <v>50</v>
      </c>
      <c r="J83" s="248">
        <v>988</v>
      </c>
      <c r="K83" s="248"/>
      <c r="L83" s="247">
        <v>1015.4</v>
      </c>
      <c r="M83" s="248">
        <v>1022.1</v>
      </c>
      <c r="N83" s="247">
        <v>1027.4000000000001</v>
      </c>
      <c r="O83" s="248">
        <v>1034.5</v>
      </c>
      <c r="P83" s="247">
        <v>1039.5999999999999</v>
      </c>
      <c r="Q83" s="247"/>
      <c r="R83" s="247">
        <v>1004.8</v>
      </c>
      <c r="S83" s="248">
        <v>1008.2</v>
      </c>
      <c r="T83" s="247">
        <v>1011.1</v>
      </c>
      <c r="U83" s="248">
        <v>1013.4</v>
      </c>
      <c r="V83" s="248">
        <v>1015.7</v>
      </c>
      <c r="W83" s="5">
        <v>50</v>
      </c>
    </row>
    <row r="84" spans="1:23">
      <c r="A84" s="27">
        <v>8</v>
      </c>
      <c r="B84" s="28" t="s">
        <v>180</v>
      </c>
      <c r="C84" s="27">
        <v>80</v>
      </c>
      <c r="D84" s="27">
        <v>10</v>
      </c>
      <c r="E84" s="27"/>
      <c r="F84" s="29">
        <v>7142026</v>
      </c>
      <c r="G84" s="27">
        <v>16.399999999999999</v>
      </c>
      <c r="I84" s="5">
        <v>51</v>
      </c>
      <c r="J84" s="248">
        <v>987.6</v>
      </c>
      <c r="K84" s="248"/>
      <c r="L84" s="247">
        <v>1014.8</v>
      </c>
      <c r="M84" s="248">
        <v>1021.5</v>
      </c>
      <c r="N84" s="247">
        <v>1026.8</v>
      </c>
      <c r="O84" s="248">
        <v>1033.9000000000001</v>
      </c>
      <c r="P84" s="247">
        <v>1039</v>
      </c>
      <c r="Q84" s="247"/>
      <c r="R84" s="247">
        <v>1004.2</v>
      </c>
      <c r="S84" s="248">
        <v>1007.5</v>
      </c>
      <c r="T84" s="247">
        <v>1010.4</v>
      </c>
      <c r="U84" s="248">
        <v>1012.7</v>
      </c>
      <c r="V84" s="248">
        <v>1014.9</v>
      </c>
      <c r="W84" s="5">
        <v>51</v>
      </c>
    </row>
    <row r="85" spans="1:23">
      <c r="A85" s="27">
        <v>9</v>
      </c>
      <c r="B85" s="28" t="s">
        <v>181</v>
      </c>
      <c r="C85" s="27">
        <v>140</v>
      </c>
      <c r="D85" s="27">
        <v>6</v>
      </c>
      <c r="E85" s="27"/>
      <c r="F85" s="29">
        <v>7141002</v>
      </c>
      <c r="G85" s="27">
        <v>25</v>
      </c>
      <c r="I85" s="5">
        <v>52</v>
      </c>
      <c r="J85" s="248">
        <v>987.1</v>
      </c>
      <c r="K85" s="248"/>
      <c r="L85" s="247">
        <v>1014.2</v>
      </c>
      <c r="M85" s="248">
        <v>1020.9</v>
      </c>
      <c r="N85" s="247">
        <v>1026.2</v>
      </c>
      <c r="O85" s="248">
        <v>1033.3</v>
      </c>
      <c r="P85" s="247">
        <v>1038.3</v>
      </c>
      <c r="Q85" s="247"/>
      <c r="R85" s="247">
        <v>1003.6</v>
      </c>
      <c r="S85" s="248">
        <v>1006.9</v>
      </c>
      <c r="T85" s="247">
        <v>1009.7</v>
      </c>
      <c r="U85" s="248">
        <v>1012</v>
      </c>
      <c r="V85" s="248">
        <v>1014.2</v>
      </c>
      <c r="W85" s="5">
        <v>52</v>
      </c>
    </row>
    <row r="86" spans="1:23">
      <c r="A86" s="27">
        <v>10</v>
      </c>
      <c r="B86" s="28" t="s">
        <v>182</v>
      </c>
      <c r="C86" s="27">
        <v>200</v>
      </c>
      <c r="D86" s="27">
        <v>6</v>
      </c>
      <c r="E86" s="27"/>
      <c r="F86" s="29">
        <v>7141003</v>
      </c>
      <c r="G86" s="27">
        <v>30</v>
      </c>
      <c r="I86" s="5">
        <v>53</v>
      </c>
      <c r="J86" s="248">
        <v>986.6</v>
      </c>
      <c r="K86" s="248"/>
      <c r="L86" s="247">
        <v>1013.6</v>
      </c>
      <c r="M86" s="248">
        <v>1020.3</v>
      </c>
      <c r="N86" s="247">
        <v>1025.5999999999999</v>
      </c>
      <c r="O86" s="248">
        <v>1032.7</v>
      </c>
      <c r="P86" s="247">
        <v>1037.7</v>
      </c>
      <c r="Q86" s="247"/>
      <c r="R86" s="247">
        <v>1002.9</v>
      </c>
      <c r="S86" s="248">
        <v>1006.2</v>
      </c>
      <c r="T86" s="247">
        <v>1009</v>
      </c>
      <c r="U86" s="248">
        <v>1011.3</v>
      </c>
      <c r="V86" s="248">
        <v>1013.5</v>
      </c>
      <c r="W86" s="5">
        <v>53</v>
      </c>
    </row>
    <row r="87" spans="1:23">
      <c r="A87" s="27">
        <v>11</v>
      </c>
      <c r="B87" s="28" t="s">
        <v>183</v>
      </c>
      <c r="C87" s="27">
        <v>300</v>
      </c>
      <c r="D87" s="27">
        <v>6</v>
      </c>
      <c r="E87" s="27"/>
      <c r="F87" s="29">
        <v>7141004</v>
      </c>
      <c r="G87" s="27">
        <v>35</v>
      </c>
      <c r="I87" s="5">
        <v>54</v>
      </c>
      <c r="J87" s="248">
        <v>986.2</v>
      </c>
      <c r="K87" s="248"/>
      <c r="L87" s="247">
        <v>1013.1</v>
      </c>
      <c r="M87" s="248">
        <v>1019.7</v>
      </c>
      <c r="N87" s="247">
        <v>1025</v>
      </c>
      <c r="O87" s="248">
        <v>1032</v>
      </c>
      <c r="P87" s="247">
        <v>1037</v>
      </c>
      <c r="Q87" s="247"/>
      <c r="R87" s="247">
        <v>1002.3</v>
      </c>
      <c r="S87" s="248">
        <v>1005.6</v>
      </c>
      <c r="T87" s="247">
        <v>1008.4</v>
      </c>
      <c r="U87" s="248">
        <v>1010.6</v>
      </c>
      <c r="V87" s="248">
        <v>1012.8</v>
      </c>
      <c r="W87" s="5">
        <v>54</v>
      </c>
    </row>
    <row r="88" spans="1:23">
      <c r="A88" s="27">
        <v>12</v>
      </c>
      <c r="B88" s="28" t="s">
        <v>184</v>
      </c>
      <c r="C88" s="27">
        <v>400</v>
      </c>
      <c r="D88" s="27">
        <v>6</v>
      </c>
      <c r="E88" s="27"/>
      <c r="F88" s="29">
        <v>7141005</v>
      </c>
      <c r="G88" s="27">
        <v>55</v>
      </c>
      <c r="I88" s="5">
        <v>55</v>
      </c>
      <c r="J88" s="248">
        <v>985.7</v>
      </c>
      <c r="K88" s="248"/>
      <c r="L88" s="247">
        <v>1012.5</v>
      </c>
      <c r="M88" s="248">
        <v>1019.1</v>
      </c>
      <c r="N88" s="247">
        <v>1024.4000000000001</v>
      </c>
      <c r="O88" s="248">
        <v>1031.4000000000001</v>
      </c>
      <c r="P88" s="247">
        <v>1036.4000000000001</v>
      </c>
      <c r="Q88" s="247"/>
      <c r="R88" s="247">
        <v>1001.7</v>
      </c>
      <c r="S88" s="248">
        <v>1005</v>
      </c>
      <c r="T88" s="247">
        <v>1007.7</v>
      </c>
      <c r="U88" s="248">
        <v>1009.9</v>
      </c>
      <c r="V88" s="248">
        <v>1012.1</v>
      </c>
      <c r="W88" s="5">
        <v>55</v>
      </c>
    </row>
    <row r="89" spans="1:23">
      <c r="A89" s="27">
        <v>13</v>
      </c>
      <c r="B89" s="28" t="s">
        <v>185</v>
      </c>
      <c r="C89" s="27">
        <v>500</v>
      </c>
      <c r="D89" s="27">
        <v>6</v>
      </c>
      <c r="E89" s="27"/>
      <c r="F89" s="29">
        <v>7141006</v>
      </c>
      <c r="G89" s="27">
        <v>61</v>
      </c>
      <c r="I89" s="5">
        <v>56</v>
      </c>
      <c r="J89" s="248">
        <v>985.2</v>
      </c>
      <c r="K89" s="248"/>
      <c r="L89" s="247">
        <v>1011.9</v>
      </c>
      <c r="M89" s="248">
        <v>1018.5</v>
      </c>
      <c r="N89" s="247">
        <v>1023.8</v>
      </c>
      <c r="O89" s="248">
        <v>1030.8</v>
      </c>
      <c r="P89" s="247">
        <v>1035.7</v>
      </c>
      <c r="Q89" s="247"/>
      <c r="R89" s="247">
        <v>1001.1</v>
      </c>
      <c r="S89" s="248">
        <v>1004.3</v>
      </c>
      <c r="T89" s="247">
        <v>1007</v>
      </c>
      <c r="U89" s="248">
        <v>1009.3</v>
      </c>
      <c r="V89" s="248">
        <v>1011.4</v>
      </c>
      <c r="W89" s="5">
        <v>56</v>
      </c>
    </row>
    <row r="90" spans="1:23">
      <c r="A90" s="27">
        <v>14</v>
      </c>
      <c r="B90" s="28" t="s">
        <v>186</v>
      </c>
      <c r="C90" s="27">
        <v>600</v>
      </c>
      <c r="D90" s="27">
        <v>6</v>
      </c>
      <c r="E90" s="27"/>
      <c r="F90" s="29">
        <v>7141007</v>
      </c>
      <c r="G90" s="27">
        <v>67</v>
      </c>
      <c r="I90" s="5">
        <v>57</v>
      </c>
      <c r="J90" s="248">
        <v>984.7</v>
      </c>
      <c r="K90" s="248"/>
      <c r="L90" s="247">
        <v>1011.3</v>
      </c>
      <c r="M90" s="248">
        <v>1017.9</v>
      </c>
      <c r="N90" s="247">
        <v>1023.2</v>
      </c>
      <c r="O90" s="248">
        <v>1030.0999999999999</v>
      </c>
      <c r="P90" s="247">
        <v>1035.0999999999999</v>
      </c>
      <c r="Q90" s="247"/>
      <c r="R90" s="247">
        <v>1000.5</v>
      </c>
      <c r="S90" s="248">
        <v>1003.7</v>
      </c>
      <c r="T90" s="247">
        <v>1006.4</v>
      </c>
      <c r="U90" s="248">
        <v>1008.6</v>
      </c>
      <c r="V90" s="248">
        <v>1010.7</v>
      </c>
      <c r="W90" s="5">
        <v>57</v>
      </c>
    </row>
    <row r="91" spans="1:23">
      <c r="A91" s="27">
        <v>15</v>
      </c>
      <c r="B91" s="28" t="s">
        <v>187</v>
      </c>
      <c r="C91" s="27">
        <v>200</v>
      </c>
      <c r="D91" s="27">
        <v>10</v>
      </c>
      <c r="E91" s="27"/>
      <c r="F91" s="27">
        <v>7142003</v>
      </c>
      <c r="G91" s="27">
        <v>50</v>
      </c>
      <c r="I91" s="5">
        <v>58</v>
      </c>
      <c r="J91" s="248">
        <v>984.2</v>
      </c>
      <c r="K91" s="248"/>
      <c r="L91" s="247">
        <v>1010.8</v>
      </c>
      <c r="M91" s="248">
        <v>1017.3</v>
      </c>
      <c r="N91" s="247">
        <v>1022.5</v>
      </c>
      <c r="O91" s="248">
        <v>1029.5</v>
      </c>
      <c r="P91" s="247">
        <v>1034.4000000000001</v>
      </c>
      <c r="Q91" s="247"/>
      <c r="R91" s="247">
        <v>999.8</v>
      </c>
      <c r="S91" s="248">
        <v>1003</v>
      </c>
      <c r="T91" s="247">
        <v>1005.7</v>
      </c>
      <c r="U91" s="248">
        <v>1007.9</v>
      </c>
      <c r="V91" s="248">
        <v>1009.9</v>
      </c>
      <c r="W91" s="5">
        <v>58</v>
      </c>
    </row>
    <row r="92" spans="1:23">
      <c r="A92" s="27">
        <v>16</v>
      </c>
      <c r="B92" s="28" t="s">
        <v>188</v>
      </c>
      <c r="C92" s="27">
        <v>300</v>
      </c>
      <c r="D92" s="27">
        <v>10</v>
      </c>
      <c r="E92" s="27"/>
      <c r="F92" s="27">
        <v>7142004</v>
      </c>
      <c r="G92" s="27">
        <v>55</v>
      </c>
      <c r="I92" s="5">
        <v>59</v>
      </c>
      <c r="J92" s="248">
        <v>983.7</v>
      </c>
      <c r="K92" s="248"/>
      <c r="L92" s="247">
        <v>1010.2</v>
      </c>
      <c r="M92" s="248">
        <v>1016.7</v>
      </c>
      <c r="N92" s="247">
        <v>1021.9</v>
      </c>
      <c r="O92" s="248">
        <v>1028.9000000000001</v>
      </c>
      <c r="P92" s="247">
        <v>1033.8</v>
      </c>
      <c r="Q92" s="247"/>
      <c r="R92" s="247">
        <v>999.2</v>
      </c>
      <c r="S92" s="248">
        <v>1002.4</v>
      </c>
      <c r="T92" s="247">
        <v>1005</v>
      </c>
      <c r="U92" s="248">
        <v>1007.2</v>
      </c>
      <c r="V92" s="248">
        <v>1009.2</v>
      </c>
      <c r="W92" s="5">
        <v>59</v>
      </c>
    </row>
    <row r="93" spans="1:23">
      <c r="A93" s="27">
        <v>17</v>
      </c>
      <c r="B93" s="28" t="s">
        <v>189</v>
      </c>
      <c r="C93" s="27">
        <v>500</v>
      </c>
      <c r="D93" s="27">
        <v>10</v>
      </c>
      <c r="E93" s="27"/>
      <c r="F93" s="27">
        <v>7142006</v>
      </c>
      <c r="G93" s="27">
        <v>83</v>
      </c>
      <c r="I93" s="5">
        <v>60</v>
      </c>
      <c r="J93" s="248">
        <v>983.2</v>
      </c>
      <c r="K93" s="248"/>
      <c r="L93" s="247">
        <v>1009.6</v>
      </c>
      <c r="M93" s="248">
        <v>1016.1</v>
      </c>
      <c r="N93" s="247">
        <v>1021.3</v>
      </c>
      <c r="O93" s="248">
        <v>1028.3</v>
      </c>
      <c r="P93" s="247">
        <v>1033.0999999999999</v>
      </c>
      <c r="Q93" s="247"/>
      <c r="R93" s="247">
        <v>998.6</v>
      </c>
      <c r="S93" s="248">
        <v>1001.7</v>
      </c>
      <c r="T93" s="247">
        <v>1004.4</v>
      </c>
      <c r="U93" s="248">
        <v>1006.5</v>
      </c>
      <c r="V93" s="248">
        <v>1008.5</v>
      </c>
      <c r="W93" s="5">
        <v>60</v>
      </c>
    </row>
    <row r="94" spans="1:23">
      <c r="A94" s="27">
        <v>18</v>
      </c>
      <c r="B94" s="28" t="s">
        <v>168</v>
      </c>
      <c r="C94" s="27">
        <v>700</v>
      </c>
      <c r="D94" s="27">
        <v>6</v>
      </c>
      <c r="E94" s="27"/>
      <c r="F94" s="27">
        <v>7141008</v>
      </c>
      <c r="G94" s="27">
        <v>200</v>
      </c>
      <c r="I94" s="5">
        <v>61</v>
      </c>
      <c r="J94" s="248">
        <v>982.7</v>
      </c>
      <c r="K94" s="248"/>
      <c r="L94" s="247">
        <v>1009</v>
      </c>
      <c r="M94" s="248">
        <v>1015.4</v>
      </c>
      <c r="N94" s="247">
        <v>1020.7</v>
      </c>
      <c r="O94" s="248">
        <v>1027.5999999999999</v>
      </c>
      <c r="P94" s="247">
        <v>1032.5</v>
      </c>
      <c r="Q94" s="247"/>
      <c r="R94" s="247">
        <v>997.9</v>
      </c>
      <c r="S94" s="248">
        <v>1001</v>
      </c>
      <c r="T94" s="247">
        <v>1003.6</v>
      </c>
      <c r="U94" s="248">
        <v>1005.7</v>
      </c>
      <c r="V94" s="248">
        <v>1007.7</v>
      </c>
      <c r="W94" s="5">
        <v>61</v>
      </c>
    </row>
    <row r="95" spans="1:23">
      <c r="A95" s="27">
        <v>19</v>
      </c>
      <c r="B95" s="28" t="s">
        <v>190</v>
      </c>
      <c r="C95" s="27">
        <v>1000</v>
      </c>
      <c r="D95" s="27">
        <v>6</v>
      </c>
      <c r="E95" s="27"/>
      <c r="F95" s="27">
        <v>7141009</v>
      </c>
      <c r="G95" s="27">
        <v>280</v>
      </c>
      <c r="I95" s="5">
        <v>62</v>
      </c>
      <c r="J95" s="248">
        <v>982.2</v>
      </c>
      <c r="K95" s="248"/>
      <c r="L95" s="247">
        <v>1008.4</v>
      </c>
      <c r="M95" s="248">
        <v>1014.8</v>
      </c>
      <c r="N95" s="247">
        <v>1020</v>
      </c>
      <c r="O95" s="248">
        <v>1026.9000000000001</v>
      </c>
      <c r="P95" s="247">
        <v>1031.8</v>
      </c>
      <c r="Q95" s="247"/>
      <c r="R95" s="247">
        <v>997.3</v>
      </c>
      <c r="S95" s="248">
        <v>1000.3</v>
      </c>
      <c r="T95" s="247">
        <v>1002.9</v>
      </c>
      <c r="U95" s="248">
        <v>1005</v>
      </c>
      <c r="V95" s="248">
        <v>1007</v>
      </c>
      <c r="W95" s="5">
        <v>62</v>
      </c>
    </row>
    <row r="96" spans="1:23">
      <c r="A96" s="27">
        <v>20</v>
      </c>
      <c r="B96" s="28" t="s">
        <v>191</v>
      </c>
      <c r="C96" s="27">
        <v>1500</v>
      </c>
      <c r="D96" s="27">
        <v>6</v>
      </c>
      <c r="E96" s="27"/>
      <c r="F96" s="27">
        <v>7141010</v>
      </c>
      <c r="G96" s="27">
        <v>385</v>
      </c>
      <c r="I96" s="5">
        <v>63</v>
      </c>
      <c r="J96" s="248">
        <v>981.6</v>
      </c>
      <c r="K96" s="248"/>
      <c r="L96" s="247">
        <v>1007.8</v>
      </c>
      <c r="M96" s="248">
        <v>1014.2</v>
      </c>
      <c r="N96" s="247">
        <v>1019.4</v>
      </c>
      <c r="O96" s="248">
        <v>1026.2</v>
      </c>
      <c r="P96" s="247">
        <v>1031.0999999999999</v>
      </c>
      <c r="Q96" s="247"/>
      <c r="R96" s="247">
        <v>996.6</v>
      </c>
      <c r="S96" s="248">
        <v>999.6</v>
      </c>
      <c r="T96" s="247">
        <v>1002.2</v>
      </c>
      <c r="U96" s="248">
        <v>1004.3</v>
      </c>
      <c r="V96" s="248">
        <v>1006.2</v>
      </c>
      <c r="W96" s="5">
        <v>63</v>
      </c>
    </row>
    <row r="97" spans="1:23">
      <c r="A97" s="27">
        <v>21</v>
      </c>
      <c r="B97" s="28" t="s">
        <v>192</v>
      </c>
      <c r="C97" s="27">
        <v>2000</v>
      </c>
      <c r="D97" s="27">
        <v>6</v>
      </c>
      <c r="E97" s="27"/>
      <c r="F97" s="27">
        <v>7141015</v>
      </c>
      <c r="G97" s="27">
        <v>655</v>
      </c>
      <c r="I97" s="5">
        <v>64</v>
      </c>
      <c r="J97" s="248">
        <v>981.1</v>
      </c>
      <c r="K97" s="248"/>
      <c r="L97" s="247">
        <v>1007.2</v>
      </c>
      <c r="M97" s="248">
        <v>1013.5</v>
      </c>
      <c r="N97" s="247">
        <v>1018.7</v>
      </c>
      <c r="O97" s="248">
        <v>1025.5999999999999</v>
      </c>
      <c r="P97" s="247">
        <v>1030.4000000000001</v>
      </c>
      <c r="Q97" s="247"/>
      <c r="R97" s="247">
        <v>995.9</v>
      </c>
      <c r="S97" s="248">
        <v>998.9</v>
      </c>
      <c r="T97" s="247">
        <v>1001.5</v>
      </c>
      <c r="U97" s="248">
        <v>1003.5</v>
      </c>
      <c r="V97" s="248">
        <v>1005.5</v>
      </c>
      <c r="W97" s="5">
        <v>64</v>
      </c>
    </row>
    <row r="98" spans="1:23">
      <c r="A98" s="27">
        <v>22</v>
      </c>
      <c r="B98" s="28" t="s">
        <v>193</v>
      </c>
      <c r="C98" s="27">
        <v>3000</v>
      </c>
      <c r="D98" s="27">
        <v>6</v>
      </c>
      <c r="E98" s="27"/>
      <c r="F98" s="27">
        <v>7141012</v>
      </c>
      <c r="G98" s="27">
        <v>810</v>
      </c>
      <c r="I98" s="5">
        <v>65</v>
      </c>
      <c r="J98" s="248">
        <v>980.5</v>
      </c>
      <c r="K98" s="248"/>
      <c r="L98" s="247">
        <v>1006.5</v>
      </c>
      <c r="M98" s="248">
        <v>1012.9</v>
      </c>
      <c r="N98" s="247">
        <v>1018</v>
      </c>
      <c r="O98" s="248">
        <v>1024.9000000000001</v>
      </c>
      <c r="P98" s="247">
        <v>1029.7</v>
      </c>
      <c r="Q98" s="247"/>
      <c r="R98" s="247">
        <v>995.3</v>
      </c>
      <c r="S98" s="248">
        <v>998.3</v>
      </c>
      <c r="T98" s="247">
        <v>1000.8</v>
      </c>
      <c r="U98" s="248">
        <v>1002.8</v>
      </c>
      <c r="V98" s="248">
        <v>1004.7</v>
      </c>
      <c r="W98" s="5">
        <v>65</v>
      </c>
    </row>
    <row r="99" spans="1:23">
      <c r="A99" s="27">
        <v>23</v>
      </c>
      <c r="B99" s="28" t="s">
        <v>194</v>
      </c>
      <c r="C99" s="27">
        <v>4000</v>
      </c>
      <c r="D99" s="27">
        <v>6</v>
      </c>
      <c r="E99" s="27"/>
      <c r="F99" s="27">
        <v>7141013</v>
      </c>
      <c r="G99" s="27">
        <v>920</v>
      </c>
      <c r="I99" s="5">
        <v>66</v>
      </c>
      <c r="J99" s="248">
        <v>980</v>
      </c>
      <c r="K99" s="248"/>
      <c r="L99" s="247">
        <v>1005.9</v>
      </c>
      <c r="M99" s="248">
        <v>1012.3</v>
      </c>
      <c r="N99" s="247">
        <v>1017.4</v>
      </c>
      <c r="O99" s="248">
        <v>1024.2</v>
      </c>
      <c r="P99" s="247">
        <v>1029</v>
      </c>
      <c r="Q99" s="247"/>
      <c r="R99" s="247">
        <v>994.6</v>
      </c>
      <c r="S99" s="248">
        <v>997.6</v>
      </c>
      <c r="T99" s="247">
        <v>1000</v>
      </c>
      <c r="U99" s="248">
        <v>1002.1</v>
      </c>
      <c r="V99" s="248">
        <v>1004</v>
      </c>
      <c r="W99" s="5">
        <v>66</v>
      </c>
    </row>
    <row r="100" spans="1:23">
      <c r="A100" s="27">
        <v>24</v>
      </c>
      <c r="B100" s="28" t="s">
        <v>195</v>
      </c>
      <c r="C100" s="27">
        <v>5000</v>
      </c>
      <c r="D100" s="27">
        <v>6</v>
      </c>
      <c r="E100" s="27"/>
      <c r="F100" s="27">
        <v>7141014</v>
      </c>
      <c r="G100" s="27">
        <v>1015</v>
      </c>
      <c r="I100" s="5">
        <v>67</v>
      </c>
      <c r="J100" s="248">
        <v>979.4</v>
      </c>
      <c r="K100" s="248"/>
      <c r="L100" s="247">
        <v>1005.3</v>
      </c>
      <c r="M100" s="248">
        <v>1011.6</v>
      </c>
      <c r="N100" s="247">
        <v>1016.7</v>
      </c>
      <c r="O100" s="248">
        <v>1023.5</v>
      </c>
      <c r="P100" s="247">
        <v>1028.4000000000001</v>
      </c>
      <c r="Q100" s="247"/>
      <c r="R100" s="247">
        <v>993.9</v>
      </c>
      <c r="S100" s="248">
        <v>996.9</v>
      </c>
      <c r="T100" s="247">
        <v>999.3</v>
      </c>
      <c r="U100" s="248">
        <v>1001.3</v>
      </c>
      <c r="V100" s="248">
        <v>1003.2</v>
      </c>
      <c r="W100" s="5">
        <v>67</v>
      </c>
    </row>
    <row r="101" spans="1:23">
      <c r="A101" s="27">
        <v>25</v>
      </c>
      <c r="B101" s="28" t="s">
        <v>169</v>
      </c>
      <c r="C101" s="27">
        <v>300</v>
      </c>
      <c r="D101" s="27">
        <v>10</v>
      </c>
      <c r="E101" s="27"/>
      <c r="F101" s="27">
        <v>7142008</v>
      </c>
      <c r="G101" s="27">
        <v>170</v>
      </c>
      <c r="I101" s="5">
        <v>68</v>
      </c>
      <c r="J101" s="248">
        <v>978.9</v>
      </c>
      <c r="K101" s="248"/>
      <c r="L101" s="247">
        <v>1004.7</v>
      </c>
      <c r="M101" s="248">
        <v>1011</v>
      </c>
      <c r="N101" s="247">
        <v>1016.1</v>
      </c>
      <c r="O101" s="248">
        <v>1022.9</v>
      </c>
      <c r="P101" s="247">
        <v>1027.7</v>
      </c>
      <c r="Q101" s="247"/>
      <c r="R101" s="247">
        <v>993.3</v>
      </c>
      <c r="S101" s="248">
        <v>996.2</v>
      </c>
      <c r="T101" s="247">
        <v>998.6</v>
      </c>
      <c r="U101" s="248">
        <v>1000.6</v>
      </c>
      <c r="V101" s="248">
        <v>1002.5</v>
      </c>
      <c r="W101" s="5">
        <v>68</v>
      </c>
    </row>
    <row r="102" spans="1:23">
      <c r="A102" s="27">
        <v>26</v>
      </c>
      <c r="B102" s="28" t="s">
        <v>170</v>
      </c>
      <c r="C102" s="27">
        <v>500</v>
      </c>
      <c r="D102" s="27">
        <v>10</v>
      </c>
      <c r="E102" s="27"/>
      <c r="F102" s="27">
        <v>7142009</v>
      </c>
      <c r="G102" s="27">
        <v>225</v>
      </c>
      <c r="I102" s="5">
        <v>69</v>
      </c>
      <c r="J102" s="248">
        <v>978.3</v>
      </c>
      <c r="K102" s="248"/>
      <c r="L102" s="247">
        <v>1004.1</v>
      </c>
      <c r="M102" s="248">
        <v>1010.4</v>
      </c>
      <c r="N102" s="247">
        <v>1015.4</v>
      </c>
      <c r="O102" s="248">
        <v>1022.2</v>
      </c>
      <c r="P102" s="247">
        <v>1027</v>
      </c>
      <c r="Q102" s="247"/>
      <c r="R102" s="247">
        <v>992.6</v>
      </c>
      <c r="S102" s="248">
        <v>995.5</v>
      </c>
      <c r="T102" s="247">
        <v>997.9</v>
      </c>
      <c r="U102" s="248">
        <v>999.8</v>
      </c>
      <c r="V102" s="248">
        <v>1001.7</v>
      </c>
      <c r="W102" s="5">
        <v>69</v>
      </c>
    </row>
    <row r="103" spans="1:23">
      <c r="A103" s="27">
        <v>27</v>
      </c>
      <c r="B103" s="28" t="s">
        <v>167</v>
      </c>
      <c r="C103" s="27">
        <v>700</v>
      </c>
      <c r="D103" s="27">
        <v>10</v>
      </c>
      <c r="E103" s="27"/>
      <c r="F103" s="27">
        <v>7142010</v>
      </c>
      <c r="G103" s="27">
        <v>240</v>
      </c>
      <c r="I103" s="5">
        <v>70</v>
      </c>
      <c r="J103" s="248">
        <v>977.8</v>
      </c>
      <c r="K103" s="248"/>
      <c r="L103" s="247">
        <v>1003.5</v>
      </c>
      <c r="M103" s="248">
        <v>1009.7</v>
      </c>
      <c r="N103" s="247">
        <v>1014.8</v>
      </c>
      <c r="O103" s="248">
        <v>1021.5</v>
      </c>
      <c r="P103" s="247">
        <v>1026.3</v>
      </c>
      <c r="Q103" s="247"/>
      <c r="R103" s="247">
        <v>991.9</v>
      </c>
      <c r="S103" s="248">
        <v>994.8</v>
      </c>
      <c r="T103" s="247">
        <v>997.1</v>
      </c>
      <c r="U103" s="248">
        <v>999.1</v>
      </c>
      <c r="V103" s="248">
        <v>1000.9</v>
      </c>
      <c r="W103" s="5">
        <v>70</v>
      </c>
    </row>
    <row r="104" spans="1:23">
      <c r="A104" s="27">
        <v>28</v>
      </c>
      <c r="B104" s="28" t="s">
        <v>202</v>
      </c>
      <c r="C104" s="27">
        <v>1000</v>
      </c>
      <c r="D104" s="27">
        <v>16</v>
      </c>
      <c r="E104" s="27"/>
      <c r="F104" s="27">
        <v>7142011</v>
      </c>
      <c r="G104" s="27">
        <v>330</v>
      </c>
      <c r="I104" s="5">
        <v>71</v>
      </c>
      <c r="J104" s="248">
        <v>977.2</v>
      </c>
      <c r="K104" s="248"/>
      <c r="L104" s="247">
        <v>1002.8</v>
      </c>
      <c r="M104" s="248">
        <v>1009</v>
      </c>
      <c r="N104" s="247">
        <v>1014.1</v>
      </c>
      <c r="O104" s="248">
        <v>1020.8</v>
      </c>
      <c r="P104" s="247">
        <v>1025.5999999999999</v>
      </c>
      <c r="Q104" s="247"/>
      <c r="R104" s="247">
        <v>991.2</v>
      </c>
      <c r="S104" s="248">
        <v>994.1</v>
      </c>
      <c r="T104" s="247">
        <v>996.4</v>
      </c>
      <c r="U104" s="248">
        <v>998.3</v>
      </c>
      <c r="V104" s="248">
        <v>1000.2</v>
      </c>
      <c r="W104" s="5">
        <v>71</v>
      </c>
    </row>
    <row r="105" spans="1:23">
      <c r="A105" s="27">
        <v>29</v>
      </c>
      <c r="B105" s="28" t="s">
        <v>203</v>
      </c>
      <c r="C105" s="27">
        <v>1500</v>
      </c>
      <c r="D105" s="27">
        <v>16</v>
      </c>
      <c r="E105" s="27"/>
      <c r="F105" s="27">
        <v>7142012</v>
      </c>
      <c r="G105" s="27">
        <v>445</v>
      </c>
      <c r="I105" s="5">
        <v>72</v>
      </c>
      <c r="J105" s="248">
        <v>976.6</v>
      </c>
      <c r="K105" s="248"/>
      <c r="L105" s="247">
        <v>1002.1</v>
      </c>
      <c r="M105" s="248">
        <v>1008.4</v>
      </c>
      <c r="N105" s="247">
        <v>1013.4</v>
      </c>
      <c r="O105" s="248">
        <v>1020.1</v>
      </c>
      <c r="P105" s="247">
        <v>1024.9000000000001</v>
      </c>
      <c r="Q105" s="247"/>
      <c r="R105" s="247">
        <v>990.5</v>
      </c>
      <c r="S105" s="248">
        <v>993.3</v>
      </c>
      <c r="T105" s="247">
        <v>995.7</v>
      </c>
      <c r="U105" s="248">
        <v>997.6</v>
      </c>
      <c r="V105" s="248">
        <v>999.4</v>
      </c>
      <c r="W105" s="5">
        <v>72</v>
      </c>
    </row>
    <row r="106" spans="1:23">
      <c r="A106" s="27">
        <v>30</v>
      </c>
      <c r="B106" s="28" t="s">
        <v>204</v>
      </c>
      <c r="C106" s="27">
        <v>2000</v>
      </c>
      <c r="D106" s="27">
        <v>16</v>
      </c>
      <c r="E106" s="27"/>
      <c r="F106" s="27">
        <v>7142017</v>
      </c>
      <c r="G106" s="27">
        <v>735</v>
      </c>
      <c r="I106" s="5">
        <v>73</v>
      </c>
      <c r="J106" s="248">
        <v>976</v>
      </c>
      <c r="K106" s="248"/>
      <c r="L106" s="247">
        <v>1001.5</v>
      </c>
      <c r="M106" s="248">
        <v>1007.7</v>
      </c>
      <c r="N106" s="247">
        <v>1012.7</v>
      </c>
      <c r="O106" s="248">
        <v>1019.4</v>
      </c>
      <c r="P106" s="247">
        <v>1024.2</v>
      </c>
      <c r="Q106" s="247"/>
      <c r="R106" s="247">
        <v>989.8</v>
      </c>
      <c r="S106" s="248">
        <v>992.6</v>
      </c>
      <c r="T106" s="247">
        <v>994.9</v>
      </c>
      <c r="U106" s="248">
        <v>996.8</v>
      </c>
      <c r="V106" s="248">
        <v>998.6</v>
      </c>
      <c r="W106" s="5">
        <v>73</v>
      </c>
    </row>
    <row r="107" spans="1:23">
      <c r="A107" s="27">
        <v>31</v>
      </c>
      <c r="B107" s="28" t="s">
        <v>205</v>
      </c>
      <c r="C107" s="27">
        <v>3000</v>
      </c>
      <c r="D107" s="27">
        <v>16</v>
      </c>
      <c r="E107" s="27"/>
      <c r="F107" s="27">
        <v>7142014</v>
      </c>
      <c r="G107" s="27">
        <v>890</v>
      </c>
      <c r="I107" s="5">
        <v>74</v>
      </c>
      <c r="J107" s="248">
        <v>975.4</v>
      </c>
      <c r="K107" s="248"/>
      <c r="L107" s="247">
        <v>1000.8</v>
      </c>
      <c r="M107" s="248">
        <v>1007</v>
      </c>
      <c r="N107" s="247">
        <v>1012</v>
      </c>
      <c r="O107" s="248">
        <v>1018.7</v>
      </c>
      <c r="P107" s="247">
        <v>1023.4</v>
      </c>
      <c r="Q107" s="247"/>
      <c r="R107" s="247">
        <v>989.1</v>
      </c>
      <c r="S107" s="248">
        <v>991.9</v>
      </c>
      <c r="T107" s="247">
        <v>994.2</v>
      </c>
      <c r="U107" s="248">
        <v>996.1</v>
      </c>
      <c r="V107" s="248">
        <v>997.8</v>
      </c>
      <c r="W107" s="5">
        <v>74</v>
      </c>
    </row>
    <row r="108" spans="1:23">
      <c r="A108" s="27">
        <v>32</v>
      </c>
      <c r="B108" s="28" t="s">
        <v>206</v>
      </c>
      <c r="C108" s="27">
        <v>4000</v>
      </c>
      <c r="D108" s="27">
        <v>16</v>
      </c>
      <c r="E108" s="27"/>
      <c r="F108" s="27">
        <v>7142015</v>
      </c>
      <c r="G108" s="27">
        <v>1030</v>
      </c>
      <c r="I108" s="5">
        <v>75</v>
      </c>
      <c r="J108" s="248">
        <v>974.8</v>
      </c>
      <c r="K108" s="248"/>
      <c r="L108" s="247">
        <v>1000.1</v>
      </c>
      <c r="M108" s="248">
        <v>1006.3</v>
      </c>
      <c r="N108" s="247">
        <v>1011.3</v>
      </c>
      <c r="O108" s="248">
        <v>1018</v>
      </c>
      <c r="P108" s="247">
        <v>1022.7</v>
      </c>
      <c r="Q108" s="247"/>
      <c r="R108" s="247">
        <v>988.4</v>
      </c>
      <c r="S108" s="248">
        <v>991.2</v>
      </c>
      <c r="T108" s="247">
        <v>993.4</v>
      </c>
      <c r="U108" s="248">
        <v>995.3</v>
      </c>
      <c r="V108" s="248">
        <v>997</v>
      </c>
      <c r="W108" s="5">
        <v>75</v>
      </c>
    </row>
    <row r="109" spans="1:23">
      <c r="A109" s="27">
        <v>33</v>
      </c>
      <c r="B109" s="28" t="s">
        <v>207</v>
      </c>
      <c r="C109" s="27">
        <v>5000</v>
      </c>
      <c r="D109" s="27">
        <v>16</v>
      </c>
      <c r="E109" s="27"/>
      <c r="F109" s="27">
        <v>7142016</v>
      </c>
      <c r="G109" s="27">
        <v>1145</v>
      </c>
      <c r="I109" s="5">
        <v>76</v>
      </c>
      <c r="J109" s="248">
        <v>974.2</v>
      </c>
      <c r="K109" s="248"/>
      <c r="L109" s="247">
        <v>999.5</v>
      </c>
      <c r="M109" s="248">
        <v>1005.7</v>
      </c>
      <c r="N109" s="247">
        <v>1010.7</v>
      </c>
      <c r="O109" s="248">
        <v>1017.3</v>
      </c>
      <c r="P109" s="247">
        <v>1022</v>
      </c>
      <c r="Q109" s="247"/>
      <c r="R109" s="247">
        <v>987.7</v>
      </c>
      <c r="S109" s="248">
        <v>990.4</v>
      </c>
      <c r="T109" s="247">
        <v>992.7</v>
      </c>
      <c r="U109" s="248">
        <v>994.5</v>
      </c>
      <c r="V109" s="248">
        <v>996.3</v>
      </c>
      <c r="W109" s="5">
        <v>76</v>
      </c>
    </row>
    <row r="110" spans="1:23">
      <c r="A110" s="27">
        <v>34</v>
      </c>
      <c r="B110" s="28" t="s">
        <v>171</v>
      </c>
      <c r="C110" s="27">
        <v>300</v>
      </c>
      <c r="D110" s="27">
        <v>16</v>
      </c>
      <c r="E110" s="27"/>
      <c r="F110" s="27">
        <v>7143000</v>
      </c>
      <c r="G110" s="27">
        <v>190</v>
      </c>
      <c r="I110" s="5">
        <v>77</v>
      </c>
      <c r="J110" s="248">
        <v>973.6</v>
      </c>
      <c r="K110" s="248"/>
      <c r="L110" s="247">
        <v>998.8</v>
      </c>
      <c r="M110" s="248">
        <v>1005</v>
      </c>
      <c r="N110" s="247">
        <v>1010</v>
      </c>
      <c r="O110" s="248">
        <v>1016.6</v>
      </c>
      <c r="P110" s="247">
        <v>1021.3</v>
      </c>
      <c r="Q110" s="247"/>
      <c r="R110" s="247">
        <v>987</v>
      </c>
      <c r="S110" s="248">
        <v>989.7</v>
      </c>
      <c r="T110" s="247">
        <v>992</v>
      </c>
      <c r="U110" s="248">
        <v>993.8</v>
      </c>
      <c r="V110" s="248">
        <v>995.5</v>
      </c>
      <c r="W110" s="5">
        <v>77</v>
      </c>
    </row>
    <row r="111" spans="1:23">
      <c r="A111" s="27">
        <v>35</v>
      </c>
      <c r="B111" s="28" t="s">
        <v>172</v>
      </c>
      <c r="C111" s="27">
        <v>500</v>
      </c>
      <c r="D111" s="27">
        <v>16</v>
      </c>
      <c r="E111" s="27"/>
      <c r="F111" s="27">
        <v>7143001</v>
      </c>
      <c r="G111" s="27">
        <v>255</v>
      </c>
      <c r="I111" s="5">
        <v>78</v>
      </c>
      <c r="J111" s="248">
        <v>973</v>
      </c>
      <c r="K111" s="248"/>
      <c r="L111" s="247">
        <v>998.1</v>
      </c>
      <c r="M111" s="248">
        <v>1004.3</v>
      </c>
      <c r="N111" s="247">
        <v>1009.3</v>
      </c>
      <c r="O111" s="248">
        <v>1015.9</v>
      </c>
      <c r="P111" s="247">
        <v>1020.6</v>
      </c>
      <c r="Q111" s="247"/>
      <c r="R111" s="247">
        <v>986.3</v>
      </c>
      <c r="S111" s="248">
        <v>989</v>
      </c>
      <c r="T111" s="247">
        <v>991.2</v>
      </c>
      <c r="U111" s="248">
        <v>993</v>
      </c>
      <c r="V111" s="248">
        <v>994.7</v>
      </c>
      <c r="W111" s="5">
        <v>78</v>
      </c>
    </row>
    <row r="112" spans="1:23">
      <c r="A112" s="27">
        <v>36</v>
      </c>
      <c r="B112" s="28" t="s">
        <v>173</v>
      </c>
      <c r="C112" s="27">
        <v>700</v>
      </c>
      <c r="D112" s="27">
        <v>16</v>
      </c>
      <c r="E112" s="27"/>
      <c r="F112" s="27">
        <v>7143002</v>
      </c>
      <c r="G112" s="27">
        <v>280</v>
      </c>
      <c r="I112" s="5">
        <v>79</v>
      </c>
      <c r="J112" s="248">
        <v>972.4</v>
      </c>
      <c r="K112" s="248"/>
      <c r="L112" s="247">
        <v>997.5</v>
      </c>
      <c r="M112" s="248">
        <v>1003.6</v>
      </c>
      <c r="N112" s="247">
        <v>1008.6</v>
      </c>
      <c r="O112" s="248">
        <v>1015.2</v>
      </c>
      <c r="P112" s="247">
        <v>1019.9</v>
      </c>
      <c r="Q112" s="247"/>
      <c r="R112" s="247">
        <v>985.6</v>
      </c>
      <c r="S112" s="248">
        <v>988.3</v>
      </c>
      <c r="T112" s="247">
        <v>990.5</v>
      </c>
      <c r="U112" s="248">
        <v>992.2</v>
      </c>
      <c r="V112" s="248">
        <v>993.9</v>
      </c>
      <c r="W112" s="5">
        <v>79</v>
      </c>
    </row>
    <row r="113" spans="1:23">
      <c r="A113" s="27">
        <v>37</v>
      </c>
      <c r="B113" s="28" t="s">
        <v>196</v>
      </c>
      <c r="C113" s="27">
        <v>1000</v>
      </c>
      <c r="D113" s="27">
        <v>16</v>
      </c>
      <c r="E113" s="27"/>
      <c r="F113" s="27">
        <v>7143003</v>
      </c>
      <c r="G113" s="27">
        <v>385</v>
      </c>
      <c r="I113" s="5">
        <v>80</v>
      </c>
      <c r="J113" s="248">
        <v>971.8</v>
      </c>
      <c r="K113" s="248"/>
      <c r="L113" s="247">
        <v>996.8</v>
      </c>
      <c r="M113" s="248">
        <v>1003</v>
      </c>
      <c r="N113" s="247">
        <v>1007.9</v>
      </c>
      <c r="O113" s="248">
        <v>1014.5</v>
      </c>
      <c r="P113" s="247">
        <v>1019.2</v>
      </c>
      <c r="Q113" s="247"/>
      <c r="R113" s="247">
        <v>984.9</v>
      </c>
      <c r="S113" s="248">
        <v>987.5</v>
      </c>
      <c r="T113" s="247">
        <v>989.7</v>
      </c>
      <c r="U113" s="248">
        <v>991.5</v>
      </c>
      <c r="V113" s="248">
        <v>993.1</v>
      </c>
      <c r="W113" s="5">
        <v>80</v>
      </c>
    </row>
    <row r="114" spans="1:23">
      <c r="A114" s="27">
        <v>38</v>
      </c>
      <c r="B114" s="28" t="s">
        <v>197</v>
      </c>
      <c r="C114" s="27">
        <v>1500</v>
      </c>
      <c r="D114" s="27">
        <v>16</v>
      </c>
      <c r="E114" s="27"/>
      <c r="F114" s="27">
        <v>7143004</v>
      </c>
      <c r="G114" s="27">
        <v>510</v>
      </c>
      <c r="I114" s="5">
        <v>81</v>
      </c>
      <c r="J114" s="248">
        <v>971.2</v>
      </c>
      <c r="K114" s="248"/>
      <c r="L114" s="247">
        <v>996.1</v>
      </c>
      <c r="M114" s="248">
        <v>1002.2</v>
      </c>
      <c r="N114" s="247">
        <v>1007.2</v>
      </c>
      <c r="O114" s="248">
        <v>1013.7</v>
      </c>
      <c r="P114" s="247">
        <v>1018.4</v>
      </c>
      <c r="Q114" s="247"/>
      <c r="R114" s="247">
        <v>984.2</v>
      </c>
      <c r="S114" s="248">
        <v>986.8</v>
      </c>
      <c r="T114" s="247">
        <v>988.9</v>
      </c>
      <c r="U114" s="248">
        <v>990.7</v>
      </c>
      <c r="V114" s="248">
        <v>992.3</v>
      </c>
      <c r="W114" s="5">
        <v>81</v>
      </c>
    </row>
    <row r="115" spans="1:23">
      <c r="A115" s="27">
        <v>39</v>
      </c>
      <c r="B115" s="28" t="s">
        <v>198</v>
      </c>
      <c r="C115" s="27">
        <v>2000</v>
      </c>
      <c r="D115" s="27">
        <v>16</v>
      </c>
      <c r="E115" s="27"/>
      <c r="F115" s="27">
        <v>7143012</v>
      </c>
      <c r="G115" s="27">
        <v>820</v>
      </c>
      <c r="I115" s="5">
        <v>82</v>
      </c>
      <c r="J115" s="248">
        <v>970.5</v>
      </c>
      <c r="K115" s="248"/>
      <c r="L115" s="247">
        <v>995.4</v>
      </c>
      <c r="M115" s="248">
        <v>1001.5</v>
      </c>
      <c r="N115" s="247">
        <v>1006.4</v>
      </c>
      <c r="O115" s="248">
        <v>1013</v>
      </c>
      <c r="P115" s="247">
        <v>1017.7</v>
      </c>
      <c r="Q115" s="247"/>
      <c r="R115" s="247">
        <v>983.5</v>
      </c>
      <c r="S115" s="248">
        <v>986</v>
      </c>
      <c r="T115" s="247">
        <v>988.1</v>
      </c>
      <c r="U115" s="248">
        <v>989.9</v>
      </c>
      <c r="V115" s="248">
        <v>991.5</v>
      </c>
      <c r="W115" s="5">
        <v>82</v>
      </c>
    </row>
    <row r="116" spans="1:23">
      <c r="A116" s="27">
        <v>40</v>
      </c>
      <c r="B116" s="28" t="s">
        <v>199</v>
      </c>
      <c r="C116" s="27">
        <v>3000</v>
      </c>
      <c r="D116" s="27">
        <v>16</v>
      </c>
      <c r="E116" s="27"/>
      <c r="F116" s="27">
        <v>7143006</v>
      </c>
      <c r="G116" s="27">
        <v>995</v>
      </c>
      <c r="I116" s="5">
        <v>83</v>
      </c>
      <c r="J116" s="248">
        <v>969.9</v>
      </c>
      <c r="K116" s="248"/>
      <c r="L116" s="247">
        <v>994.7</v>
      </c>
      <c r="M116" s="248">
        <v>1000.8</v>
      </c>
      <c r="N116" s="247">
        <v>1005.7</v>
      </c>
      <c r="O116" s="248">
        <v>1012.3</v>
      </c>
      <c r="P116" s="247">
        <v>1016.9</v>
      </c>
      <c r="Q116" s="247"/>
      <c r="R116" s="247">
        <v>982.7</v>
      </c>
      <c r="S116" s="248">
        <v>985.2</v>
      </c>
      <c r="T116" s="247">
        <v>987.4</v>
      </c>
      <c r="U116" s="248">
        <v>989.1</v>
      </c>
      <c r="V116" s="248">
        <v>990.7</v>
      </c>
      <c r="W116" s="5">
        <v>83</v>
      </c>
    </row>
    <row r="117" spans="1:23">
      <c r="A117" s="27">
        <v>41</v>
      </c>
      <c r="B117" s="28" t="s">
        <v>200</v>
      </c>
      <c r="C117" s="27">
        <v>4000</v>
      </c>
      <c r="D117" s="27">
        <v>16</v>
      </c>
      <c r="E117" s="27"/>
      <c r="F117" s="27">
        <v>7143007</v>
      </c>
      <c r="G117" s="27">
        <v>1145</v>
      </c>
      <c r="I117" s="5">
        <v>84</v>
      </c>
      <c r="J117" s="248">
        <v>969.3</v>
      </c>
      <c r="K117" s="248"/>
      <c r="L117" s="247">
        <v>994</v>
      </c>
      <c r="M117" s="248">
        <v>1000.1</v>
      </c>
      <c r="N117" s="247">
        <v>1005</v>
      </c>
      <c r="O117" s="248">
        <v>1011.5</v>
      </c>
      <c r="P117" s="247">
        <v>1016.2</v>
      </c>
      <c r="Q117" s="247"/>
      <c r="R117" s="247">
        <v>982</v>
      </c>
      <c r="S117" s="248">
        <v>984.5</v>
      </c>
      <c r="T117" s="247">
        <v>986.6</v>
      </c>
      <c r="U117" s="248">
        <v>988.3</v>
      </c>
      <c r="V117" s="248">
        <v>989.9</v>
      </c>
      <c r="W117" s="5">
        <v>84</v>
      </c>
    </row>
    <row r="118" spans="1:23">
      <c r="A118" s="27">
        <v>42</v>
      </c>
      <c r="B118" s="28" t="s">
        <v>201</v>
      </c>
      <c r="C118" s="27">
        <v>5000</v>
      </c>
      <c r="D118" s="27">
        <v>16</v>
      </c>
      <c r="E118" s="27"/>
      <c r="F118" s="27">
        <v>7143008</v>
      </c>
      <c r="G118" s="27">
        <v>1280</v>
      </c>
      <c r="I118" s="5">
        <v>85</v>
      </c>
      <c r="J118" s="248">
        <v>968.6</v>
      </c>
      <c r="K118" s="248"/>
      <c r="L118" s="247">
        <v>993.3</v>
      </c>
      <c r="M118" s="248">
        <v>999.4</v>
      </c>
      <c r="N118" s="247">
        <v>1004.3</v>
      </c>
      <c r="O118" s="248">
        <v>1010.8</v>
      </c>
      <c r="P118" s="247">
        <v>1015.5</v>
      </c>
      <c r="Q118" s="247"/>
      <c r="R118" s="247">
        <v>981.2</v>
      </c>
      <c r="S118" s="248">
        <v>983.7</v>
      </c>
      <c r="T118" s="247">
        <v>985.8</v>
      </c>
      <c r="U118" s="248">
        <v>987.5</v>
      </c>
      <c r="V118" s="248">
        <v>989</v>
      </c>
      <c r="W118" s="5">
        <v>85</v>
      </c>
    </row>
    <row r="119" spans="1:23">
      <c r="B119" s="28"/>
      <c r="I119" s="5">
        <v>86</v>
      </c>
      <c r="J119" s="248">
        <v>968</v>
      </c>
      <c r="K119" s="248"/>
      <c r="L119" s="247">
        <v>992.6</v>
      </c>
      <c r="M119" s="248">
        <v>998.6</v>
      </c>
      <c r="N119" s="247">
        <v>1003.5</v>
      </c>
      <c r="O119" s="248">
        <v>1010.1</v>
      </c>
      <c r="P119" s="247">
        <v>1014.7</v>
      </c>
      <c r="Q119" s="247"/>
      <c r="R119" s="247">
        <v>980.5</v>
      </c>
      <c r="S119" s="248">
        <v>982.9</v>
      </c>
      <c r="T119" s="247">
        <v>985</v>
      </c>
      <c r="U119" s="248">
        <v>986.6</v>
      </c>
      <c r="V119" s="248">
        <v>988.2</v>
      </c>
      <c r="W119" s="5">
        <v>86</v>
      </c>
    </row>
    <row r="120" spans="1:23">
      <c r="B120" s="28"/>
      <c r="E120" s="9" t="s">
        <v>4</v>
      </c>
      <c r="F120" s="3" t="str">
        <f>VLOOKUP(B76,A77:G118,3,0)</f>
        <v>nie dotyczy</v>
      </c>
      <c r="I120" s="5">
        <v>87</v>
      </c>
      <c r="J120" s="248">
        <v>967.3</v>
      </c>
      <c r="K120" s="248"/>
      <c r="L120" s="247">
        <v>991.9</v>
      </c>
      <c r="M120" s="248">
        <v>997.9</v>
      </c>
      <c r="N120" s="247">
        <v>1002.8</v>
      </c>
      <c r="O120" s="248">
        <v>1009.3</v>
      </c>
      <c r="P120" s="247">
        <v>1014</v>
      </c>
      <c r="Q120" s="247"/>
      <c r="R120" s="247">
        <v>979.8</v>
      </c>
      <c r="S120" s="248">
        <v>982.2</v>
      </c>
      <c r="T120" s="247">
        <v>984.2</v>
      </c>
      <c r="U120" s="248">
        <v>985.8</v>
      </c>
      <c r="V120" s="248">
        <v>987.4</v>
      </c>
      <c r="W120" s="5">
        <v>87</v>
      </c>
    </row>
    <row r="121" spans="1:23">
      <c r="B121" s="28"/>
      <c r="E121" s="9" t="s">
        <v>138</v>
      </c>
      <c r="F121" s="3" t="str">
        <f>VLOOKUP(B76,A77:G118,4,0)</f>
        <v>nie dotyczy</v>
      </c>
      <c r="I121" s="5">
        <v>88</v>
      </c>
      <c r="J121" s="248">
        <v>966.6</v>
      </c>
      <c r="K121" s="248"/>
      <c r="L121" s="247">
        <v>991.2</v>
      </c>
      <c r="M121" s="248">
        <v>997.2</v>
      </c>
      <c r="N121" s="247">
        <v>1002.1</v>
      </c>
      <c r="O121" s="248">
        <v>1008.6</v>
      </c>
      <c r="P121" s="247">
        <v>1013.2</v>
      </c>
      <c r="Q121" s="247"/>
      <c r="R121" s="247">
        <v>979</v>
      </c>
      <c r="S121" s="248">
        <v>981.4</v>
      </c>
      <c r="T121" s="247">
        <v>983.4</v>
      </c>
      <c r="U121" s="248">
        <v>985</v>
      </c>
      <c r="V121" s="248">
        <v>986.6</v>
      </c>
      <c r="W121" s="5">
        <v>88</v>
      </c>
    </row>
    <row r="122" spans="1:23">
      <c r="B122" s="28"/>
      <c r="E122" s="9" t="s">
        <v>144</v>
      </c>
      <c r="F122" s="3" t="str">
        <f>VLOOKUP(B76,A77:G118,7,0)</f>
        <v>nie dotyczy</v>
      </c>
      <c r="I122" s="5">
        <v>89</v>
      </c>
      <c r="J122" s="248">
        <v>966</v>
      </c>
      <c r="K122" s="248"/>
      <c r="L122" s="247">
        <v>990.5</v>
      </c>
      <c r="M122" s="248">
        <v>996.5</v>
      </c>
      <c r="N122" s="247">
        <v>1001.3</v>
      </c>
      <c r="O122" s="248">
        <v>1007.9</v>
      </c>
      <c r="P122" s="247">
        <v>1012.5</v>
      </c>
      <c r="Q122" s="247"/>
      <c r="R122" s="247">
        <v>978.3</v>
      </c>
      <c r="S122" s="248">
        <v>980.7</v>
      </c>
      <c r="T122" s="247">
        <v>982.6</v>
      </c>
      <c r="U122" s="248">
        <v>984.2</v>
      </c>
      <c r="V122" s="248">
        <v>985.8</v>
      </c>
      <c r="W122" s="5">
        <v>89</v>
      </c>
    </row>
    <row r="123" spans="1:23">
      <c r="B123" s="28"/>
      <c r="E123" s="9" t="s">
        <v>224</v>
      </c>
      <c r="F123" s="9" t="str">
        <f>VLOOKUP(B76,A77:G118,2,0)</f>
        <v>nie dotyczy</v>
      </c>
      <c r="I123" s="5">
        <v>90</v>
      </c>
      <c r="J123" s="248">
        <v>965.3</v>
      </c>
      <c r="K123" s="248"/>
      <c r="L123" s="247">
        <v>989.8</v>
      </c>
      <c r="M123" s="248">
        <v>995.7</v>
      </c>
      <c r="N123" s="247">
        <v>1000.6</v>
      </c>
      <c r="O123" s="248">
        <v>1007.1</v>
      </c>
      <c r="P123" s="247">
        <v>1011.7</v>
      </c>
      <c r="Q123" s="247"/>
      <c r="R123" s="247">
        <v>977.5</v>
      </c>
      <c r="S123" s="248">
        <v>979.9</v>
      </c>
      <c r="T123" s="247">
        <v>981.8</v>
      </c>
      <c r="U123" s="248">
        <v>983.4</v>
      </c>
      <c r="V123" s="248">
        <v>985</v>
      </c>
      <c r="W123" s="5">
        <v>90</v>
      </c>
    </row>
    <row r="124" spans="1:23">
      <c r="B124" s="28"/>
      <c r="C124" s="32"/>
      <c r="E124" s="9" t="s">
        <v>225</v>
      </c>
      <c r="F124" s="3" t="str">
        <f>VLOOKUP(B76,A77:G118,6,0)</f>
        <v>nie dotyczy</v>
      </c>
      <c r="I124" s="5">
        <v>91</v>
      </c>
      <c r="J124" s="248">
        <v>964.6</v>
      </c>
      <c r="K124" s="248"/>
      <c r="L124" s="247">
        <v>989</v>
      </c>
      <c r="M124" s="248">
        <v>995</v>
      </c>
      <c r="N124" s="247">
        <v>999.8</v>
      </c>
      <c r="O124" s="248">
        <v>1006.4</v>
      </c>
      <c r="P124" s="247">
        <v>1011</v>
      </c>
      <c r="Q124" s="247"/>
      <c r="R124" s="247">
        <v>976.8</v>
      </c>
      <c r="S124" s="248">
        <v>979.1</v>
      </c>
      <c r="T124" s="247">
        <v>981</v>
      </c>
      <c r="U124" s="248">
        <v>982.6</v>
      </c>
      <c r="V124" s="248">
        <v>984.1</v>
      </c>
      <c r="W124" s="5">
        <v>91</v>
      </c>
    </row>
    <row r="125" spans="1:23">
      <c r="B125" s="28"/>
      <c r="C125" s="32"/>
      <c r="I125" s="5">
        <v>92</v>
      </c>
      <c r="J125" s="248">
        <v>964</v>
      </c>
      <c r="K125" s="248"/>
      <c r="L125" s="247">
        <v>988.3</v>
      </c>
      <c r="M125" s="248">
        <v>994.2</v>
      </c>
      <c r="N125" s="247">
        <v>999.1</v>
      </c>
      <c r="O125" s="248">
        <v>1005.6</v>
      </c>
      <c r="P125" s="247">
        <v>1010.2</v>
      </c>
      <c r="Q125" s="247"/>
      <c r="R125" s="247">
        <v>976</v>
      </c>
      <c r="S125" s="248">
        <v>978.3</v>
      </c>
      <c r="T125" s="247">
        <v>980.2</v>
      </c>
      <c r="U125" s="248">
        <v>981.8</v>
      </c>
      <c r="V125" s="248">
        <v>983.3</v>
      </c>
      <c r="W125" s="5">
        <v>92</v>
      </c>
    </row>
    <row r="126" spans="1:23">
      <c r="I126" s="5">
        <v>93</v>
      </c>
      <c r="J126" s="248">
        <v>963.3</v>
      </c>
      <c r="K126" s="248"/>
      <c r="L126" s="247">
        <v>987.5</v>
      </c>
      <c r="M126" s="248">
        <v>993.5</v>
      </c>
      <c r="N126" s="247">
        <v>998.3</v>
      </c>
      <c r="O126" s="248">
        <v>1004.8</v>
      </c>
      <c r="P126" s="247">
        <v>1009.4</v>
      </c>
      <c r="Q126" s="247"/>
      <c r="R126" s="247">
        <v>975.2</v>
      </c>
      <c r="S126" s="248">
        <v>977.5</v>
      </c>
      <c r="T126" s="247">
        <v>979.4</v>
      </c>
      <c r="U126" s="248">
        <v>980.9</v>
      </c>
      <c r="V126" s="248">
        <v>982.4</v>
      </c>
      <c r="W126" s="5">
        <v>93</v>
      </c>
    </row>
    <row r="127" spans="1:23">
      <c r="I127" s="5">
        <v>94</v>
      </c>
      <c r="J127" s="248">
        <v>962.6</v>
      </c>
      <c r="K127" s="248"/>
      <c r="L127" s="247">
        <v>986.8</v>
      </c>
      <c r="M127" s="248">
        <v>992.7</v>
      </c>
      <c r="N127" s="247">
        <v>997.6</v>
      </c>
      <c r="O127" s="248">
        <v>1004</v>
      </c>
      <c r="P127" s="247">
        <v>1008.6</v>
      </c>
      <c r="Q127" s="247"/>
      <c r="R127" s="247">
        <v>974.4</v>
      </c>
      <c r="S127" s="248">
        <v>976.7</v>
      </c>
      <c r="T127" s="247">
        <v>978.6</v>
      </c>
      <c r="U127" s="248">
        <v>980.1</v>
      </c>
      <c r="V127" s="248">
        <v>981.6</v>
      </c>
      <c r="W127" s="5">
        <v>94</v>
      </c>
    </row>
    <row r="128" spans="1:23">
      <c r="I128" s="5">
        <v>95</v>
      </c>
      <c r="J128" s="248">
        <v>961.9</v>
      </c>
      <c r="K128" s="248"/>
      <c r="L128" s="247">
        <v>986</v>
      </c>
      <c r="M128" s="248">
        <v>992</v>
      </c>
      <c r="N128" s="247">
        <v>996.8</v>
      </c>
      <c r="O128" s="248">
        <v>1003.3</v>
      </c>
      <c r="P128" s="247">
        <v>1007.8</v>
      </c>
      <c r="Q128" s="247"/>
      <c r="R128" s="247">
        <v>973.6</v>
      </c>
      <c r="S128" s="248">
        <v>975.9</v>
      </c>
      <c r="T128" s="247">
        <v>977.8</v>
      </c>
      <c r="U128" s="248">
        <v>979.3</v>
      </c>
      <c r="V128" s="248">
        <v>980.7</v>
      </c>
      <c r="W128" s="5">
        <v>95</v>
      </c>
    </row>
    <row r="129" spans="1:23">
      <c r="I129" s="5">
        <v>96</v>
      </c>
      <c r="J129" s="248">
        <v>961.2</v>
      </c>
      <c r="K129" s="248"/>
      <c r="L129" s="247">
        <v>985.3</v>
      </c>
      <c r="M129" s="248">
        <v>991.2</v>
      </c>
      <c r="N129" s="247">
        <v>996</v>
      </c>
      <c r="O129" s="248">
        <v>1002.5</v>
      </c>
      <c r="P129" s="247">
        <v>1007.1</v>
      </c>
      <c r="Q129" s="247"/>
      <c r="R129" s="247">
        <v>972.8</v>
      </c>
      <c r="S129" s="248">
        <v>975.1</v>
      </c>
      <c r="T129" s="247">
        <v>976.9</v>
      </c>
      <c r="U129" s="248">
        <v>978.4</v>
      </c>
      <c r="V129" s="248">
        <v>979.8</v>
      </c>
      <c r="W129" s="5">
        <v>96</v>
      </c>
    </row>
    <row r="130" spans="1:23">
      <c r="E130" s="9" t="s">
        <v>4</v>
      </c>
      <c r="F130" s="3">
        <f>VLOOKUP(B133,A134:F158,3,0)</f>
        <v>0</v>
      </c>
      <c r="I130" s="5">
        <v>97</v>
      </c>
      <c r="J130" s="248">
        <v>960.5</v>
      </c>
      <c r="K130" s="248"/>
      <c r="L130" s="247">
        <v>984.5</v>
      </c>
      <c r="M130" s="248">
        <v>990.5</v>
      </c>
      <c r="N130" s="247">
        <v>995.3</v>
      </c>
      <c r="O130" s="248">
        <v>1001.7</v>
      </c>
      <c r="P130" s="247">
        <v>1006.3</v>
      </c>
      <c r="Q130" s="247"/>
      <c r="R130" s="247">
        <v>972.1</v>
      </c>
      <c r="S130" s="248">
        <v>974.3</v>
      </c>
      <c r="T130" s="247">
        <v>976.1</v>
      </c>
      <c r="U130" s="248">
        <v>977.6</v>
      </c>
      <c r="V130" s="248">
        <v>979</v>
      </c>
      <c r="W130" s="5">
        <v>97</v>
      </c>
    </row>
    <row r="131" spans="1:23">
      <c r="E131" s="9" t="s">
        <v>138</v>
      </c>
      <c r="F131" s="3">
        <f>VLOOKUP(B133,A134:F158,4,0)</f>
        <v>16</v>
      </c>
      <c r="I131" s="5">
        <v>98</v>
      </c>
      <c r="J131" s="248">
        <v>959.8</v>
      </c>
      <c r="K131" s="248"/>
      <c r="L131" s="247">
        <v>983.8</v>
      </c>
      <c r="M131" s="248">
        <v>989.7</v>
      </c>
      <c r="N131" s="247">
        <v>994.5</v>
      </c>
      <c r="O131" s="248">
        <v>1000.9</v>
      </c>
      <c r="P131" s="247">
        <v>1005.5</v>
      </c>
      <c r="Q131" s="247"/>
      <c r="R131" s="247">
        <v>971.3</v>
      </c>
      <c r="S131" s="248">
        <v>973.5</v>
      </c>
      <c r="T131" s="247">
        <v>975.3</v>
      </c>
      <c r="U131" s="248">
        <v>976.8</v>
      </c>
      <c r="V131" s="248">
        <v>978.1</v>
      </c>
      <c r="W131" s="5">
        <v>98</v>
      </c>
    </row>
    <row r="132" spans="1:23">
      <c r="E132" s="9" t="s">
        <v>144</v>
      </c>
      <c r="F132" s="3">
        <f>VLOOKUP(B133,A134:G158,7,0)</f>
        <v>0</v>
      </c>
      <c r="I132" s="5">
        <v>99</v>
      </c>
      <c r="J132" s="248">
        <v>959.1</v>
      </c>
      <c r="K132" s="248"/>
      <c r="L132" s="247">
        <v>983</v>
      </c>
      <c r="M132" s="248">
        <v>988.9</v>
      </c>
      <c r="N132" s="247">
        <v>993.7</v>
      </c>
      <c r="O132" s="248">
        <v>1000.2</v>
      </c>
      <c r="P132" s="247">
        <v>1004.7</v>
      </c>
      <c r="Q132" s="247"/>
      <c r="R132" s="247">
        <v>970.5</v>
      </c>
      <c r="S132" s="248">
        <v>972.7</v>
      </c>
      <c r="T132" s="247">
        <v>974.5</v>
      </c>
      <c r="U132" s="248">
        <v>975.9</v>
      </c>
      <c r="V132" s="248">
        <v>977.3</v>
      </c>
      <c r="W132" s="5">
        <v>99</v>
      </c>
    </row>
    <row r="133" spans="1:23">
      <c r="B133" s="27">
        <v>1</v>
      </c>
      <c r="C133" s="27"/>
      <c r="D133" s="27"/>
      <c r="E133" s="27"/>
      <c r="F133" s="27"/>
      <c r="I133" s="5">
        <v>100</v>
      </c>
      <c r="J133" s="248">
        <v>958.3</v>
      </c>
      <c r="K133" s="248"/>
      <c r="L133" s="247">
        <v>982.3</v>
      </c>
      <c r="M133" s="248">
        <v>988.2</v>
      </c>
      <c r="N133" s="247">
        <v>993</v>
      </c>
      <c r="O133" s="248">
        <v>999.4</v>
      </c>
      <c r="P133" s="247">
        <v>1003.9</v>
      </c>
      <c r="Q133" s="247"/>
      <c r="R133" s="247">
        <v>969.7</v>
      </c>
      <c r="S133" s="248">
        <v>971.9</v>
      </c>
      <c r="T133" s="247">
        <v>973.7</v>
      </c>
      <c r="U133" s="248">
        <v>975.1</v>
      </c>
      <c r="V133" s="248">
        <v>976.4</v>
      </c>
      <c r="W133" s="5">
        <v>100</v>
      </c>
    </row>
    <row r="134" spans="1:23">
      <c r="A134" s="27">
        <v>1</v>
      </c>
      <c r="B134" s="27"/>
      <c r="C134" s="27"/>
      <c r="D134" s="27">
        <v>16</v>
      </c>
      <c r="E134" s="27"/>
      <c r="F134" s="27"/>
      <c r="G134" s="27"/>
      <c r="I134" s="5">
        <v>101</v>
      </c>
      <c r="J134" s="248">
        <v>957.6</v>
      </c>
      <c r="K134" s="248"/>
      <c r="L134" s="247">
        <v>981.5</v>
      </c>
      <c r="M134" s="248">
        <v>987.4</v>
      </c>
      <c r="N134" s="247">
        <v>992.2</v>
      </c>
      <c r="O134" s="248">
        <v>998.6</v>
      </c>
      <c r="P134" s="247">
        <v>1003.1</v>
      </c>
      <c r="Q134" s="247"/>
      <c r="R134" s="247">
        <v>968.9</v>
      </c>
      <c r="S134" s="248">
        <v>971</v>
      </c>
      <c r="T134" s="247">
        <v>972.8</v>
      </c>
      <c r="U134" s="248">
        <v>974.2</v>
      </c>
      <c r="V134" s="248">
        <v>975.6</v>
      </c>
      <c r="W134" s="5">
        <v>101</v>
      </c>
    </row>
    <row r="135" spans="1:23">
      <c r="A135" s="27">
        <v>2</v>
      </c>
      <c r="B135" s="28" t="s">
        <v>586</v>
      </c>
      <c r="C135" s="27">
        <v>200</v>
      </c>
      <c r="D135" s="27">
        <v>6</v>
      </c>
      <c r="E135" s="27"/>
      <c r="F135" s="29">
        <v>7122000</v>
      </c>
      <c r="G135" s="27">
        <v>36</v>
      </c>
      <c r="I135" s="5">
        <v>102</v>
      </c>
      <c r="J135" s="248">
        <v>956.8</v>
      </c>
      <c r="K135" s="248"/>
      <c r="L135" s="247">
        <v>980.7</v>
      </c>
      <c r="M135" s="248">
        <v>986.6</v>
      </c>
      <c r="N135" s="247">
        <v>991.4</v>
      </c>
      <c r="O135" s="248">
        <v>997.8</v>
      </c>
      <c r="P135" s="247">
        <v>1002.3</v>
      </c>
      <c r="Q135" s="247"/>
      <c r="R135" s="247">
        <v>968.1</v>
      </c>
      <c r="S135" s="248">
        <v>970.2</v>
      </c>
      <c r="T135" s="247">
        <v>972</v>
      </c>
      <c r="U135" s="248">
        <v>973.4</v>
      </c>
      <c r="V135" s="248">
        <v>974.7</v>
      </c>
      <c r="W135" s="5">
        <v>102</v>
      </c>
    </row>
    <row r="136" spans="1:23">
      <c r="A136" s="27">
        <v>3</v>
      </c>
      <c r="B136" s="28" t="s">
        <v>587</v>
      </c>
      <c r="C136" s="27">
        <v>300</v>
      </c>
      <c r="D136" s="27">
        <v>6</v>
      </c>
      <c r="E136" s="27"/>
      <c r="F136" s="29">
        <v>7122001</v>
      </c>
      <c r="G136" s="27">
        <v>45</v>
      </c>
      <c r="I136" s="5">
        <v>103</v>
      </c>
      <c r="J136" s="248">
        <v>956.1</v>
      </c>
      <c r="K136" s="248"/>
      <c r="L136" s="247">
        <v>979.9</v>
      </c>
      <c r="M136" s="248">
        <v>985.8</v>
      </c>
      <c r="N136" s="247">
        <v>990.6</v>
      </c>
      <c r="O136" s="248">
        <v>997</v>
      </c>
      <c r="P136" s="247">
        <v>1001.5</v>
      </c>
      <c r="Q136" s="247"/>
      <c r="R136" s="247">
        <v>967.2</v>
      </c>
      <c r="S136" s="248">
        <v>969.3</v>
      </c>
      <c r="T136" s="247">
        <v>971.1</v>
      </c>
      <c r="U136" s="248">
        <v>972.5</v>
      </c>
      <c r="V136" s="248">
        <v>973.8</v>
      </c>
      <c r="W136" s="5">
        <v>103</v>
      </c>
    </row>
    <row r="137" spans="1:23">
      <c r="A137" s="27">
        <v>4</v>
      </c>
      <c r="B137" s="28" t="s">
        <v>588</v>
      </c>
      <c r="C137" s="27">
        <v>400</v>
      </c>
      <c r="D137" s="27">
        <v>6</v>
      </c>
      <c r="E137" s="27"/>
      <c r="F137" s="29">
        <v>7122002</v>
      </c>
      <c r="G137" s="27">
        <v>65</v>
      </c>
      <c r="I137" s="5">
        <v>104</v>
      </c>
      <c r="J137" s="248">
        <v>955.4</v>
      </c>
      <c r="K137" s="248"/>
      <c r="L137" s="247">
        <v>979.1</v>
      </c>
      <c r="M137" s="248">
        <v>985</v>
      </c>
      <c r="N137" s="247">
        <v>989.8</v>
      </c>
      <c r="O137" s="248">
        <v>996.2</v>
      </c>
      <c r="P137" s="247">
        <v>1000.7</v>
      </c>
      <c r="Q137" s="247"/>
      <c r="R137" s="247">
        <v>966.4</v>
      </c>
      <c r="S137" s="248">
        <v>968.5</v>
      </c>
      <c r="T137" s="247">
        <v>970.2</v>
      </c>
      <c r="U137" s="248">
        <v>971.6</v>
      </c>
      <c r="V137" s="248">
        <v>972.9</v>
      </c>
      <c r="W137" s="5">
        <v>104</v>
      </c>
    </row>
    <row r="138" spans="1:23">
      <c r="A138" s="27">
        <v>5</v>
      </c>
      <c r="B138" s="28" t="s">
        <v>589</v>
      </c>
      <c r="C138" s="27">
        <v>500</v>
      </c>
      <c r="D138" s="27">
        <v>6</v>
      </c>
      <c r="E138" s="27"/>
      <c r="F138" s="29">
        <v>7122003</v>
      </c>
      <c r="G138" s="27">
        <v>76</v>
      </c>
      <c r="I138" s="5">
        <v>105</v>
      </c>
      <c r="J138" s="248">
        <v>954.6</v>
      </c>
      <c r="K138" s="248"/>
      <c r="L138" s="247">
        <v>978.3</v>
      </c>
      <c r="M138" s="248">
        <v>984.2</v>
      </c>
      <c r="N138" s="247">
        <v>989</v>
      </c>
      <c r="O138" s="248">
        <v>995.4</v>
      </c>
      <c r="P138" s="247">
        <v>999.9</v>
      </c>
      <c r="Q138" s="247"/>
      <c r="R138" s="247">
        <v>965.6</v>
      </c>
      <c r="S138" s="248">
        <v>967.6</v>
      </c>
      <c r="T138" s="247">
        <v>969.4</v>
      </c>
      <c r="U138" s="248">
        <v>970.7</v>
      </c>
      <c r="V138" s="248">
        <v>972</v>
      </c>
      <c r="W138" s="5">
        <v>105</v>
      </c>
    </row>
    <row r="139" spans="1:23">
      <c r="A139" s="27">
        <v>6</v>
      </c>
      <c r="B139" s="28" t="s">
        <v>590</v>
      </c>
      <c r="C139" s="27">
        <v>600</v>
      </c>
      <c r="D139" s="27">
        <v>6</v>
      </c>
      <c r="E139" s="27"/>
      <c r="F139" s="29">
        <v>7122004</v>
      </c>
      <c r="G139" s="27">
        <v>83</v>
      </c>
      <c r="I139" s="5">
        <v>106</v>
      </c>
      <c r="J139" s="248">
        <v>953.9</v>
      </c>
      <c r="K139" s="248"/>
      <c r="L139" s="247">
        <v>977.6</v>
      </c>
      <c r="M139" s="248">
        <v>983.4</v>
      </c>
      <c r="N139" s="247">
        <v>988.2</v>
      </c>
      <c r="O139" s="248">
        <v>994.6</v>
      </c>
      <c r="P139" s="247">
        <v>999.1</v>
      </c>
      <c r="Q139" s="247"/>
      <c r="R139" s="247">
        <v>964.8</v>
      </c>
      <c r="S139" s="248">
        <v>966.8</v>
      </c>
      <c r="T139" s="247">
        <v>968.5</v>
      </c>
      <c r="U139" s="248">
        <v>969.9</v>
      </c>
      <c r="V139" s="248">
        <v>971.1</v>
      </c>
      <c r="W139" s="5">
        <v>106</v>
      </c>
    </row>
    <row r="140" spans="1:23">
      <c r="A140" s="27">
        <v>7</v>
      </c>
      <c r="B140" s="28" t="s">
        <v>591</v>
      </c>
      <c r="C140" s="27">
        <v>800</v>
      </c>
      <c r="D140" s="27">
        <v>6</v>
      </c>
      <c r="E140" s="27"/>
      <c r="F140" s="29">
        <v>7122005</v>
      </c>
      <c r="G140" s="27">
        <v>108</v>
      </c>
      <c r="I140" s="5">
        <v>107</v>
      </c>
      <c r="J140" s="248">
        <v>953.2</v>
      </c>
      <c r="K140" s="248"/>
      <c r="L140" s="247">
        <v>976.8</v>
      </c>
      <c r="M140" s="248">
        <v>982.6</v>
      </c>
      <c r="N140" s="247">
        <v>987.4</v>
      </c>
      <c r="O140" s="248">
        <v>993.8</v>
      </c>
      <c r="P140" s="247">
        <v>998.3</v>
      </c>
      <c r="Q140" s="247"/>
      <c r="R140" s="247">
        <v>963.9</v>
      </c>
      <c r="S140" s="248">
        <v>966</v>
      </c>
      <c r="T140" s="247">
        <v>967.6</v>
      </c>
      <c r="U140" s="248">
        <v>969</v>
      </c>
      <c r="V140" s="248">
        <v>970.3</v>
      </c>
      <c r="W140" s="5">
        <v>107</v>
      </c>
    </row>
    <row r="141" spans="1:23">
      <c r="A141" s="27">
        <v>8</v>
      </c>
      <c r="B141" s="28" t="s">
        <v>592</v>
      </c>
      <c r="C141" s="27">
        <v>300</v>
      </c>
      <c r="D141" s="27">
        <v>6</v>
      </c>
      <c r="E141" s="27"/>
      <c r="F141" s="29">
        <v>7122006</v>
      </c>
      <c r="G141" s="27">
        <v>140</v>
      </c>
      <c r="I141" s="5">
        <v>108</v>
      </c>
      <c r="J141" s="248">
        <v>952.5</v>
      </c>
      <c r="K141" s="248"/>
      <c r="L141" s="247">
        <v>976</v>
      </c>
      <c r="M141" s="248">
        <v>981.8</v>
      </c>
      <c r="N141" s="247">
        <v>986.6</v>
      </c>
      <c r="O141" s="248">
        <v>993</v>
      </c>
      <c r="P141" s="247">
        <v>997.5</v>
      </c>
      <c r="Q141" s="247"/>
      <c r="R141" s="247">
        <v>963.1</v>
      </c>
      <c r="S141" s="248">
        <v>965.1</v>
      </c>
      <c r="T141" s="247">
        <v>966.8</v>
      </c>
      <c r="U141" s="248">
        <v>968.1</v>
      </c>
      <c r="V141" s="248">
        <v>969.4</v>
      </c>
      <c r="W141" s="5">
        <v>108</v>
      </c>
    </row>
    <row r="142" spans="1:23">
      <c r="A142" s="27">
        <v>9</v>
      </c>
      <c r="B142" s="28" t="s">
        <v>593</v>
      </c>
      <c r="C142" s="27">
        <v>500</v>
      </c>
      <c r="D142" s="27">
        <v>6</v>
      </c>
      <c r="E142" s="27"/>
      <c r="F142" s="29">
        <v>7122007</v>
      </c>
      <c r="G142" s="27">
        <v>190</v>
      </c>
      <c r="I142" s="5">
        <v>109</v>
      </c>
      <c r="J142" s="248">
        <v>951.7</v>
      </c>
      <c r="K142" s="248"/>
      <c r="L142" s="247">
        <v>975.2</v>
      </c>
      <c r="M142" s="248">
        <v>981</v>
      </c>
      <c r="N142" s="247">
        <v>985.8</v>
      </c>
      <c r="O142" s="248">
        <v>992.1</v>
      </c>
      <c r="P142" s="247">
        <v>996.6</v>
      </c>
      <c r="Q142" s="247"/>
      <c r="R142" s="247">
        <v>962.3</v>
      </c>
      <c r="S142" s="248">
        <v>964.3</v>
      </c>
      <c r="T142" s="247">
        <v>965.9</v>
      </c>
      <c r="U142" s="248">
        <v>967.2</v>
      </c>
      <c r="V142" s="248">
        <v>968.5</v>
      </c>
      <c r="W142" s="5">
        <v>109</v>
      </c>
    </row>
    <row r="143" spans="1:23">
      <c r="A143" s="27">
        <v>10</v>
      </c>
      <c r="B143" s="28" t="s">
        <v>594</v>
      </c>
      <c r="C143" s="27">
        <v>700</v>
      </c>
      <c r="D143" s="27">
        <v>6</v>
      </c>
      <c r="E143" s="27"/>
      <c r="F143" s="29">
        <v>7122008</v>
      </c>
      <c r="G143" s="27">
        <v>210</v>
      </c>
      <c r="I143" s="5">
        <v>110</v>
      </c>
      <c r="J143" s="248">
        <v>951</v>
      </c>
      <c r="K143" s="248"/>
      <c r="L143" s="247">
        <v>974.4</v>
      </c>
      <c r="M143" s="248">
        <v>980.2</v>
      </c>
      <c r="N143" s="247">
        <v>985</v>
      </c>
      <c r="O143" s="248">
        <v>991.3</v>
      </c>
      <c r="P143" s="247">
        <v>995.8</v>
      </c>
      <c r="Q143" s="247"/>
      <c r="R143" s="247">
        <v>961.5</v>
      </c>
      <c r="S143" s="248">
        <v>963.4</v>
      </c>
      <c r="T143" s="247">
        <v>965.1</v>
      </c>
      <c r="U143" s="248">
        <v>966.4</v>
      </c>
      <c r="V143" s="248">
        <v>967.6</v>
      </c>
      <c r="W143" s="5">
        <v>110</v>
      </c>
    </row>
    <row r="144" spans="1:23">
      <c r="A144" s="27">
        <v>11</v>
      </c>
      <c r="B144" s="28" t="s">
        <v>595</v>
      </c>
      <c r="C144" s="27">
        <v>1000</v>
      </c>
      <c r="D144" s="27">
        <v>6</v>
      </c>
      <c r="E144" s="27"/>
      <c r="F144" s="29">
        <v>7122009</v>
      </c>
      <c r="G144" s="27">
        <v>290</v>
      </c>
      <c r="I144" s="5">
        <v>111</v>
      </c>
      <c r="J144" s="248">
        <v>950.2</v>
      </c>
      <c r="K144" s="248"/>
      <c r="L144" s="247">
        <v>973.6</v>
      </c>
      <c r="M144" s="248">
        <v>979.4</v>
      </c>
      <c r="N144" s="247">
        <v>984.1</v>
      </c>
      <c r="O144" s="248">
        <v>990.5</v>
      </c>
      <c r="P144" s="247">
        <v>995</v>
      </c>
      <c r="Q144" s="247"/>
      <c r="R144" s="247">
        <v>960.6</v>
      </c>
      <c r="S144" s="248">
        <v>962.5</v>
      </c>
      <c r="T144" s="247">
        <v>964.2</v>
      </c>
      <c r="U144" s="248">
        <v>965.5</v>
      </c>
      <c r="V144" s="248">
        <v>966.7</v>
      </c>
      <c r="W144" s="5">
        <v>111</v>
      </c>
    </row>
    <row r="145" spans="1:23">
      <c r="A145" s="27">
        <v>12</v>
      </c>
      <c r="B145" s="28" t="s">
        <v>596</v>
      </c>
      <c r="C145" s="27">
        <v>1500</v>
      </c>
      <c r="D145" s="27">
        <v>6</v>
      </c>
      <c r="E145" s="27"/>
      <c r="F145" s="29">
        <v>7122010</v>
      </c>
      <c r="G145" s="27">
        <v>400</v>
      </c>
      <c r="I145" s="5">
        <v>112</v>
      </c>
      <c r="J145" s="248">
        <v>949.4</v>
      </c>
      <c r="K145" s="248"/>
      <c r="L145" s="247">
        <v>972.8</v>
      </c>
      <c r="M145" s="248">
        <v>978.6</v>
      </c>
      <c r="N145" s="247">
        <v>983.3</v>
      </c>
      <c r="O145" s="248">
        <v>989.7</v>
      </c>
      <c r="P145" s="247">
        <v>994.2</v>
      </c>
      <c r="Q145" s="247"/>
      <c r="R145" s="247">
        <v>959.7</v>
      </c>
      <c r="S145" s="248">
        <v>961.7</v>
      </c>
      <c r="T145" s="247">
        <v>963.3</v>
      </c>
      <c r="U145" s="248">
        <v>964.6</v>
      </c>
      <c r="V145" s="248">
        <v>965.8</v>
      </c>
      <c r="W145" s="5">
        <v>112</v>
      </c>
    </row>
    <row r="146" spans="1:23">
      <c r="A146" s="27">
        <v>13</v>
      </c>
      <c r="B146" s="28" t="s">
        <v>597</v>
      </c>
      <c r="C146" s="27">
        <v>2000</v>
      </c>
      <c r="D146" s="27">
        <v>6</v>
      </c>
      <c r="E146" s="27"/>
      <c r="F146" s="29">
        <v>7122015</v>
      </c>
      <c r="G146" s="27">
        <v>680</v>
      </c>
      <c r="I146" s="5">
        <v>113</v>
      </c>
      <c r="J146" s="248">
        <v>948.6</v>
      </c>
      <c r="K146" s="248"/>
      <c r="L146" s="247">
        <v>971.9</v>
      </c>
      <c r="M146" s="248">
        <v>977.8</v>
      </c>
      <c r="N146" s="247">
        <v>982.5</v>
      </c>
      <c r="O146" s="248">
        <v>988.8</v>
      </c>
      <c r="P146" s="247">
        <v>993.3</v>
      </c>
      <c r="Q146" s="247"/>
      <c r="R146" s="247">
        <v>958.9</v>
      </c>
      <c r="S146" s="248">
        <v>960.8</v>
      </c>
      <c r="T146" s="247">
        <v>962.4</v>
      </c>
      <c r="U146" s="248">
        <v>963.7</v>
      </c>
      <c r="V146" s="248">
        <v>964.9</v>
      </c>
      <c r="W146" s="5">
        <v>113</v>
      </c>
    </row>
    <row r="147" spans="1:23">
      <c r="A147" s="27">
        <v>14</v>
      </c>
      <c r="B147" s="28" t="s">
        <v>598</v>
      </c>
      <c r="C147" s="27">
        <v>3000</v>
      </c>
      <c r="D147" s="27">
        <v>6</v>
      </c>
      <c r="E147" s="27"/>
      <c r="F147" s="29">
        <v>7122012</v>
      </c>
      <c r="G147" s="27">
        <v>840</v>
      </c>
      <c r="I147" s="5">
        <v>114</v>
      </c>
      <c r="J147" s="248">
        <v>947.8</v>
      </c>
      <c r="K147" s="248"/>
      <c r="L147" s="247">
        <v>971.1</v>
      </c>
      <c r="M147" s="248">
        <v>976.9</v>
      </c>
      <c r="N147" s="247">
        <v>981.7</v>
      </c>
      <c r="O147" s="248">
        <v>988</v>
      </c>
      <c r="P147" s="247">
        <v>992.5</v>
      </c>
      <c r="Q147" s="247"/>
      <c r="R147" s="247">
        <v>958</v>
      </c>
      <c r="S147" s="248">
        <v>959.9</v>
      </c>
      <c r="T147" s="247">
        <v>961.5</v>
      </c>
      <c r="U147" s="248">
        <v>962.8</v>
      </c>
      <c r="V147" s="248">
        <v>964</v>
      </c>
      <c r="W147" s="5">
        <v>114</v>
      </c>
    </row>
    <row r="148" spans="1:23">
      <c r="A148" s="27">
        <v>15</v>
      </c>
      <c r="B148" s="28" t="s">
        <v>599</v>
      </c>
      <c r="C148" s="27">
        <v>4000</v>
      </c>
      <c r="D148" s="27">
        <v>6</v>
      </c>
      <c r="E148" s="27"/>
      <c r="F148" s="29">
        <v>7122013</v>
      </c>
      <c r="G148" s="27">
        <v>950</v>
      </c>
      <c r="I148" s="5">
        <v>115</v>
      </c>
      <c r="J148" s="248">
        <v>947</v>
      </c>
      <c r="K148" s="248"/>
      <c r="L148" s="247">
        <v>970.3</v>
      </c>
      <c r="M148" s="248">
        <v>976.1</v>
      </c>
      <c r="N148" s="247">
        <v>980.8</v>
      </c>
      <c r="O148" s="248">
        <v>987.1</v>
      </c>
      <c r="P148" s="247">
        <v>991.6</v>
      </c>
      <c r="Q148" s="247"/>
      <c r="R148" s="247">
        <v>957.1</v>
      </c>
      <c r="S148" s="248">
        <v>959</v>
      </c>
      <c r="T148" s="247">
        <v>960.6</v>
      </c>
      <c r="U148" s="248">
        <v>961.9</v>
      </c>
      <c r="V148" s="248">
        <v>963</v>
      </c>
      <c r="W148" s="5">
        <v>115</v>
      </c>
    </row>
    <row r="149" spans="1:23">
      <c r="A149" s="27">
        <v>16</v>
      </c>
      <c r="B149" s="28" t="s">
        <v>600</v>
      </c>
      <c r="C149" s="27">
        <v>5000</v>
      </c>
      <c r="D149" s="27">
        <v>6</v>
      </c>
      <c r="E149" s="27"/>
      <c r="F149" s="29">
        <v>7122014</v>
      </c>
      <c r="G149" s="27">
        <v>1050</v>
      </c>
      <c r="I149" s="5">
        <v>116</v>
      </c>
      <c r="J149" s="248">
        <v>946.3</v>
      </c>
      <c r="K149" s="248"/>
      <c r="L149" s="247">
        <v>969.5</v>
      </c>
      <c r="M149" s="248">
        <v>975.3</v>
      </c>
      <c r="N149" s="247">
        <v>980</v>
      </c>
      <c r="O149" s="248">
        <v>986.3</v>
      </c>
      <c r="P149" s="247">
        <v>990.8</v>
      </c>
      <c r="Q149" s="247"/>
      <c r="R149" s="247">
        <v>956.3</v>
      </c>
      <c r="S149" s="248">
        <v>958.1</v>
      </c>
      <c r="T149" s="247">
        <v>959.7</v>
      </c>
      <c r="U149" s="248">
        <v>961</v>
      </c>
      <c r="V149" s="248">
        <v>962.1</v>
      </c>
      <c r="W149" s="5">
        <v>116</v>
      </c>
    </row>
    <row r="150" spans="1:23">
      <c r="A150" s="27">
        <v>17</v>
      </c>
      <c r="B150" s="28" t="s">
        <v>601</v>
      </c>
      <c r="C150" s="27">
        <v>300</v>
      </c>
      <c r="D150" s="27">
        <v>10</v>
      </c>
      <c r="E150" s="27"/>
      <c r="F150" s="27">
        <v>7124000</v>
      </c>
      <c r="G150" s="27">
        <v>160</v>
      </c>
      <c r="I150" s="5">
        <v>117</v>
      </c>
      <c r="J150" s="248">
        <v>945.5</v>
      </c>
      <c r="K150" s="248"/>
      <c r="L150" s="247">
        <v>968.7</v>
      </c>
      <c r="M150" s="248">
        <v>974.4</v>
      </c>
      <c r="N150" s="247">
        <v>979.2</v>
      </c>
      <c r="O150" s="248">
        <v>985.5</v>
      </c>
      <c r="P150" s="247">
        <v>990</v>
      </c>
      <c r="Q150" s="247"/>
      <c r="R150" s="247">
        <v>955.4</v>
      </c>
      <c r="S150" s="248">
        <v>957.3</v>
      </c>
      <c r="T150" s="247">
        <v>958.8</v>
      </c>
      <c r="U150" s="248">
        <v>960.1</v>
      </c>
      <c r="V150" s="248">
        <v>961.2</v>
      </c>
      <c r="W150" s="5">
        <v>117</v>
      </c>
    </row>
    <row r="151" spans="1:23">
      <c r="A151" s="27">
        <v>18</v>
      </c>
      <c r="B151" s="28" t="s">
        <v>602</v>
      </c>
      <c r="C151" s="27">
        <v>500</v>
      </c>
      <c r="D151" s="27">
        <v>10</v>
      </c>
      <c r="E151" s="27"/>
      <c r="F151" s="27">
        <v>7124001</v>
      </c>
      <c r="G151" s="27">
        <v>220</v>
      </c>
      <c r="I151" s="5">
        <v>118</v>
      </c>
      <c r="J151" s="248">
        <v>944.7</v>
      </c>
      <c r="K151" s="248"/>
      <c r="L151" s="247">
        <v>967.9</v>
      </c>
      <c r="M151" s="248">
        <v>973.6</v>
      </c>
      <c r="N151" s="247">
        <v>978.3</v>
      </c>
      <c r="O151" s="248">
        <v>984.6</v>
      </c>
      <c r="P151" s="247">
        <v>989.1</v>
      </c>
      <c r="Q151" s="247"/>
      <c r="R151" s="247">
        <v>954.5</v>
      </c>
      <c r="S151" s="248">
        <v>956.4</v>
      </c>
      <c r="T151" s="247">
        <v>957.9</v>
      </c>
      <c r="U151" s="248">
        <v>959.2</v>
      </c>
      <c r="V151" s="248">
        <v>960.3</v>
      </c>
      <c r="W151" s="5">
        <v>118</v>
      </c>
    </row>
    <row r="152" spans="1:23">
      <c r="A152" s="27">
        <v>19</v>
      </c>
      <c r="B152" s="28" t="s">
        <v>603</v>
      </c>
      <c r="C152" s="27">
        <v>700</v>
      </c>
      <c r="D152" s="27">
        <v>10</v>
      </c>
      <c r="E152" s="27"/>
      <c r="F152" s="27">
        <v>7124002</v>
      </c>
      <c r="G152" s="27">
        <v>250</v>
      </c>
      <c r="I152" s="5">
        <v>119</v>
      </c>
      <c r="J152" s="248">
        <v>943.9</v>
      </c>
      <c r="K152" s="248"/>
      <c r="L152" s="247">
        <v>967</v>
      </c>
      <c r="M152" s="248">
        <v>972.8</v>
      </c>
      <c r="N152" s="247">
        <v>977.5</v>
      </c>
      <c r="O152" s="248">
        <v>983.8</v>
      </c>
      <c r="P152" s="247">
        <v>988.3</v>
      </c>
      <c r="Q152" s="247"/>
      <c r="R152" s="247">
        <v>953.7</v>
      </c>
      <c r="S152" s="248">
        <v>955.5</v>
      </c>
      <c r="T152" s="247">
        <v>957.1</v>
      </c>
      <c r="U152" s="248">
        <v>958.3</v>
      </c>
      <c r="V152" s="248">
        <v>959.4</v>
      </c>
      <c r="W152" s="5">
        <v>119</v>
      </c>
    </row>
    <row r="153" spans="1:23">
      <c r="A153" s="27">
        <v>20</v>
      </c>
      <c r="B153" s="28" t="s">
        <v>604</v>
      </c>
      <c r="C153" s="27">
        <v>1000</v>
      </c>
      <c r="D153" s="27">
        <v>10</v>
      </c>
      <c r="E153" s="27"/>
      <c r="F153" s="27">
        <v>7124003</v>
      </c>
      <c r="G153" s="27">
        <v>340</v>
      </c>
      <c r="I153" s="5">
        <v>120</v>
      </c>
      <c r="J153" s="248">
        <v>943.1</v>
      </c>
      <c r="K153" s="248"/>
      <c r="L153" s="247">
        <v>966.2</v>
      </c>
      <c r="M153" s="248">
        <v>972</v>
      </c>
      <c r="N153" s="247">
        <v>976.7</v>
      </c>
      <c r="O153" s="248">
        <v>982.9</v>
      </c>
      <c r="P153" s="247">
        <v>987.4</v>
      </c>
      <c r="Q153" s="247"/>
      <c r="R153" s="247">
        <v>952.8</v>
      </c>
      <c r="S153" s="248">
        <v>954.6</v>
      </c>
      <c r="T153" s="247">
        <v>956.2</v>
      </c>
      <c r="U153" s="248">
        <v>957.4</v>
      </c>
      <c r="V153" s="248">
        <v>958.5</v>
      </c>
      <c r="W153" s="5">
        <v>120</v>
      </c>
    </row>
    <row r="154" spans="1:23">
      <c r="A154" s="27">
        <v>21</v>
      </c>
      <c r="B154" s="28" t="s">
        <v>605</v>
      </c>
      <c r="C154" s="27">
        <v>1500</v>
      </c>
      <c r="D154" s="27">
        <v>10</v>
      </c>
      <c r="E154" s="27"/>
      <c r="F154" s="27">
        <v>7124004</v>
      </c>
      <c r="G154" s="27">
        <v>460</v>
      </c>
      <c r="I154" s="5">
        <v>121</v>
      </c>
      <c r="J154" s="248">
        <v>942.3</v>
      </c>
      <c r="K154" s="248"/>
      <c r="L154" s="247"/>
      <c r="M154" s="248"/>
      <c r="N154" s="247"/>
      <c r="O154" s="248"/>
      <c r="P154" s="247"/>
      <c r="Q154" s="247"/>
      <c r="R154" s="267"/>
      <c r="S154" s="247"/>
      <c r="T154" s="248"/>
      <c r="U154" s="247"/>
      <c r="V154" s="248"/>
      <c r="W154" s="5">
        <v>121</v>
      </c>
    </row>
    <row r="155" spans="1:23">
      <c r="A155" s="27">
        <v>22</v>
      </c>
      <c r="B155" s="28" t="s">
        <v>606</v>
      </c>
      <c r="C155" s="27">
        <v>2000</v>
      </c>
      <c r="D155" s="27">
        <v>10</v>
      </c>
      <c r="E155" s="27"/>
      <c r="F155" s="27">
        <v>7124009</v>
      </c>
      <c r="G155" s="27">
        <v>760</v>
      </c>
      <c r="I155" s="5">
        <v>122</v>
      </c>
      <c r="J155" s="248">
        <v>941.4</v>
      </c>
      <c r="K155" s="248"/>
      <c r="L155" s="247"/>
      <c r="M155" s="248"/>
      <c r="N155" s="247"/>
      <c r="O155" s="248"/>
      <c r="P155" s="247"/>
      <c r="Q155" s="247"/>
      <c r="R155" s="267"/>
      <c r="S155" s="247"/>
      <c r="T155" s="248"/>
      <c r="U155" s="247"/>
      <c r="V155" s="248"/>
      <c r="W155" s="5">
        <v>122</v>
      </c>
    </row>
    <row r="156" spans="1:23">
      <c r="A156" s="27">
        <v>23</v>
      </c>
      <c r="B156" s="28" t="s">
        <v>607</v>
      </c>
      <c r="C156" s="27">
        <v>3000</v>
      </c>
      <c r="D156" s="27">
        <v>10</v>
      </c>
      <c r="E156" s="27"/>
      <c r="F156" s="27">
        <v>7124006</v>
      </c>
      <c r="G156" s="27">
        <v>920</v>
      </c>
      <c r="I156" s="5">
        <v>123</v>
      </c>
      <c r="J156" s="248">
        <v>940.6</v>
      </c>
      <c r="K156" s="248"/>
      <c r="L156" s="247"/>
      <c r="M156" s="248"/>
      <c r="N156" s="247"/>
      <c r="O156" s="248"/>
      <c r="P156" s="247"/>
      <c r="Q156" s="247"/>
      <c r="R156" s="267"/>
      <c r="S156" s="247"/>
      <c r="T156" s="248"/>
      <c r="U156" s="247"/>
      <c r="V156" s="248"/>
      <c r="W156" s="5">
        <v>123</v>
      </c>
    </row>
    <row r="157" spans="1:23">
      <c r="A157" s="27">
        <v>24</v>
      </c>
      <c r="B157" s="28" t="s">
        <v>608</v>
      </c>
      <c r="C157" s="27">
        <v>4000</v>
      </c>
      <c r="D157" s="27">
        <v>10</v>
      </c>
      <c r="E157" s="27"/>
      <c r="F157" s="27">
        <v>7124007</v>
      </c>
      <c r="G157" s="27">
        <v>1060</v>
      </c>
      <c r="I157" s="5">
        <v>124</v>
      </c>
      <c r="J157" s="248">
        <v>939.8</v>
      </c>
      <c r="K157" s="248"/>
      <c r="L157" s="247"/>
      <c r="M157" s="248"/>
      <c r="N157" s="247"/>
      <c r="O157" s="248"/>
      <c r="P157" s="247"/>
      <c r="Q157" s="247"/>
      <c r="R157" s="267"/>
      <c r="S157" s="247"/>
      <c r="T157" s="248"/>
      <c r="U157" s="247"/>
      <c r="V157" s="248"/>
      <c r="W157" s="5">
        <v>124</v>
      </c>
    </row>
    <row r="158" spans="1:23">
      <c r="A158" s="27">
        <v>25</v>
      </c>
      <c r="B158" s="28" t="s">
        <v>609</v>
      </c>
      <c r="C158" s="27">
        <v>5000</v>
      </c>
      <c r="D158" s="27">
        <v>10</v>
      </c>
      <c r="E158" s="27"/>
      <c r="F158" s="27">
        <v>7124008</v>
      </c>
      <c r="G158" s="27">
        <v>1180</v>
      </c>
      <c r="I158" s="5">
        <v>125</v>
      </c>
      <c r="J158" s="248">
        <v>939</v>
      </c>
      <c r="K158" s="248"/>
      <c r="L158" s="247"/>
      <c r="M158" s="248"/>
      <c r="N158" s="247"/>
      <c r="O158" s="248"/>
      <c r="P158" s="247"/>
      <c r="Q158" s="247"/>
      <c r="R158" s="267"/>
      <c r="S158" s="247"/>
      <c r="T158" s="248"/>
      <c r="U158" s="247"/>
      <c r="V158" s="248"/>
      <c r="W158" s="5">
        <v>125</v>
      </c>
    </row>
    <row r="159" spans="1:23">
      <c r="I159" s="5">
        <v>126</v>
      </c>
      <c r="J159" s="248">
        <v>938.1</v>
      </c>
      <c r="K159" s="248"/>
      <c r="L159" s="247"/>
      <c r="M159" s="248"/>
      <c r="N159" s="247"/>
      <c r="O159" s="248"/>
      <c r="P159" s="247"/>
      <c r="Q159" s="247"/>
      <c r="R159" s="267"/>
      <c r="S159" s="247"/>
      <c r="T159" s="248"/>
      <c r="U159" s="247"/>
      <c r="V159" s="248"/>
      <c r="W159" s="5">
        <v>126</v>
      </c>
    </row>
    <row r="160" spans="1:23">
      <c r="I160" s="5">
        <v>127</v>
      </c>
      <c r="J160" s="248">
        <v>937.3</v>
      </c>
      <c r="K160" s="248"/>
      <c r="L160" s="247"/>
      <c r="M160" s="248"/>
      <c r="N160" s="247"/>
      <c r="O160" s="248"/>
      <c r="P160" s="247"/>
      <c r="Q160" s="247"/>
      <c r="R160" s="267"/>
      <c r="S160" s="247"/>
      <c r="T160" s="248"/>
      <c r="U160" s="247"/>
      <c r="V160" s="248"/>
      <c r="W160" s="5">
        <v>127</v>
      </c>
    </row>
    <row r="161" spans="1:23">
      <c r="B161" s="27">
        <v>16</v>
      </c>
      <c r="I161" s="5">
        <v>128</v>
      </c>
      <c r="J161" s="248">
        <v>936.5</v>
      </c>
      <c r="K161" s="248"/>
      <c r="L161" s="247"/>
      <c r="M161" s="248"/>
      <c r="N161" s="247"/>
      <c r="O161" s="248"/>
      <c r="P161" s="247"/>
      <c r="Q161" s="247"/>
      <c r="R161" s="267"/>
      <c r="S161" s="247"/>
      <c r="T161" s="248"/>
      <c r="U161" s="247"/>
      <c r="V161" s="248"/>
      <c r="W161" s="5">
        <v>128</v>
      </c>
    </row>
    <row r="162" spans="1:23">
      <c r="I162" s="5">
        <v>129</v>
      </c>
      <c r="J162" s="248">
        <v>935.6</v>
      </c>
      <c r="K162" s="248"/>
      <c r="L162" s="247"/>
      <c r="M162" s="248"/>
      <c r="N162" s="247"/>
      <c r="O162" s="248"/>
      <c r="P162" s="247"/>
      <c r="Q162" s="247"/>
      <c r="R162" s="267"/>
      <c r="S162" s="247"/>
      <c r="T162" s="248"/>
      <c r="U162" s="247"/>
      <c r="V162" s="248"/>
      <c r="W162" s="5">
        <v>129</v>
      </c>
    </row>
    <row r="163" spans="1:23">
      <c r="A163" s="27">
        <v>1</v>
      </c>
      <c r="B163" s="27" t="s">
        <v>805</v>
      </c>
      <c r="C163" s="27"/>
      <c r="D163" s="27"/>
      <c r="F163" s="32">
        <v>8101411</v>
      </c>
      <c r="I163" s="5">
        <v>130</v>
      </c>
      <c r="J163" s="248">
        <v>934.8</v>
      </c>
      <c r="K163" s="248"/>
      <c r="L163" s="247"/>
      <c r="M163" s="248"/>
      <c r="N163" s="247"/>
      <c r="O163" s="248"/>
      <c r="P163" s="247"/>
      <c r="Q163" s="247"/>
      <c r="R163" s="267"/>
      <c r="S163" s="247"/>
      <c r="T163" s="248"/>
      <c r="U163" s="247"/>
      <c r="V163" s="248"/>
      <c r="W163" s="5">
        <v>130</v>
      </c>
    </row>
    <row r="164" spans="1:23">
      <c r="A164" s="27">
        <v>2</v>
      </c>
      <c r="B164" s="27" t="s">
        <v>804</v>
      </c>
      <c r="C164" s="27"/>
      <c r="D164" s="27"/>
      <c r="F164" s="32">
        <v>8101413</v>
      </c>
      <c r="I164" s="5">
        <v>131</v>
      </c>
      <c r="J164" s="248">
        <v>933.9</v>
      </c>
      <c r="K164" s="248"/>
      <c r="L164" s="247"/>
      <c r="M164" s="248"/>
      <c r="N164" s="247"/>
      <c r="O164" s="248"/>
      <c r="P164" s="247"/>
      <c r="Q164" s="247"/>
      <c r="R164" s="267"/>
      <c r="S164" s="247"/>
      <c r="T164" s="248"/>
      <c r="U164" s="247"/>
      <c r="V164" s="248"/>
      <c r="W164" s="5">
        <v>131</v>
      </c>
    </row>
    <row r="165" spans="1:23">
      <c r="A165" s="27">
        <v>3</v>
      </c>
      <c r="B165" s="27" t="s">
        <v>806</v>
      </c>
      <c r="F165" s="32">
        <v>8101414</v>
      </c>
      <c r="I165" s="5">
        <v>132</v>
      </c>
      <c r="J165" s="248">
        <v>933.1</v>
      </c>
      <c r="K165" s="248"/>
      <c r="L165" s="247"/>
      <c r="M165" s="248"/>
      <c r="N165" s="247"/>
      <c r="O165" s="248"/>
      <c r="P165" s="247"/>
      <c r="Q165" s="247"/>
      <c r="R165" s="267"/>
      <c r="S165" s="247"/>
      <c r="T165" s="248"/>
      <c r="U165" s="247"/>
      <c r="V165" s="248"/>
      <c r="W165" s="5">
        <v>132</v>
      </c>
    </row>
    <row r="166" spans="1:23">
      <c r="A166" s="27">
        <v>4</v>
      </c>
      <c r="B166" s="27" t="s">
        <v>807</v>
      </c>
      <c r="F166" s="32">
        <v>8101420</v>
      </c>
      <c r="I166" s="5">
        <v>133</v>
      </c>
      <c r="J166" s="248">
        <v>932.2</v>
      </c>
      <c r="K166" s="248"/>
      <c r="L166" s="247"/>
      <c r="M166" s="248"/>
      <c r="N166" s="247"/>
      <c r="O166" s="248"/>
      <c r="P166" s="247"/>
      <c r="Q166" s="247"/>
      <c r="R166" s="267"/>
      <c r="S166" s="247"/>
      <c r="T166" s="248"/>
      <c r="U166" s="247"/>
      <c r="V166" s="248"/>
      <c r="W166" s="5">
        <v>133</v>
      </c>
    </row>
    <row r="167" spans="1:23">
      <c r="A167" s="27">
        <v>5</v>
      </c>
      <c r="B167" s="27" t="s">
        <v>808</v>
      </c>
      <c r="F167" s="32">
        <v>8101421</v>
      </c>
      <c r="I167" s="5">
        <v>134</v>
      </c>
      <c r="J167" s="248">
        <v>931.3</v>
      </c>
      <c r="K167" s="248"/>
      <c r="L167" s="247"/>
      <c r="M167" s="248"/>
      <c r="N167" s="247"/>
      <c r="O167" s="248"/>
      <c r="P167" s="247"/>
      <c r="Q167" s="247"/>
      <c r="R167" s="267"/>
      <c r="S167" s="247"/>
      <c r="T167" s="248"/>
      <c r="U167" s="247"/>
      <c r="V167" s="248"/>
      <c r="W167" s="5">
        <v>134</v>
      </c>
    </row>
    <row r="168" spans="1:23">
      <c r="A168" s="27">
        <v>6</v>
      </c>
      <c r="B168" s="27" t="s">
        <v>809</v>
      </c>
      <c r="F168" s="32">
        <v>8101422</v>
      </c>
      <c r="I168" s="5">
        <v>135</v>
      </c>
      <c r="J168" s="248">
        <v>930.5</v>
      </c>
      <c r="K168" s="248"/>
      <c r="L168" s="247"/>
      <c r="M168" s="248"/>
      <c r="N168" s="247"/>
      <c r="O168" s="248"/>
      <c r="P168" s="247"/>
      <c r="Q168" s="247"/>
      <c r="R168" s="267"/>
      <c r="S168" s="247"/>
      <c r="T168" s="248"/>
      <c r="U168" s="247"/>
      <c r="V168" s="248"/>
      <c r="W168" s="5">
        <v>135</v>
      </c>
    </row>
    <row r="169" spans="1:23">
      <c r="A169" s="27">
        <v>7</v>
      </c>
      <c r="B169" s="27" t="s">
        <v>810</v>
      </c>
      <c r="F169" s="32">
        <v>8101423</v>
      </c>
      <c r="I169" s="5">
        <v>136</v>
      </c>
      <c r="J169" s="248">
        <v>929.6</v>
      </c>
      <c r="K169" s="248"/>
      <c r="L169" s="247"/>
      <c r="M169" s="248"/>
      <c r="N169" s="247"/>
      <c r="O169" s="248"/>
      <c r="P169" s="247"/>
      <c r="Q169" s="247"/>
      <c r="R169" s="267"/>
      <c r="S169" s="247"/>
      <c r="T169" s="248"/>
      <c r="U169" s="247"/>
      <c r="V169" s="248"/>
      <c r="W169" s="5">
        <v>136</v>
      </c>
    </row>
    <row r="170" spans="1:23">
      <c r="A170" s="27">
        <v>8</v>
      </c>
      <c r="B170" s="27" t="s">
        <v>811</v>
      </c>
      <c r="F170" s="32">
        <v>8101424</v>
      </c>
      <c r="I170" s="5">
        <v>137</v>
      </c>
      <c r="J170" s="248">
        <v>928.7</v>
      </c>
      <c r="K170" s="248"/>
      <c r="L170" s="247"/>
      <c r="M170" s="248"/>
      <c r="N170" s="247"/>
      <c r="O170" s="248"/>
      <c r="P170" s="247"/>
      <c r="Q170" s="247"/>
      <c r="R170" s="267"/>
      <c r="S170" s="247"/>
      <c r="T170" s="248"/>
      <c r="U170" s="247"/>
      <c r="V170" s="248"/>
      <c r="W170" s="5">
        <v>137</v>
      </c>
    </row>
    <row r="171" spans="1:23">
      <c r="A171" s="27">
        <v>9</v>
      </c>
      <c r="B171" s="27" t="s">
        <v>812</v>
      </c>
      <c r="F171" s="32">
        <v>8101460</v>
      </c>
      <c r="I171" s="5">
        <v>138</v>
      </c>
      <c r="J171" s="248">
        <v>927.8</v>
      </c>
      <c r="K171" s="248"/>
      <c r="L171" s="247"/>
      <c r="M171" s="248"/>
      <c r="N171" s="247"/>
      <c r="O171" s="248"/>
      <c r="P171" s="247"/>
      <c r="Q171" s="247"/>
      <c r="R171" s="267"/>
      <c r="S171" s="247"/>
      <c r="T171" s="248"/>
      <c r="U171" s="247"/>
      <c r="V171" s="248"/>
      <c r="W171" s="5">
        <v>138</v>
      </c>
    </row>
    <row r="172" spans="1:23">
      <c r="A172" s="27">
        <v>10</v>
      </c>
      <c r="B172" s="27" t="s">
        <v>814</v>
      </c>
      <c r="F172" s="32">
        <v>8101461</v>
      </c>
      <c r="I172" s="5">
        <v>139</v>
      </c>
      <c r="J172" s="248">
        <v>927</v>
      </c>
      <c r="K172" s="248"/>
      <c r="L172" s="247"/>
      <c r="M172" s="248"/>
      <c r="N172" s="247"/>
      <c r="O172" s="248"/>
      <c r="P172" s="247"/>
      <c r="Q172" s="247"/>
      <c r="R172" s="267"/>
      <c r="S172" s="247"/>
      <c r="T172" s="248"/>
      <c r="U172" s="247"/>
      <c r="V172" s="248"/>
      <c r="W172" s="5">
        <v>139</v>
      </c>
    </row>
    <row r="173" spans="1:23">
      <c r="A173" s="27">
        <v>11</v>
      </c>
      <c r="B173" s="27" t="s">
        <v>815</v>
      </c>
      <c r="F173" s="32">
        <v>8101462</v>
      </c>
      <c r="I173" s="5">
        <v>140</v>
      </c>
      <c r="J173" s="248">
        <v>926.1</v>
      </c>
      <c r="K173" s="248"/>
      <c r="L173" s="247"/>
      <c r="M173" s="248"/>
      <c r="N173" s="247"/>
      <c r="O173" s="248"/>
      <c r="P173" s="247"/>
      <c r="Q173" s="247"/>
      <c r="R173" s="267"/>
      <c r="S173" s="247"/>
      <c r="T173" s="248"/>
      <c r="U173" s="247"/>
      <c r="V173" s="248"/>
      <c r="W173" s="5">
        <v>140</v>
      </c>
    </row>
    <row r="174" spans="1:23">
      <c r="A174" s="27">
        <v>12</v>
      </c>
      <c r="B174" s="27" t="s">
        <v>813</v>
      </c>
      <c r="F174" s="32">
        <v>8101463</v>
      </c>
      <c r="I174" s="5">
        <v>141</v>
      </c>
      <c r="J174" s="248">
        <v>925.2</v>
      </c>
      <c r="K174" s="248"/>
      <c r="L174" s="247"/>
      <c r="M174" s="248"/>
      <c r="N174" s="247"/>
      <c r="O174" s="248"/>
      <c r="P174" s="247"/>
      <c r="Q174" s="247"/>
      <c r="R174" s="267"/>
      <c r="S174" s="247"/>
      <c r="T174" s="248"/>
      <c r="U174" s="247"/>
      <c r="V174" s="248"/>
      <c r="W174" s="5">
        <v>141</v>
      </c>
    </row>
    <row r="175" spans="1:23">
      <c r="A175" s="27">
        <v>13</v>
      </c>
      <c r="B175" s="27" t="s">
        <v>816</v>
      </c>
      <c r="F175" s="32">
        <v>8101464</v>
      </c>
      <c r="I175" s="5">
        <v>142</v>
      </c>
      <c r="J175" s="248">
        <v>924.3</v>
      </c>
      <c r="K175" s="248"/>
      <c r="L175" s="247"/>
      <c r="M175" s="248"/>
      <c r="N175" s="247"/>
      <c r="O175" s="248"/>
      <c r="P175" s="247"/>
      <c r="Q175" s="247"/>
      <c r="R175" s="267"/>
      <c r="S175" s="247"/>
      <c r="T175" s="248"/>
      <c r="U175" s="247"/>
      <c r="V175" s="248"/>
      <c r="W175" s="5">
        <v>142</v>
      </c>
    </row>
    <row r="176" spans="1:23">
      <c r="A176" s="27">
        <v>14</v>
      </c>
      <c r="B176" s="27" t="s">
        <v>817</v>
      </c>
      <c r="F176" s="32">
        <v>8101434</v>
      </c>
      <c r="I176" s="5">
        <v>143</v>
      </c>
      <c r="J176" s="248">
        <v>923.3</v>
      </c>
      <c r="K176" s="248"/>
      <c r="L176" s="247"/>
      <c r="M176" s="248"/>
      <c r="N176" s="247"/>
      <c r="O176" s="248"/>
      <c r="P176" s="247"/>
      <c r="Q176" s="247"/>
      <c r="R176" s="267"/>
      <c r="S176" s="247"/>
      <c r="T176" s="248"/>
      <c r="U176" s="247"/>
      <c r="V176" s="248"/>
      <c r="W176" s="5">
        <v>143</v>
      </c>
    </row>
    <row r="177" spans="1:23">
      <c r="A177" s="27">
        <v>15</v>
      </c>
      <c r="B177" s="27" t="s">
        <v>818</v>
      </c>
      <c r="F177" s="32">
        <v>8101435</v>
      </c>
      <c r="I177" s="5">
        <v>144</v>
      </c>
      <c r="J177" s="248">
        <v>922.4</v>
      </c>
      <c r="K177" s="248"/>
      <c r="L177" s="247"/>
      <c r="M177" s="248"/>
      <c r="N177" s="247"/>
      <c r="O177" s="248"/>
      <c r="P177" s="247"/>
      <c r="Q177" s="247"/>
      <c r="R177" s="267"/>
      <c r="S177" s="247"/>
      <c r="T177" s="248"/>
      <c r="U177" s="247"/>
      <c r="V177" s="248"/>
      <c r="W177" s="5">
        <v>144</v>
      </c>
    </row>
    <row r="178" spans="1:23">
      <c r="A178" s="27">
        <v>16</v>
      </c>
      <c r="B178" s="27" t="s">
        <v>819</v>
      </c>
      <c r="F178" s="32">
        <v>8101474</v>
      </c>
      <c r="I178" s="5">
        <v>145</v>
      </c>
      <c r="J178" s="248">
        <v>921.5</v>
      </c>
      <c r="K178" s="248"/>
      <c r="L178" s="247"/>
      <c r="M178" s="248"/>
      <c r="N178" s="247"/>
      <c r="O178" s="248"/>
      <c r="P178" s="247"/>
      <c r="Q178" s="247"/>
      <c r="R178" s="267"/>
      <c r="S178" s="247"/>
      <c r="T178" s="248"/>
      <c r="U178" s="247"/>
      <c r="V178" s="248"/>
      <c r="W178" s="5">
        <v>145</v>
      </c>
    </row>
    <row r="179" spans="1:23">
      <c r="A179" s="27">
        <v>17</v>
      </c>
      <c r="B179" s="27" t="s">
        <v>820</v>
      </c>
      <c r="F179" s="32">
        <v>8101475</v>
      </c>
      <c r="I179" s="5">
        <v>146</v>
      </c>
      <c r="J179" s="248">
        <v>920.6</v>
      </c>
      <c r="K179" s="248"/>
      <c r="L179" s="247"/>
      <c r="M179" s="248"/>
      <c r="N179" s="247"/>
      <c r="O179" s="248"/>
      <c r="P179" s="247"/>
      <c r="Q179" s="247"/>
      <c r="R179" s="267"/>
      <c r="S179" s="247"/>
      <c r="T179" s="248"/>
      <c r="U179" s="247"/>
      <c r="V179" s="248"/>
      <c r="W179" s="5">
        <v>146</v>
      </c>
    </row>
    <row r="180" spans="1:23">
      <c r="A180" s="27">
        <v>18</v>
      </c>
      <c r="B180" s="27" t="s">
        <v>825</v>
      </c>
      <c r="C180" s="27"/>
      <c r="D180" s="27"/>
      <c r="F180" s="27">
        <v>8101100</v>
      </c>
      <c r="I180" s="5">
        <v>147</v>
      </c>
      <c r="J180" s="248">
        <v>919.7</v>
      </c>
      <c r="K180" s="248"/>
      <c r="L180" s="247"/>
      <c r="M180" s="248"/>
      <c r="N180" s="247"/>
      <c r="O180" s="248"/>
      <c r="P180" s="247"/>
      <c r="Q180" s="247"/>
      <c r="R180" s="267"/>
      <c r="S180" s="247"/>
      <c r="T180" s="248"/>
      <c r="U180" s="247"/>
      <c r="V180" s="248"/>
      <c r="W180" s="5">
        <v>147</v>
      </c>
    </row>
    <row r="181" spans="1:23">
      <c r="A181" s="27">
        <v>19</v>
      </c>
      <c r="B181" s="27" t="s">
        <v>826</v>
      </c>
      <c r="C181" s="27"/>
      <c r="D181" s="27"/>
      <c r="F181" s="27">
        <v>8101101</v>
      </c>
      <c r="I181" s="5">
        <v>148</v>
      </c>
      <c r="J181" s="248">
        <v>918.7</v>
      </c>
      <c r="K181" s="248"/>
      <c r="L181" s="247"/>
      <c r="M181" s="248"/>
      <c r="N181" s="247"/>
      <c r="O181" s="248"/>
      <c r="P181" s="247"/>
      <c r="Q181" s="247"/>
      <c r="R181" s="267"/>
      <c r="S181" s="247"/>
      <c r="T181" s="248"/>
      <c r="U181" s="247"/>
      <c r="V181" s="248"/>
      <c r="W181" s="5">
        <v>148</v>
      </c>
    </row>
    <row r="182" spans="1:23">
      <c r="A182" s="27">
        <v>20</v>
      </c>
      <c r="B182" s="27" t="s">
        <v>827</v>
      </c>
      <c r="C182" s="27"/>
      <c r="D182" s="27"/>
      <c r="F182" s="27">
        <v>8101102</v>
      </c>
      <c r="I182" s="5">
        <v>149</v>
      </c>
      <c r="J182" s="248">
        <v>917.8</v>
      </c>
      <c r="K182" s="248"/>
      <c r="L182" s="247"/>
      <c r="M182" s="248"/>
      <c r="N182" s="247"/>
      <c r="O182" s="248"/>
      <c r="P182" s="247"/>
      <c r="Q182" s="247"/>
      <c r="R182" s="267"/>
      <c r="S182" s="247"/>
      <c r="T182" s="248"/>
      <c r="U182" s="247"/>
      <c r="V182" s="248"/>
      <c r="W182" s="5">
        <v>149</v>
      </c>
    </row>
    <row r="183" spans="1:23">
      <c r="A183" s="27">
        <v>21</v>
      </c>
      <c r="B183" s="27" t="s">
        <v>828</v>
      </c>
      <c r="C183" s="27"/>
      <c r="D183" s="27"/>
      <c r="F183" s="27">
        <v>8101103</v>
      </c>
      <c r="I183" s="5">
        <v>150</v>
      </c>
      <c r="J183" s="248">
        <v>916.9</v>
      </c>
      <c r="K183" s="248"/>
      <c r="L183" s="247"/>
      <c r="M183" s="248"/>
      <c r="N183" s="247"/>
      <c r="O183" s="248"/>
      <c r="P183" s="247"/>
      <c r="Q183" s="247"/>
      <c r="R183" s="267"/>
      <c r="S183" s="247"/>
      <c r="T183" s="248"/>
      <c r="U183" s="247"/>
      <c r="V183" s="248"/>
      <c r="W183" s="5">
        <v>150</v>
      </c>
    </row>
    <row r="184" spans="1:23">
      <c r="A184" s="27">
        <v>22</v>
      </c>
      <c r="B184" s="27" t="s">
        <v>829</v>
      </c>
      <c r="C184" s="27"/>
      <c r="D184" s="27"/>
      <c r="F184" s="27">
        <v>8101110</v>
      </c>
    </row>
    <row r="185" spans="1:23">
      <c r="A185" s="27">
        <v>23</v>
      </c>
      <c r="B185" s="27" t="s">
        <v>830</v>
      </c>
      <c r="C185" s="27"/>
      <c r="D185" s="27"/>
      <c r="F185" s="27">
        <v>8101111</v>
      </c>
    </row>
    <row r="186" spans="1:23">
      <c r="A186" s="27">
        <v>24</v>
      </c>
      <c r="B186" s="27" t="s">
        <v>831</v>
      </c>
      <c r="C186" s="27"/>
      <c r="D186" s="27"/>
      <c r="F186" s="27">
        <v>8101112</v>
      </c>
    </row>
    <row r="187" spans="1:23">
      <c r="A187" s="27">
        <v>25</v>
      </c>
      <c r="B187" s="27" t="s">
        <v>832</v>
      </c>
      <c r="C187" s="27"/>
      <c r="D187" s="27"/>
      <c r="F187" s="27">
        <v>8101113</v>
      </c>
    </row>
    <row r="188" spans="1:23">
      <c r="A188" s="27"/>
    </row>
    <row r="189" spans="1:23">
      <c r="A189" s="27">
        <v>27</v>
      </c>
      <c r="B189" s="27" t="s">
        <v>821</v>
      </c>
      <c r="C189" s="27"/>
      <c r="D189" s="27"/>
      <c r="F189" s="27">
        <v>8101010</v>
      </c>
    </row>
    <row r="190" spans="1:23">
      <c r="A190" s="27">
        <v>28</v>
      </c>
      <c r="B190" s="27" t="s">
        <v>833</v>
      </c>
      <c r="C190" s="27"/>
      <c r="D190" s="27"/>
      <c r="F190" s="27">
        <v>8101011</v>
      </c>
    </row>
    <row r="191" spans="1:23">
      <c r="A191" s="27">
        <v>29</v>
      </c>
      <c r="B191" s="27" t="s">
        <v>834</v>
      </c>
      <c r="C191" s="27"/>
      <c r="D191" s="27"/>
      <c r="F191" s="27">
        <v>8101012</v>
      </c>
    </row>
    <row r="192" spans="1:23">
      <c r="A192" s="27">
        <v>30</v>
      </c>
      <c r="B192" s="27" t="s">
        <v>835</v>
      </c>
      <c r="C192" s="27"/>
      <c r="D192" s="27"/>
      <c r="F192" s="27">
        <v>8101013</v>
      </c>
    </row>
    <row r="193" spans="1:6">
      <c r="A193" s="27">
        <v>31</v>
      </c>
      <c r="B193" s="27" t="s">
        <v>836</v>
      </c>
      <c r="C193" s="27"/>
      <c r="D193" s="27"/>
      <c r="F193" s="27">
        <v>8101014</v>
      </c>
    </row>
    <row r="194" spans="1:6">
      <c r="A194" s="27">
        <v>32</v>
      </c>
      <c r="B194" s="27" t="s">
        <v>837</v>
      </c>
      <c r="C194" s="27"/>
      <c r="D194" s="27"/>
      <c r="F194" s="27">
        <v>8101020</v>
      </c>
    </row>
    <row r="195" spans="1:6">
      <c r="A195" s="27">
        <v>33</v>
      </c>
      <c r="B195" s="27" t="s">
        <v>838</v>
      </c>
      <c r="C195" s="27"/>
      <c r="D195" s="27"/>
      <c r="F195" s="27">
        <v>8101021</v>
      </c>
    </row>
    <row r="196" spans="1:6">
      <c r="A196" s="27">
        <v>34</v>
      </c>
      <c r="B196" s="27" t="s">
        <v>839</v>
      </c>
      <c r="C196" s="27"/>
      <c r="D196" s="27"/>
      <c r="F196" s="27">
        <v>8101022</v>
      </c>
    </row>
    <row r="197" spans="1:6">
      <c r="A197" s="27">
        <v>35</v>
      </c>
      <c r="B197" s="27" t="s">
        <v>822</v>
      </c>
      <c r="C197" s="27"/>
      <c r="D197" s="27"/>
      <c r="F197" s="27">
        <v>8101023</v>
      </c>
    </row>
    <row r="198" spans="1:6">
      <c r="A198" s="27">
        <v>36</v>
      </c>
      <c r="B198" s="27" t="s">
        <v>823</v>
      </c>
      <c r="C198" s="27"/>
      <c r="D198" s="27"/>
      <c r="F198" s="27">
        <v>8101024</v>
      </c>
    </row>
    <row r="199" spans="1:6">
      <c r="A199" s="27">
        <v>37</v>
      </c>
      <c r="B199" s="27" t="s">
        <v>824</v>
      </c>
      <c r="C199" s="27"/>
      <c r="D199" s="27"/>
      <c r="F199" s="27">
        <v>8101060</v>
      </c>
    </row>
    <row r="200" spans="1:6">
      <c r="A200" s="27">
        <v>38</v>
      </c>
      <c r="B200" s="27" t="s">
        <v>846</v>
      </c>
      <c r="C200" s="27"/>
      <c r="D200" s="27"/>
      <c r="F200" s="27">
        <v>8101061</v>
      </c>
    </row>
    <row r="201" spans="1:6">
      <c r="A201" s="27">
        <v>39</v>
      </c>
      <c r="B201" s="27" t="s">
        <v>847</v>
      </c>
      <c r="C201" s="27"/>
      <c r="D201" s="27"/>
      <c r="F201" s="27">
        <v>8101062</v>
      </c>
    </row>
    <row r="202" spans="1:6">
      <c r="A202" s="27">
        <v>40</v>
      </c>
      <c r="B202" s="27" t="s">
        <v>841</v>
      </c>
      <c r="C202" s="27"/>
      <c r="D202" s="27"/>
      <c r="F202" s="27">
        <v>8101063</v>
      </c>
    </row>
    <row r="203" spans="1:6">
      <c r="A203" s="27">
        <v>41</v>
      </c>
      <c r="B203" s="27" t="s">
        <v>840</v>
      </c>
      <c r="C203" s="27"/>
      <c r="D203" s="27"/>
      <c r="F203" s="27">
        <v>8101064</v>
      </c>
    </row>
    <row r="204" spans="1:6">
      <c r="A204" s="27">
        <v>42</v>
      </c>
      <c r="B204" s="27" t="s">
        <v>842</v>
      </c>
      <c r="C204" s="27"/>
      <c r="D204" s="27"/>
      <c r="F204" s="27">
        <v>8101034</v>
      </c>
    </row>
    <row r="205" spans="1:6">
      <c r="A205" s="27">
        <v>43</v>
      </c>
      <c r="B205" s="27" t="s">
        <v>843</v>
      </c>
      <c r="C205" s="27"/>
      <c r="D205" s="27"/>
      <c r="F205" s="27">
        <v>8101035</v>
      </c>
    </row>
    <row r="206" spans="1:6">
      <c r="A206" s="27">
        <v>44</v>
      </c>
      <c r="B206" s="27" t="s">
        <v>845</v>
      </c>
      <c r="C206" s="27"/>
      <c r="D206" s="27"/>
      <c r="F206" s="27">
        <v>8101074</v>
      </c>
    </row>
    <row r="207" spans="1:6">
      <c r="A207" s="27">
        <v>45</v>
      </c>
      <c r="B207" s="27" t="s">
        <v>844</v>
      </c>
      <c r="C207" s="27"/>
      <c r="D207" s="27"/>
      <c r="F207" s="27">
        <v>8101075</v>
      </c>
    </row>
    <row r="218" spans="9:46">
      <c r="J218" s="497" t="s">
        <v>31</v>
      </c>
      <c r="K218" s="497"/>
      <c r="L218" s="497"/>
      <c r="M218" s="497"/>
      <c r="N218" s="497"/>
      <c r="O218" s="497"/>
      <c r="P218" s="497"/>
      <c r="Q218" s="497"/>
      <c r="R218" s="497"/>
      <c r="S218" s="497"/>
      <c r="T218" s="497"/>
      <c r="U218" s="497"/>
      <c r="V218" s="497"/>
    </row>
    <row r="219" spans="9:46">
      <c r="I219" s="3" t="s">
        <v>30</v>
      </c>
      <c r="J219" s="4">
        <v>0</v>
      </c>
      <c r="K219" s="4"/>
      <c r="L219" s="4">
        <v>5</v>
      </c>
      <c r="M219" s="4">
        <v>10</v>
      </c>
      <c r="N219" s="4">
        <v>15</v>
      </c>
      <c r="O219" s="4">
        <v>20</v>
      </c>
      <c r="P219" s="4">
        <v>25</v>
      </c>
      <c r="Q219" s="4"/>
      <c r="R219" s="4">
        <v>30</v>
      </c>
      <c r="S219" s="4">
        <v>35</v>
      </c>
      <c r="T219" s="4">
        <v>40</v>
      </c>
      <c r="U219" s="4">
        <v>45</v>
      </c>
      <c r="V219" s="4">
        <v>50</v>
      </c>
    </row>
    <row r="220" spans="9:46">
      <c r="I220" s="5">
        <v>100</v>
      </c>
      <c r="J220" s="21">
        <v>0</v>
      </c>
      <c r="K220" s="21"/>
      <c r="L220" s="21">
        <v>0</v>
      </c>
      <c r="M220" s="21">
        <v>0</v>
      </c>
      <c r="N220" s="21">
        <v>0</v>
      </c>
      <c r="O220" s="21">
        <v>0</v>
      </c>
      <c r="P220" s="21">
        <v>0</v>
      </c>
      <c r="Q220" s="21"/>
      <c r="R220" s="21">
        <v>0</v>
      </c>
      <c r="S220" s="21">
        <v>0</v>
      </c>
      <c r="T220" s="21">
        <v>0</v>
      </c>
      <c r="U220" s="21">
        <v>0</v>
      </c>
      <c r="V220" s="21">
        <v>0</v>
      </c>
      <c r="W220" s="23"/>
    </row>
    <row r="221" spans="9:46">
      <c r="I221" s="5">
        <v>101</v>
      </c>
      <c r="J221" s="22">
        <f t="shared" ref="J221:V221" si="0">(J220+J223)/2</f>
        <v>0.05</v>
      </c>
      <c r="K221" s="22"/>
      <c r="L221" s="22">
        <f t="shared" si="0"/>
        <v>4.7500000000000001E-2</v>
      </c>
      <c r="M221" s="22">
        <f t="shared" si="0"/>
        <v>4.6249999999999999E-2</v>
      </c>
      <c r="N221" s="22">
        <f t="shared" si="0"/>
        <v>4.3749999999999997E-2</v>
      </c>
      <c r="O221" s="22">
        <f t="shared" si="0"/>
        <v>4.1250000000000002E-2</v>
      </c>
      <c r="P221" s="22">
        <f t="shared" si="0"/>
        <v>0.04</v>
      </c>
      <c r="Q221" s="22"/>
      <c r="R221" s="22">
        <f t="shared" si="0"/>
        <v>3.7499999999999999E-2</v>
      </c>
      <c r="S221" s="22">
        <f t="shared" si="0"/>
        <v>3.125E-2</v>
      </c>
      <c r="T221" s="22">
        <f t="shared" si="0"/>
        <v>2.5000000000000001E-2</v>
      </c>
      <c r="U221" s="22">
        <f t="shared" si="0"/>
        <v>1.8749999999999999E-2</v>
      </c>
      <c r="V221" s="22">
        <f t="shared" si="0"/>
        <v>1.2500000000000001E-2</v>
      </c>
      <c r="W221" s="24"/>
      <c r="X221" s="17"/>
      <c r="Y221" s="17"/>
      <c r="Z221" s="17"/>
      <c r="AA221" s="17"/>
      <c r="AB221" s="17"/>
      <c r="AC221" s="17"/>
      <c r="AD221" s="17"/>
      <c r="AE221" s="17"/>
    </row>
    <row r="222" spans="9:46">
      <c r="I222" s="5">
        <v>102</v>
      </c>
      <c r="J222" s="22">
        <f t="shared" ref="J222:V222" si="1">(J221+J223)/2</f>
        <v>7.5000000000000011E-2</v>
      </c>
      <c r="K222" s="22"/>
      <c r="L222" s="22">
        <f t="shared" si="1"/>
        <v>7.1250000000000008E-2</v>
      </c>
      <c r="M222" s="22">
        <f t="shared" si="1"/>
        <v>6.9374999999999992E-2</v>
      </c>
      <c r="N222" s="22">
        <f t="shared" si="1"/>
        <v>6.5624999999999989E-2</v>
      </c>
      <c r="O222" s="22">
        <f t="shared" si="1"/>
        <v>6.1874999999999999E-2</v>
      </c>
      <c r="P222" s="22">
        <f t="shared" si="1"/>
        <v>0.06</v>
      </c>
      <c r="Q222" s="22"/>
      <c r="R222" s="22">
        <f t="shared" si="1"/>
        <v>5.6249999999999994E-2</v>
      </c>
      <c r="S222" s="22">
        <f t="shared" si="1"/>
        <v>4.6875E-2</v>
      </c>
      <c r="T222" s="22">
        <f t="shared" si="1"/>
        <v>3.7500000000000006E-2</v>
      </c>
      <c r="U222" s="22">
        <f t="shared" si="1"/>
        <v>2.8124999999999997E-2</v>
      </c>
      <c r="V222" s="22">
        <f t="shared" si="1"/>
        <v>1.8750000000000003E-2</v>
      </c>
      <c r="W222" s="25"/>
      <c r="X222" s="18"/>
      <c r="Y222" s="18"/>
      <c r="Z222" s="18"/>
      <c r="AA222" s="18"/>
      <c r="AB222" s="18"/>
      <c r="AC222" s="18"/>
      <c r="AD222" s="18"/>
      <c r="AE222" s="19"/>
    </row>
    <row r="223" spans="9:46">
      <c r="I223" s="5">
        <v>103</v>
      </c>
      <c r="J223" s="22">
        <f t="shared" ref="J223:V223" si="2">(J220+J225)/2</f>
        <v>0.1</v>
      </c>
      <c r="K223" s="22"/>
      <c r="L223" s="22">
        <f t="shared" si="2"/>
        <v>9.5000000000000001E-2</v>
      </c>
      <c r="M223" s="22">
        <f t="shared" si="2"/>
        <v>9.2499999999999999E-2</v>
      </c>
      <c r="N223" s="22">
        <f t="shared" si="2"/>
        <v>8.7499999999999994E-2</v>
      </c>
      <c r="O223" s="22">
        <f t="shared" si="2"/>
        <v>8.2500000000000004E-2</v>
      </c>
      <c r="P223" s="22">
        <f t="shared" si="2"/>
        <v>0.08</v>
      </c>
      <c r="Q223" s="22"/>
      <c r="R223" s="22">
        <f t="shared" si="2"/>
        <v>7.4999999999999997E-2</v>
      </c>
      <c r="S223" s="22">
        <f t="shared" si="2"/>
        <v>6.25E-2</v>
      </c>
      <c r="T223" s="22">
        <f t="shared" si="2"/>
        <v>0.05</v>
      </c>
      <c r="U223" s="22">
        <f t="shared" si="2"/>
        <v>3.7499999999999999E-2</v>
      </c>
      <c r="V223" s="22">
        <f t="shared" si="2"/>
        <v>2.5000000000000001E-2</v>
      </c>
      <c r="W223" s="23"/>
      <c r="Z223" s="16" t="s">
        <v>48</v>
      </c>
      <c r="AA223" s="16" t="s">
        <v>49</v>
      </c>
      <c r="AB223" s="17">
        <v>20</v>
      </c>
      <c r="AC223" s="17">
        <v>30</v>
      </c>
      <c r="AD223" s="17">
        <v>40</v>
      </c>
      <c r="AE223" s="17">
        <v>50</v>
      </c>
      <c r="AF223" s="17">
        <v>60</v>
      </c>
      <c r="AG223" s="17">
        <v>70</v>
      </c>
      <c r="AH223" s="17">
        <v>80</v>
      </c>
      <c r="AI223" s="17">
        <v>90</v>
      </c>
      <c r="AJ223" s="17">
        <v>100</v>
      </c>
      <c r="AK223" s="17">
        <v>110</v>
      </c>
      <c r="AL223" s="17">
        <v>120</v>
      </c>
      <c r="AM223" s="17">
        <v>130</v>
      </c>
      <c r="AN223" s="17">
        <v>140</v>
      </c>
      <c r="AO223" s="17">
        <v>150</v>
      </c>
      <c r="AP223" s="17">
        <v>160</v>
      </c>
      <c r="AQ223" s="17">
        <v>170</v>
      </c>
      <c r="AR223" s="17">
        <v>180</v>
      </c>
      <c r="AS223" s="17">
        <v>190</v>
      </c>
      <c r="AT223" s="17">
        <v>200</v>
      </c>
    </row>
    <row r="224" spans="9:46">
      <c r="I224" s="5">
        <v>104</v>
      </c>
      <c r="J224" s="22">
        <f t="shared" ref="J224:V224" si="3">(J223+J225)/2</f>
        <v>0.15000000000000002</v>
      </c>
      <c r="K224" s="22"/>
      <c r="L224" s="22">
        <f t="shared" si="3"/>
        <v>0.14250000000000002</v>
      </c>
      <c r="M224" s="22">
        <f t="shared" si="3"/>
        <v>0.13874999999999998</v>
      </c>
      <c r="N224" s="22">
        <f t="shared" si="3"/>
        <v>0.13124999999999998</v>
      </c>
      <c r="O224" s="22">
        <f t="shared" si="3"/>
        <v>0.12375</v>
      </c>
      <c r="P224" s="22">
        <f t="shared" si="3"/>
        <v>0.12</v>
      </c>
      <c r="Q224" s="22"/>
      <c r="R224" s="22">
        <f t="shared" si="3"/>
        <v>0.11249999999999999</v>
      </c>
      <c r="S224" s="22">
        <f t="shared" si="3"/>
        <v>9.375E-2</v>
      </c>
      <c r="T224" s="22">
        <f t="shared" si="3"/>
        <v>7.5000000000000011E-2</v>
      </c>
      <c r="U224" s="22">
        <f t="shared" si="3"/>
        <v>5.6249999999999994E-2</v>
      </c>
      <c r="V224" s="22">
        <f t="shared" si="3"/>
        <v>3.7500000000000006E-2</v>
      </c>
      <c r="W224" s="23"/>
      <c r="Z224" s="16" t="s">
        <v>51</v>
      </c>
      <c r="AA224" s="16" t="s">
        <v>3</v>
      </c>
      <c r="AB224" s="18">
        <v>0</v>
      </c>
      <c r="AC224" s="18">
        <v>0</v>
      </c>
      <c r="AD224" s="18">
        <v>0</v>
      </c>
      <c r="AE224" s="18">
        <v>0</v>
      </c>
      <c r="AF224" s="18">
        <v>0</v>
      </c>
      <c r="AG224" s="18">
        <v>0</v>
      </c>
      <c r="AH224" s="18">
        <v>0</v>
      </c>
      <c r="AI224" s="18">
        <v>0</v>
      </c>
      <c r="AJ224" s="18">
        <v>0</v>
      </c>
      <c r="AK224" s="18">
        <v>0.4</v>
      </c>
      <c r="AL224" s="18">
        <v>1.03</v>
      </c>
      <c r="AM224" s="18">
        <v>1.75</v>
      </c>
      <c r="AN224" s="18">
        <v>2.69</v>
      </c>
      <c r="AO224" s="18">
        <v>3.85</v>
      </c>
      <c r="AP224" s="18">
        <v>5.3</v>
      </c>
      <c r="AQ224" s="18">
        <v>7.08</v>
      </c>
      <c r="AR224" s="18">
        <v>9.25</v>
      </c>
      <c r="AS224" s="18">
        <v>11.8</v>
      </c>
      <c r="AT224" s="19">
        <v>14.5</v>
      </c>
    </row>
    <row r="225" spans="9:46">
      <c r="I225" s="5">
        <v>105</v>
      </c>
      <c r="J225" s="22">
        <f t="shared" ref="J225:V225" si="4">(J220+J230)/2</f>
        <v>0.2</v>
      </c>
      <c r="K225" s="22"/>
      <c r="L225" s="22">
        <f t="shared" si="4"/>
        <v>0.19</v>
      </c>
      <c r="M225" s="22">
        <f t="shared" si="4"/>
        <v>0.185</v>
      </c>
      <c r="N225" s="22">
        <f t="shared" si="4"/>
        <v>0.17499999999999999</v>
      </c>
      <c r="O225" s="22">
        <f t="shared" si="4"/>
        <v>0.16500000000000001</v>
      </c>
      <c r="P225" s="22">
        <f t="shared" si="4"/>
        <v>0.16</v>
      </c>
      <c r="Q225" s="22"/>
      <c r="R225" s="22">
        <f t="shared" si="4"/>
        <v>0.15</v>
      </c>
      <c r="S225" s="22">
        <f t="shared" si="4"/>
        <v>0.125</v>
      </c>
      <c r="T225" s="22">
        <f t="shared" si="4"/>
        <v>0.1</v>
      </c>
      <c r="U225" s="22">
        <f t="shared" si="4"/>
        <v>7.4999999999999997E-2</v>
      </c>
      <c r="V225" s="22">
        <f t="shared" si="4"/>
        <v>0.05</v>
      </c>
      <c r="W225" s="23"/>
      <c r="Z225" s="16" t="s">
        <v>48</v>
      </c>
      <c r="AA225" s="16" t="s">
        <v>49</v>
      </c>
      <c r="AB225" s="17">
        <v>20</v>
      </c>
      <c r="AC225" s="17">
        <v>30</v>
      </c>
      <c r="AD225" s="17">
        <v>40</v>
      </c>
      <c r="AE225" s="17">
        <v>50</v>
      </c>
      <c r="AF225" s="17">
        <v>60</v>
      </c>
      <c r="AG225" s="17">
        <v>70</v>
      </c>
      <c r="AH225" s="17">
        <v>80</v>
      </c>
      <c r="AI225" s="17">
        <v>90</v>
      </c>
      <c r="AJ225" s="17">
        <v>100</v>
      </c>
      <c r="AK225" s="17">
        <v>110</v>
      </c>
      <c r="AL225" s="17">
        <v>120</v>
      </c>
      <c r="AM225" s="17">
        <v>130</v>
      </c>
      <c r="AN225" s="17">
        <v>140</v>
      </c>
      <c r="AO225" s="17">
        <v>150</v>
      </c>
      <c r="AP225" s="17">
        <v>160</v>
      </c>
      <c r="AQ225" s="17">
        <v>170</v>
      </c>
      <c r="AR225" s="17">
        <v>180</v>
      </c>
      <c r="AS225" s="17">
        <v>190</v>
      </c>
      <c r="AT225" s="17">
        <v>200</v>
      </c>
    </row>
    <row r="226" spans="9:46">
      <c r="I226" s="5">
        <v>106</v>
      </c>
      <c r="J226" s="22">
        <f t="shared" ref="J226:V226" si="5">(J225+J227)/2</f>
        <v>0.23750000000000002</v>
      </c>
      <c r="K226" s="22"/>
      <c r="L226" s="22">
        <f t="shared" si="5"/>
        <v>0.22562499999999999</v>
      </c>
      <c r="M226" s="22">
        <f t="shared" si="5"/>
        <v>0.21968750000000001</v>
      </c>
      <c r="N226" s="22">
        <f t="shared" si="5"/>
        <v>0.20781249999999998</v>
      </c>
      <c r="O226" s="22">
        <f t="shared" si="5"/>
        <v>0.19593749999999999</v>
      </c>
      <c r="P226" s="22">
        <f t="shared" si="5"/>
        <v>0.19</v>
      </c>
      <c r="Q226" s="22"/>
      <c r="R226" s="22">
        <f t="shared" si="5"/>
        <v>0.17812499999999998</v>
      </c>
      <c r="S226" s="22">
        <f t="shared" si="5"/>
        <v>0.1484375</v>
      </c>
      <c r="T226" s="22">
        <f t="shared" si="5"/>
        <v>0.11875000000000001</v>
      </c>
      <c r="U226" s="22">
        <f t="shared" si="5"/>
        <v>8.9062499999999989E-2</v>
      </c>
      <c r="V226" s="22">
        <f t="shared" si="5"/>
        <v>5.9375000000000004E-2</v>
      </c>
      <c r="W226" s="23"/>
      <c r="Z226" s="16" t="s">
        <v>52</v>
      </c>
      <c r="AA226" s="16"/>
      <c r="AB226" s="496" t="s">
        <v>53</v>
      </c>
      <c r="AC226" s="496"/>
      <c r="AD226" s="496"/>
      <c r="AE226" s="496"/>
      <c r="AF226" s="496"/>
      <c r="AG226" s="496"/>
      <c r="AH226" s="20">
        <v>6.8999999999999999E-3</v>
      </c>
      <c r="AI226" s="20">
        <v>1.43E-2</v>
      </c>
      <c r="AJ226" s="20">
        <v>2.2100000000000002E-2</v>
      </c>
      <c r="AK226" s="20">
        <v>3.04E-2</v>
      </c>
      <c r="AL226" s="20">
        <v>3.7650000000000003E-2</v>
      </c>
      <c r="AM226" s="20">
        <v>4.9430000000000002E-2</v>
      </c>
      <c r="AN226" s="20">
        <v>5.5320000000000001E-2</v>
      </c>
      <c r="AO226" s="20">
        <v>6.1210000000000001E-2</v>
      </c>
      <c r="AP226" s="20">
        <v>6.7100000000000007E-2</v>
      </c>
      <c r="AQ226" s="20">
        <v>7.2989999999999999E-2</v>
      </c>
      <c r="AR226" s="20">
        <v>7.8880000000000006E-2</v>
      </c>
      <c r="AS226" s="20">
        <v>8.4769999999999998E-2</v>
      </c>
      <c r="AT226" s="20">
        <v>9.0660000000000004E-2</v>
      </c>
    </row>
    <row r="227" spans="9:46">
      <c r="I227" s="5">
        <v>107</v>
      </c>
      <c r="J227" s="22">
        <f t="shared" ref="J227:V227" si="6">(J225+J229)/2</f>
        <v>0.27500000000000002</v>
      </c>
      <c r="K227" s="22"/>
      <c r="L227" s="22">
        <f t="shared" si="6"/>
        <v>0.26124999999999998</v>
      </c>
      <c r="M227" s="22">
        <f t="shared" si="6"/>
        <v>0.25437500000000002</v>
      </c>
      <c r="N227" s="22">
        <f t="shared" si="6"/>
        <v>0.24062499999999998</v>
      </c>
      <c r="O227" s="22">
        <f t="shared" si="6"/>
        <v>0.22687499999999999</v>
      </c>
      <c r="P227" s="22">
        <f t="shared" si="6"/>
        <v>0.22000000000000003</v>
      </c>
      <c r="Q227" s="22"/>
      <c r="R227" s="22">
        <f t="shared" si="6"/>
        <v>0.20624999999999999</v>
      </c>
      <c r="S227" s="22">
        <f t="shared" si="6"/>
        <v>0.171875</v>
      </c>
      <c r="T227" s="22">
        <f t="shared" si="6"/>
        <v>0.13750000000000001</v>
      </c>
      <c r="U227" s="22">
        <f t="shared" si="6"/>
        <v>0.10312499999999999</v>
      </c>
      <c r="V227" s="22">
        <f t="shared" si="6"/>
        <v>6.8750000000000006E-2</v>
      </c>
      <c r="W227" s="23"/>
      <c r="Z227" s="16"/>
      <c r="AA227" s="16"/>
      <c r="AB227" s="18"/>
      <c r="AC227" s="18"/>
      <c r="AD227" s="18"/>
      <c r="AE227" s="18"/>
      <c r="AF227" s="18"/>
      <c r="AG227" s="18"/>
      <c r="AH227" s="18"/>
      <c r="AI227" s="18"/>
      <c r="AJ227" s="18"/>
      <c r="AK227" s="18"/>
      <c r="AL227" s="18"/>
      <c r="AM227" s="18"/>
      <c r="AN227" s="18"/>
      <c r="AO227" s="18"/>
      <c r="AP227" s="18"/>
      <c r="AQ227" s="18"/>
      <c r="AR227" s="18"/>
      <c r="AS227" s="18"/>
      <c r="AT227" s="18"/>
    </row>
    <row r="228" spans="9:46">
      <c r="I228" s="5">
        <v>108</v>
      </c>
      <c r="J228" s="22">
        <f t="shared" ref="J228:V228" si="7">(J225+J230)/2</f>
        <v>0.30000000000000004</v>
      </c>
      <c r="K228" s="22"/>
      <c r="L228" s="22">
        <f t="shared" si="7"/>
        <v>0.28500000000000003</v>
      </c>
      <c r="M228" s="22">
        <f t="shared" si="7"/>
        <v>0.27749999999999997</v>
      </c>
      <c r="N228" s="22">
        <f t="shared" si="7"/>
        <v>0.26249999999999996</v>
      </c>
      <c r="O228" s="22">
        <f t="shared" si="7"/>
        <v>0.2475</v>
      </c>
      <c r="P228" s="22">
        <f t="shared" si="7"/>
        <v>0.24</v>
      </c>
      <c r="Q228" s="22"/>
      <c r="R228" s="22">
        <f t="shared" si="7"/>
        <v>0.22499999999999998</v>
      </c>
      <c r="S228" s="22">
        <f t="shared" si="7"/>
        <v>0.1875</v>
      </c>
      <c r="T228" s="22">
        <f t="shared" si="7"/>
        <v>0.15000000000000002</v>
      </c>
      <c r="U228" s="22">
        <f t="shared" si="7"/>
        <v>0.11249999999999999</v>
      </c>
      <c r="V228" s="22">
        <f t="shared" si="7"/>
        <v>7.5000000000000011E-2</v>
      </c>
      <c r="W228" s="23"/>
      <c r="Z228" s="16" t="s">
        <v>48</v>
      </c>
      <c r="AA228" s="16" t="s">
        <v>49</v>
      </c>
      <c r="AB228" s="17">
        <v>20</v>
      </c>
      <c r="AC228" s="17">
        <v>30</v>
      </c>
      <c r="AD228" s="17">
        <v>40</v>
      </c>
      <c r="AE228" s="17">
        <v>50</v>
      </c>
      <c r="AF228" s="17">
        <v>60</v>
      </c>
      <c r="AG228" s="17">
        <v>70</v>
      </c>
      <c r="AH228" s="17">
        <v>80</v>
      </c>
      <c r="AI228" s="17">
        <v>90</v>
      </c>
      <c r="AJ228" s="17">
        <v>100</v>
      </c>
      <c r="AK228" s="17">
        <v>110</v>
      </c>
      <c r="AL228" s="17">
        <v>120</v>
      </c>
      <c r="AM228" s="17">
        <v>130</v>
      </c>
      <c r="AN228" s="17">
        <v>140</v>
      </c>
      <c r="AO228" s="17">
        <v>150</v>
      </c>
      <c r="AP228" s="17">
        <v>160</v>
      </c>
      <c r="AQ228" s="17">
        <v>170</v>
      </c>
      <c r="AR228" s="17">
        <v>180</v>
      </c>
      <c r="AS228" s="17">
        <v>190</v>
      </c>
      <c r="AT228" s="17">
        <v>200</v>
      </c>
    </row>
    <row r="229" spans="9:46">
      <c r="I229" s="5">
        <v>109</v>
      </c>
      <c r="J229" s="22">
        <f t="shared" ref="J229:V229" si="8">(J228+J230)/2</f>
        <v>0.35000000000000003</v>
      </c>
      <c r="K229" s="22"/>
      <c r="L229" s="22">
        <f t="shared" si="8"/>
        <v>0.33250000000000002</v>
      </c>
      <c r="M229" s="22">
        <f t="shared" si="8"/>
        <v>0.32374999999999998</v>
      </c>
      <c r="N229" s="22">
        <f t="shared" si="8"/>
        <v>0.30624999999999997</v>
      </c>
      <c r="O229" s="22">
        <f t="shared" si="8"/>
        <v>0.28875000000000001</v>
      </c>
      <c r="P229" s="22">
        <f t="shared" si="8"/>
        <v>0.28000000000000003</v>
      </c>
      <c r="Q229" s="22"/>
      <c r="R229" s="22">
        <f t="shared" si="8"/>
        <v>0.26249999999999996</v>
      </c>
      <c r="S229" s="22">
        <f t="shared" si="8"/>
        <v>0.21875</v>
      </c>
      <c r="T229" s="22">
        <f t="shared" si="8"/>
        <v>0.17500000000000002</v>
      </c>
      <c r="U229" s="22">
        <f t="shared" si="8"/>
        <v>0.13124999999999998</v>
      </c>
      <c r="V229" s="22">
        <f t="shared" si="8"/>
        <v>8.7500000000000008E-2</v>
      </c>
      <c r="W229" s="23"/>
      <c r="Z229" s="16" t="s">
        <v>50</v>
      </c>
      <c r="AA229" s="16" t="s">
        <v>54</v>
      </c>
      <c r="AB229" s="18">
        <v>2.3900000000000001E-2</v>
      </c>
      <c r="AC229" s="18">
        <v>2.3900000000000001E-2</v>
      </c>
      <c r="AD229" s="18">
        <v>2.3900000000000001E-2</v>
      </c>
      <c r="AE229" s="18">
        <v>0.03</v>
      </c>
      <c r="AF229" s="18">
        <v>3.6400000000000002E-2</v>
      </c>
      <c r="AG229" s="18">
        <v>4.3099999999999999E-2</v>
      </c>
      <c r="AH229" s="18">
        <v>5.0200000000000002E-2</v>
      </c>
      <c r="AI229" s="18">
        <v>5.7599999999999998E-2</v>
      </c>
      <c r="AJ229" s="18">
        <v>6.5299999999999997E-2</v>
      </c>
      <c r="AK229" s="18">
        <v>7.3400000000000007E-2</v>
      </c>
      <c r="AL229" s="18"/>
      <c r="AM229" s="18"/>
      <c r="AN229" s="18">
        <v>7.3400000000000007E-2</v>
      </c>
      <c r="AO229" s="18"/>
      <c r="AP229" s="18"/>
      <c r="AQ229" s="18">
        <v>7.3400000000000007E-2</v>
      </c>
      <c r="AR229" s="18"/>
      <c r="AS229" s="18"/>
      <c r="AT229" s="19">
        <v>7.3400000000000007E-2</v>
      </c>
    </row>
    <row r="230" spans="9:46">
      <c r="I230" s="5">
        <v>110</v>
      </c>
      <c r="J230" s="21">
        <v>0.4</v>
      </c>
      <c r="K230" s="21"/>
      <c r="L230" s="22">
        <v>0.38</v>
      </c>
      <c r="M230" s="22">
        <v>0.37</v>
      </c>
      <c r="N230" s="22">
        <v>0.35</v>
      </c>
      <c r="O230" s="22">
        <v>0.33</v>
      </c>
      <c r="P230" s="22">
        <v>0.32</v>
      </c>
      <c r="Q230" s="22"/>
      <c r="R230" s="22">
        <v>0.3</v>
      </c>
      <c r="S230" s="22">
        <v>0.25</v>
      </c>
      <c r="T230" s="22">
        <v>0.2</v>
      </c>
      <c r="U230" s="22">
        <v>0.15</v>
      </c>
      <c r="V230" s="22">
        <v>0.1</v>
      </c>
      <c r="W230" s="23"/>
      <c r="Z230" s="16" t="s">
        <v>48</v>
      </c>
      <c r="AA230" s="16" t="s">
        <v>49</v>
      </c>
      <c r="AB230" s="17">
        <v>20</v>
      </c>
      <c r="AC230" s="17">
        <v>30</v>
      </c>
      <c r="AD230" s="17">
        <v>40</v>
      </c>
      <c r="AE230" s="17">
        <v>50</v>
      </c>
      <c r="AF230" s="17">
        <v>60</v>
      </c>
      <c r="AG230" s="17">
        <v>70</v>
      </c>
      <c r="AH230" s="17">
        <v>80</v>
      </c>
      <c r="AI230" s="17">
        <v>90</v>
      </c>
      <c r="AJ230" s="17">
        <v>100</v>
      </c>
      <c r="AK230" s="17">
        <v>110</v>
      </c>
      <c r="AL230" s="17">
        <v>120</v>
      </c>
      <c r="AM230" s="17">
        <v>130</v>
      </c>
      <c r="AN230" s="17">
        <v>140</v>
      </c>
      <c r="AO230" s="17">
        <v>150</v>
      </c>
      <c r="AP230" s="17">
        <v>160</v>
      </c>
      <c r="AQ230" s="17">
        <v>170</v>
      </c>
      <c r="AR230" s="17">
        <v>180</v>
      </c>
      <c r="AS230" s="17">
        <v>190</v>
      </c>
      <c r="AT230" s="17">
        <v>200</v>
      </c>
    </row>
    <row r="231" spans="9:46">
      <c r="I231" s="5">
        <v>111</v>
      </c>
      <c r="J231" s="22">
        <f t="shared" ref="J231:V231" si="9">(J230+J233)/2</f>
        <v>0.47875000000000006</v>
      </c>
      <c r="K231" s="22"/>
      <c r="L231" s="22">
        <f t="shared" si="9"/>
        <v>0.45875000000000005</v>
      </c>
      <c r="M231" s="22">
        <f t="shared" si="9"/>
        <v>0.44749999999999995</v>
      </c>
      <c r="N231" s="22">
        <f t="shared" si="9"/>
        <v>0.42749999999999994</v>
      </c>
      <c r="O231" s="22">
        <f t="shared" si="9"/>
        <v>0.40749999999999997</v>
      </c>
      <c r="P231" s="22">
        <f t="shared" si="9"/>
        <v>0.39624999999999999</v>
      </c>
      <c r="Q231" s="22"/>
      <c r="R231" s="22">
        <f t="shared" si="9"/>
        <v>0.37624999999999997</v>
      </c>
      <c r="S231" s="22">
        <f t="shared" si="9"/>
        <v>0.32999999999999996</v>
      </c>
      <c r="T231" s="22">
        <f t="shared" si="9"/>
        <v>0.28374999999999995</v>
      </c>
      <c r="U231" s="22">
        <f t="shared" si="9"/>
        <v>0.23749999999999999</v>
      </c>
      <c r="V231" s="22">
        <f t="shared" si="9"/>
        <v>0.19124999999999998</v>
      </c>
      <c r="W231" s="23"/>
      <c r="Z231" s="16" t="s">
        <v>55</v>
      </c>
      <c r="AA231" s="16" t="s">
        <v>56</v>
      </c>
      <c r="AB231" s="18">
        <v>0</v>
      </c>
      <c r="AC231" s="18">
        <v>0</v>
      </c>
      <c r="AD231" s="18">
        <v>0</v>
      </c>
      <c r="AE231" s="18">
        <v>0</v>
      </c>
      <c r="AF231" s="18">
        <v>0</v>
      </c>
      <c r="AG231" s="18">
        <v>0</v>
      </c>
      <c r="AH231" s="18">
        <v>0</v>
      </c>
      <c r="AI231" s="18">
        <v>0</v>
      </c>
      <c r="AJ231" s="18">
        <v>0</v>
      </c>
      <c r="AK231" s="18">
        <v>0.2</v>
      </c>
      <c r="AL231" s="18"/>
      <c r="AM231" s="18"/>
      <c r="AN231" s="18">
        <v>0.2</v>
      </c>
      <c r="AO231" s="18"/>
      <c r="AP231" s="18"/>
      <c r="AQ231" s="18">
        <v>0.2</v>
      </c>
      <c r="AR231" s="18"/>
      <c r="AS231" s="18"/>
      <c r="AT231" s="19">
        <v>0.2</v>
      </c>
    </row>
    <row r="232" spans="9:46">
      <c r="I232" s="5">
        <v>112</v>
      </c>
      <c r="J232" s="22">
        <f t="shared" ref="J232:V232" si="10">(J231+J233)/2</f>
        <v>0.51812500000000006</v>
      </c>
      <c r="K232" s="22"/>
      <c r="L232" s="22">
        <f t="shared" si="10"/>
        <v>0.49812500000000004</v>
      </c>
      <c r="M232" s="22">
        <f t="shared" si="10"/>
        <v>0.48624999999999996</v>
      </c>
      <c r="N232" s="22">
        <f t="shared" si="10"/>
        <v>0.46624999999999994</v>
      </c>
      <c r="O232" s="22">
        <f t="shared" si="10"/>
        <v>0.44624999999999998</v>
      </c>
      <c r="P232" s="22">
        <f t="shared" si="10"/>
        <v>0.43437500000000001</v>
      </c>
      <c r="Q232" s="22"/>
      <c r="R232" s="22">
        <f t="shared" si="10"/>
        <v>0.41437499999999999</v>
      </c>
      <c r="S232" s="22">
        <f t="shared" si="10"/>
        <v>0.37</v>
      </c>
      <c r="T232" s="22">
        <f t="shared" si="10"/>
        <v>0.32562499999999994</v>
      </c>
      <c r="U232" s="22">
        <f t="shared" si="10"/>
        <v>0.28125</v>
      </c>
      <c r="V232" s="22">
        <f t="shared" si="10"/>
        <v>0.23687499999999997</v>
      </c>
      <c r="W232" s="23"/>
    </row>
    <row r="233" spans="9:46">
      <c r="I233" s="5">
        <v>113</v>
      </c>
      <c r="J233" s="22">
        <f t="shared" ref="J233:V233" si="11">(J230+J235)/2</f>
        <v>0.55750000000000011</v>
      </c>
      <c r="K233" s="22"/>
      <c r="L233" s="22">
        <f t="shared" si="11"/>
        <v>0.53750000000000009</v>
      </c>
      <c r="M233" s="22">
        <f t="shared" si="11"/>
        <v>0.52499999999999991</v>
      </c>
      <c r="N233" s="22">
        <f t="shared" si="11"/>
        <v>0.50499999999999989</v>
      </c>
      <c r="O233" s="22">
        <f t="shared" si="11"/>
        <v>0.48499999999999999</v>
      </c>
      <c r="P233" s="22">
        <f t="shared" si="11"/>
        <v>0.47250000000000003</v>
      </c>
      <c r="Q233" s="22"/>
      <c r="R233" s="22">
        <f t="shared" si="11"/>
        <v>0.45250000000000001</v>
      </c>
      <c r="S233" s="22">
        <f t="shared" si="11"/>
        <v>0.41</v>
      </c>
      <c r="T233" s="22">
        <f t="shared" si="11"/>
        <v>0.36749999999999994</v>
      </c>
      <c r="U233" s="22">
        <f t="shared" si="11"/>
        <v>0.32499999999999996</v>
      </c>
      <c r="V233" s="22">
        <f t="shared" si="11"/>
        <v>0.28249999999999997</v>
      </c>
      <c r="W233" s="23"/>
    </row>
    <row r="234" spans="9:46">
      <c r="I234" s="5">
        <v>114</v>
      </c>
      <c r="J234" s="22">
        <f t="shared" ref="J234:V234" si="12">(J233+J235)/2</f>
        <v>0.63625000000000009</v>
      </c>
      <c r="K234" s="22"/>
      <c r="L234" s="22">
        <f t="shared" si="12"/>
        <v>0.61625000000000008</v>
      </c>
      <c r="M234" s="22">
        <f t="shared" si="12"/>
        <v>0.60249999999999992</v>
      </c>
      <c r="N234" s="22">
        <f t="shared" si="12"/>
        <v>0.58249999999999991</v>
      </c>
      <c r="O234" s="22">
        <f t="shared" si="12"/>
        <v>0.5625</v>
      </c>
      <c r="P234" s="22">
        <f t="shared" si="12"/>
        <v>0.54875000000000007</v>
      </c>
      <c r="Q234" s="22"/>
      <c r="R234" s="22">
        <f t="shared" si="12"/>
        <v>0.52875000000000005</v>
      </c>
      <c r="S234" s="22">
        <f t="shared" si="12"/>
        <v>0.49</v>
      </c>
      <c r="T234" s="22">
        <f t="shared" si="12"/>
        <v>0.45124999999999993</v>
      </c>
      <c r="U234" s="22">
        <f t="shared" si="12"/>
        <v>0.41249999999999998</v>
      </c>
      <c r="V234" s="22">
        <f t="shared" si="12"/>
        <v>0.37374999999999992</v>
      </c>
      <c r="W234" s="23"/>
    </row>
    <row r="235" spans="9:46">
      <c r="I235" s="5">
        <v>115</v>
      </c>
      <c r="J235" s="22">
        <f t="shared" ref="J235:V235" si="13">(J230+J240)/2</f>
        <v>0.71500000000000008</v>
      </c>
      <c r="K235" s="22"/>
      <c r="L235" s="22">
        <f t="shared" si="13"/>
        <v>0.69500000000000006</v>
      </c>
      <c r="M235" s="22">
        <f t="shared" si="13"/>
        <v>0.67999999999999994</v>
      </c>
      <c r="N235" s="22">
        <f t="shared" si="13"/>
        <v>0.65999999999999992</v>
      </c>
      <c r="O235" s="22">
        <f t="shared" si="13"/>
        <v>0.64</v>
      </c>
      <c r="P235" s="22">
        <f t="shared" si="13"/>
        <v>0.625</v>
      </c>
      <c r="Q235" s="22"/>
      <c r="R235" s="22">
        <f t="shared" si="13"/>
        <v>0.60499999999999998</v>
      </c>
      <c r="S235" s="22">
        <f t="shared" si="13"/>
        <v>0.56999999999999995</v>
      </c>
      <c r="T235" s="22">
        <f t="shared" si="13"/>
        <v>0.53499999999999992</v>
      </c>
      <c r="U235" s="22">
        <f t="shared" si="13"/>
        <v>0.49999999999999994</v>
      </c>
      <c r="V235" s="22">
        <f t="shared" si="13"/>
        <v>0.46499999999999991</v>
      </c>
      <c r="W235" s="23"/>
    </row>
    <row r="236" spans="9:46">
      <c r="I236" s="5">
        <v>116</v>
      </c>
      <c r="J236" s="22">
        <f t="shared" ref="J236:V236" si="14">(J235+J237)/2</f>
        <v>0.7740625000000001</v>
      </c>
      <c r="K236" s="22"/>
      <c r="L236" s="22">
        <f t="shared" si="14"/>
        <v>0.75406250000000008</v>
      </c>
      <c r="M236" s="22">
        <f t="shared" si="14"/>
        <v>0.73812499999999992</v>
      </c>
      <c r="N236" s="22">
        <f t="shared" si="14"/>
        <v>0.7181249999999999</v>
      </c>
      <c r="O236" s="22">
        <f t="shared" si="14"/>
        <v>0.698125</v>
      </c>
      <c r="P236" s="22">
        <f t="shared" si="14"/>
        <v>0.68218749999999995</v>
      </c>
      <c r="Q236" s="22"/>
      <c r="R236" s="22">
        <f t="shared" si="14"/>
        <v>0.66218749999999993</v>
      </c>
      <c r="S236" s="22">
        <f t="shared" si="14"/>
        <v>0.62999999999999989</v>
      </c>
      <c r="T236" s="22">
        <f t="shared" si="14"/>
        <v>0.59781249999999986</v>
      </c>
      <c r="U236" s="22">
        <f t="shared" si="14"/>
        <v>0.56562499999999993</v>
      </c>
      <c r="V236" s="22">
        <f t="shared" si="14"/>
        <v>0.5334374999999999</v>
      </c>
      <c r="W236" s="23"/>
    </row>
    <row r="237" spans="9:46">
      <c r="I237" s="5">
        <v>117</v>
      </c>
      <c r="J237" s="22">
        <f t="shared" ref="J237:V237" si="15">(J235+J239)/2</f>
        <v>0.83312500000000012</v>
      </c>
      <c r="K237" s="22"/>
      <c r="L237" s="22">
        <f t="shared" si="15"/>
        <v>0.8131250000000001</v>
      </c>
      <c r="M237" s="22">
        <f t="shared" si="15"/>
        <v>0.7962499999999999</v>
      </c>
      <c r="N237" s="22">
        <f t="shared" si="15"/>
        <v>0.77624999999999988</v>
      </c>
      <c r="O237" s="22">
        <f t="shared" si="15"/>
        <v>0.75624999999999998</v>
      </c>
      <c r="P237" s="22">
        <f t="shared" si="15"/>
        <v>0.739375</v>
      </c>
      <c r="Q237" s="22"/>
      <c r="R237" s="22">
        <f t="shared" si="15"/>
        <v>0.71937499999999999</v>
      </c>
      <c r="S237" s="22">
        <f t="shared" si="15"/>
        <v>0.69</v>
      </c>
      <c r="T237" s="22">
        <f t="shared" si="15"/>
        <v>0.66062499999999991</v>
      </c>
      <c r="U237" s="22">
        <f t="shared" si="15"/>
        <v>0.63124999999999998</v>
      </c>
      <c r="V237" s="22">
        <f t="shared" si="15"/>
        <v>0.60187499999999983</v>
      </c>
      <c r="W237" s="23"/>
    </row>
    <row r="238" spans="9:46">
      <c r="I238" s="5">
        <v>118</v>
      </c>
      <c r="J238" s="22">
        <f t="shared" ref="J238:V238" si="16">(J235+J240)/2</f>
        <v>0.87250000000000005</v>
      </c>
      <c r="K238" s="22"/>
      <c r="L238" s="22">
        <f t="shared" si="16"/>
        <v>0.85250000000000004</v>
      </c>
      <c r="M238" s="22">
        <f t="shared" si="16"/>
        <v>0.83499999999999996</v>
      </c>
      <c r="N238" s="22">
        <f t="shared" si="16"/>
        <v>0.81499999999999995</v>
      </c>
      <c r="O238" s="22">
        <f t="shared" si="16"/>
        <v>0.79499999999999993</v>
      </c>
      <c r="P238" s="22">
        <f t="shared" si="16"/>
        <v>0.77749999999999997</v>
      </c>
      <c r="Q238" s="22"/>
      <c r="R238" s="22">
        <f t="shared" si="16"/>
        <v>0.75749999999999995</v>
      </c>
      <c r="S238" s="22">
        <f t="shared" si="16"/>
        <v>0.73</v>
      </c>
      <c r="T238" s="22">
        <f t="shared" si="16"/>
        <v>0.7024999999999999</v>
      </c>
      <c r="U238" s="22">
        <f t="shared" si="16"/>
        <v>0.67499999999999993</v>
      </c>
      <c r="V238" s="22">
        <f t="shared" si="16"/>
        <v>0.64749999999999985</v>
      </c>
      <c r="W238" s="23"/>
    </row>
    <row r="239" spans="9:46">
      <c r="I239" s="5">
        <v>119</v>
      </c>
      <c r="J239" s="22">
        <f t="shared" ref="J239:V239" si="17">(J238+J240)/2</f>
        <v>0.95125000000000004</v>
      </c>
      <c r="K239" s="22"/>
      <c r="L239" s="22">
        <f t="shared" si="17"/>
        <v>0.93125000000000002</v>
      </c>
      <c r="M239" s="22">
        <f t="shared" si="17"/>
        <v>0.91249999999999998</v>
      </c>
      <c r="N239" s="22">
        <f t="shared" si="17"/>
        <v>0.89249999999999996</v>
      </c>
      <c r="O239" s="22">
        <f t="shared" si="17"/>
        <v>0.87249999999999994</v>
      </c>
      <c r="P239" s="22">
        <f t="shared" si="17"/>
        <v>0.85375000000000001</v>
      </c>
      <c r="Q239" s="22"/>
      <c r="R239" s="22">
        <f t="shared" si="17"/>
        <v>0.83374999999999999</v>
      </c>
      <c r="S239" s="22">
        <f t="shared" si="17"/>
        <v>0.80999999999999994</v>
      </c>
      <c r="T239" s="22">
        <f t="shared" si="17"/>
        <v>0.78624999999999989</v>
      </c>
      <c r="U239" s="22">
        <f t="shared" si="17"/>
        <v>0.76249999999999996</v>
      </c>
      <c r="V239" s="22">
        <f t="shared" si="17"/>
        <v>0.7387499999999998</v>
      </c>
      <c r="W239" s="23"/>
    </row>
    <row r="240" spans="9:46">
      <c r="I240" s="5">
        <v>120</v>
      </c>
      <c r="J240" s="21">
        <v>1.03</v>
      </c>
      <c r="K240" s="21"/>
      <c r="L240" s="22">
        <f>J240-0.02</f>
        <v>1.01</v>
      </c>
      <c r="M240" s="22">
        <f t="shared" ref="M240:V240" si="18">L240-0.02</f>
        <v>0.99</v>
      </c>
      <c r="N240" s="22">
        <f t="shared" si="18"/>
        <v>0.97</v>
      </c>
      <c r="O240" s="22">
        <f t="shared" si="18"/>
        <v>0.95</v>
      </c>
      <c r="P240" s="22">
        <f t="shared" si="18"/>
        <v>0.92999999999999994</v>
      </c>
      <c r="Q240" s="22"/>
      <c r="R240" s="22">
        <f>P240-0.02</f>
        <v>0.90999999999999992</v>
      </c>
      <c r="S240" s="22">
        <f t="shared" si="18"/>
        <v>0.8899999999999999</v>
      </c>
      <c r="T240" s="22">
        <f t="shared" si="18"/>
        <v>0.86999999999999988</v>
      </c>
      <c r="U240" s="22">
        <f t="shared" si="18"/>
        <v>0.84999999999999987</v>
      </c>
      <c r="V240" s="22">
        <f t="shared" si="18"/>
        <v>0.82999999999999985</v>
      </c>
      <c r="W240" s="23"/>
    </row>
    <row r="241" spans="9:23">
      <c r="I241" s="5">
        <v>121</v>
      </c>
      <c r="J241" s="22">
        <f t="shared" ref="J241:V241" si="19">(J240+J243)/2</f>
        <v>1.1200000000000001</v>
      </c>
      <c r="K241" s="22"/>
      <c r="L241" s="22">
        <f t="shared" si="19"/>
        <v>1.1000000000000001</v>
      </c>
      <c r="M241" s="22">
        <f t="shared" si="19"/>
        <v>1.08</v>
      </c>
      <c r="N241" s="22">
        <f t="shared" si="19"/>
        <v>1.06</v>
      </c>
      <c r="O241" s="22">
        <f t="shared" si="19"/>
        <v>1.04</v>
      </c>
      <c r="P241" s="22">
        <f t="shared" si="19"/>
        <v>1.02</v>
      </c>
      <c r="Q241" s="22"/>
      <c r="R241" s="22">
        <f t="shared" si="19"/>
        <v>0.99999999999999989</v>
      </c>
      <c r="S241" s="22">
        <f t="shared" si="19"/>
        <v>0.97999999999999987</v>
      </c>
      <c r="T241" s="22">
        <f t="shared" si="19"/>
        <v>0.95999999999999985</v>
      </c>
      <c r="U241" s="22">
        <f t="shared" si="19"/>
        <v>0.93999999999999984</v>
      </c>
      <c r="V241" s="22">
        <f t="shared" si="19"/>
        <v>0.91999999999999982</v>
      </c>
      <c r="W241" s="23"/>
    </row>
    <row r="242" spans="9:23">
      <c r="I242" s="5">
        <v>122</v>
      </c>
      <c r="J242" s="22">
        <f t="shared" ref="J242:V242" si="20">(J241+J243)/2</f>
        <v>1.165</v>
      </c>
      <c r="K242" s="22"/>
      <c r="L242" s="22">
        <f t="shared" si="20"/>
        <v>1.145</v>
      </c>
      <c r="M242" s="22">
        <f t="shared" si="20"/>
        <v>1.125</v>
      </c>
      <c r="N242" s="22">
        <f t="shared" si="20"/>
        <v>1.105</v>
      </c>
      <c r="O242" s="22">
        <f t="shared" si="20"/>
        <v>1.085</v>
      </c>
      <c r="P242" s="22">
        <f t="shared" si="20"/>
        <v>1.0649999999999999</v>
      </c>
      <c r="Q242" s="22"/>
      <c r="R242" s="22">
        <f t="shared" si="20"/>
        <v>1.0449999999999999</v>
      </c>
      <c r="S242" s="22">
        <f t="shared" si="20"/>
        <v>1.0249999999999999</v>
      </c>
      <c r="T242" s="22">
        <f t="shared" si="20"/>
        <v>1.0049999999999999</v>
      </c>
      <c r="U242" s="22">
        <f t="shared" si="20"/>
        <v>0.98499999999999988</v>
      </c>
      <c r="V242" s="22">
        <f t="shared" si="20"/>
        <v>0.96499999999999986</v>
      </c>
      <c r="W242" s="23"/>
    </row>
    <row r="243" spans="9:23">
      <c r="I243" s="5">
        <v>123</v>
      </c>
      <c r="J243" s="22">
        <f t="shared" ref="J243:V243" si="21">(J240+J245)/2</f>
        <v>1.21</v>
      </c>
      <c r="K243" s="22"/>
      <c r="L243" s="22">
        <f t="shared" si="21"/>
        <v>1.19</v>
      </c>
      <c r="M243" s="22">
        <f t="shared" si="21"/>
        <v>1.17</v>
      </c>
      <c r="N243" s="22">
        <f t="shared" si="21"/>
        <v>1.1499999999999999</v>
      </c>
      <c r="O243" s="22">
        <f t="shared" si="21"/>
        <v>1.1299999999999999</v>
      </c>
      <c r="P243" s="22">
        <f t="shared" si="21"/>
        <v>1.1099999999999999</v>
      </c>
      <c r="Q243" s="22"/>
      <c r="R243" s="22">
        <f t="shared" si="21"/>
        <v>1.0899999999999999</v>
      </c>
      <c r="S243" s="22">
        <f t="shared" si="21"/>
        <v>1.0699999999999998</v>
      </c>
      <c r="T243" s="22">
        <f t="shared" si="21"/>
        <v>1.0499999999999998</v>
      </c>
      <c r="U243" s="22">
        <f t="shared" si="21"/>
        <v>1.0299999999999998</v>
      </c>
      <c r="V243" s="22">
        <f t="shared" si="21"/>
        <v>1.0099999999999998</v>
      </c>
      <c r="W243" s="23"/>
    </row>
    <row r="244" spans="9:23">
      <c r="I244" s="5">
        <v>124</v>
      </c>
      <c r="J244" s="22">
        <f t="shared" ref="J244:V244" si="22">(J243+J245)/2</f>
        <v>1.3</v>
      </c>
      <c r="K244" s="22"/>
      <c r="L244" s="22">
        <f t="shared" si="22"/>
        <v>1.28</v>
      </c>
      <c r="M244" s="22">
        <f t="shared" si="22"/>
        <v>1.26</v>
      </c>
      <c r="N244" s="22">
        <f t="shared" si="22"/>
        <v>1.24</v>
      </c>
      <c r="O244" s="22">
        <f t="shared" si="22"/>
        <v>1.22</v>
      </c>
      <c r="P244" s="22">
        <f t="shared" si="22"/>
        <v>1.2</v>
      </c>
      <c r="Q244" s="22"/>
      <c r="R244" s="22">
        <f t="shared" si="22"/>
        <v>1.18</v>
      </c>
      <c r="S244" s="22">
        <f t="shared" si="22"/>
        <v>1.1599999999999999</v>
      </c>
      <c r="T244" s="22">
        <f t="shared" si="22"/>
        <v>1.1399999999999999</v>
      </c>
      <c r="U244" s="22">
        <f t="shared" si="22"/>
        <v>1.1199999999999999</v>
      </c>
      <c r="V244" s="22">
        <f t="shared" si="22"/>
        <v>1.0999999999999999</v>
      </c>
      <c r="W244" s="23"/>
    </row>
    <row r="245" spans="9:23">
      <c r="I245" s="5">
        <v>125</v>
      </c>
      <c r="J245" s="22">
        <f t="shared" ref="J245:V245" si="23">(J240+J250)/2</f>
        <v>1.3900000000000001</v>
      </c>
      <c r="K245" s="22"/>
      <c r="L245" s="22">
        <f t="shared" si="23"/>
        <v>1.37</v>
      </c>
      <c r="M245" s="22">
        <f t="shared" si="23"/>
        <v>1.35</v>
      </c>
      <c r="N245" s="22">
        <f t="shared" si="23"/>
        <v>1.33</v>
      </c>
      <c r="O245" s="22">
        <f t="shared" si="23"/>
        <v>1.31</v>
      </c>
      <c r="P245" s="22">
        <f t="shared" si="23"/>
        <v>1.29</v>
      </c>
      <c r="Q245" s="22"/>
      <c r="R245" s="22">
        <f t="shared" si="23"/>
        <v>1.27</v>
      </c>
      <c r="S245" s="22">
        <f t="shared" si="23"/>
        <v>1.25</v>
      </c>
      <c r="T245" s="22">
        <f t="shared" si="23"/>
        <v>1.23</v>
      </c>
      <c r="U245" s="22">
        <f t="shared" si="23"/>
        <v>1.21</v>
      </c>
      <c r="V245" s="22">
        <f t="shared" si="23"/>
        <v>1.19</v>
      </c>
      <c r="W245" s="23"/>
    </row>
    <row r="246" spans="9:23">
      <c r="I246" s="5">
        <v>126</v>
      </c>
      <c r="J246" s="22">
        <f t="shared" ref="J246:V246" si="24">(J245+J247)/2</f>
        <v>1.4575</v>
      </c>
      <c r="K246" s="22"/>
      <c r="L246" s="22">
        <f t="shared" si="24"/>
        <v>1.4375</v>
      </c>
      <c r="M246" s="22">
        <f t="shared" si="24"/>
        <v>1.4175</v>
      </c>
      <c r="N246" s="22">
        <f t="shared" si="24"/>
        <v>1.3975</v>
      </c>
      <c r="O246" s="22">
        <f t="shared" si="24"/>
        <v>1.3774999999999999</v>
      </c>
      <c r="P246" s="22">
        <f t="shared" si="24"/>
        <v>1.3574999999999999</v>
      </c>
      <c r="Q246" s="22"/>
      <c r="R246" s="22">
        <f t="shared" si="24"/>
        <v>1.3374999999999999</v>
      </c>
      <c r="S246" s="22">
        <f t="shared" si="24"/>
        <v>1.3174999999999999</v>
      </c>
      <c r="T246" s="22">
        <f t="shared" si="24"/>
        <v>1.2974999999999999</v>
      </c>
      <c r="U246" s="22">
        <f t="shared" si="24"/>
        <v>1.2774999999999999</v>
      </c>
      <c r="V246" s="22">
        <f t="shared" si="24"/>
        <v>1.2574999999999998</v>
      </c>
      <c r="W246" s="23"/>
    </row>
    <row r="247" spans="9:23">
      <c r="I247" s="5">
        <v>127</v>
      </c>
      <c r="J247" s="22">
        <f t="shared" ref="J247:V247" si="25">(J245+J249)/2</f>
        <v>1.5250000000000001</v>
      </c>
      <c r="K247" s="22"/>
      <c r="L247" s="22">
        <f t="shared" si="25"/>
        <v>1.5050000000000001</v>
      </c>
      <c r="M247" s="22">
        <f t="shared" si="25"/>
        <v>1.4850000000000001</v>
      </c>
      <c r="N247" s="22">
        <f t="shared" si="25"/>
        <v>1.4650000000000001</v>
      </c>
      <c r="O247" s="22">
        <f t="shared" si="25"/>
        <v>1.4450000000000001</v>
      </c>
      <c r="P247" s="22">
        <f t="shared" si="25"/>
        <v>1.425</v>
      </c>
      <c r="Q247" s="22"/>
      <c r="R247" s="22">
        <f t="shared" si="25"/>
        <v>1.405</v>
      </c>
      <c r="S247" s="22">
        <f t="shared" si="25"/>
        <v>1.385</v>
      </c>
      <c r="T247" s="22">
        <f t="shared" si="25"/>
        <v>1.365</v>
      </c>
      <c r="U247" s="22">
        <f t="shared" si="25"/>
        <v>1.345</v>
      </c>
      <c r="V247" s="22">
        <f t="shared" si="25"/>
        <v>1.325</v>
      </c>
      <c r="W247" s="23"/>
    </row>
    <row r="248" spans="9:23">
      <c r="I248" s="5">
        <v>128</v>
      </c>
      <c r="J248" s="22">
        <f t="shared" ref="J248:V248" si="26">(J245+J250)/2</f>
        <v>1.57</v>
      </c>
      <c r="K248" s="22"/>
      <c r="L248" s="22">
        <f t="shared" si="26"/>
        <v>1.55</v>
      </c>
      <c r="M248" s="22">
        <f t="shared" si="26"/>
        <v>1.53</v>
      </c>
      <c r="N248" s="22">
        <f t="shared" si="26"/>
        <v>1.51</v>
      </c>
      <c r="O248" s="22">
        <f t="shared" si="26"/>
        <v>1.49</v>
      </c>
      <c r="P248" s="22">
        <f t="shared" si="26"/>
        <v>1.47</v>
      </c>
      <c r="Q248" s="22"/>
      <c r="R248" s="22">
        <f t="shared" si="26"/>
        <v>1.45</v>
      </c>
      <c r="S248" s="22">
        <f t="shared" si="26"/>
        <v>1.43</v>
      </c>
      <c r="T248" s="22">
        <f t="shared" si="26"/>
        <v>1.41</v>
      </c>
      <c r="U248" s="22">
        <f t="shared" si="26"/>
        <v>1.39</v>
      </c>
      <c r="V248" s="22">
        <f t="shared" si="26"/>
        <v>1.3699999999999999</v>
      </c>
      <c r="W248" s="23"/>
    </row>
    <row r="249" spans="9:23">
      <c r="I249" s="5">
        <v>129</v>
      </c>
      <c r="J249" s="22">
        <f t="shared" ref="J249:V249" si="27">(J248+J250)/2</f>
        <v>1.6600000000000001</v>
      </c>
      <c r="K249" s="22"/>
      <c r="L249" s="22">
        <f t="shared" si="27"/>
        <v>1.6400000000000001</v>
      </c>
      <c r="M249" s="22">
        <f t="shared" si="27"/>
        <v>1.62</v>
      </c>
      <c r="N249" s="22">
        <f t="shared" si="27"/>
        <v>1.6</v>
      </c>
      <c r="O249" s="22">
        <f t="shared" si="27"/>
        <v>1.58</v>
      </c>
      <c r="P249" s="22">
        <f t="shared" si="27"/>
        <v>1.56</v>
      </c>
      <c r="Q249" s="22"/>
      <c r="R249" s="22">
        <f t="shared" si="27"/>
        <v>1.54</v>
      </c>
      <c r="S249" s="22">
        <f t="shared" si="27"/>
        <v>1.52</v>
      </c>
      <c r="T249" s="22">
        <f t="shared" si="27"/>
        <v>1.5</v>
      </c>
      <c r="U249" s="22">
        <f t="shared" si="27"/>
        <v>1.48</v>
      </c>
      <c r="V249" s="22">
        <f t="shared" si="27"/>
        <v>1.46</v>
      </c>
      <c r="W249" s="23"/>
    </row>
    <row r="250" spans="9:23">
      <c r="I250" s="5">
        <v>130</v>
      </c>
      <c r="J250" s="21">
        <v>1.75</v>
      </c>
      <c r="K250" s="21"/>
      <c r="L250" s="22">
        <f>J250-0.02</f>
        <v>1.73</v>
      </c>
      <c r="M250" s="22">
        <f t="shared" ref="M250:V250" si="28">L250-0.02</f>
        <v>1.71</v>
      </c>
      <c r="N250" s="22">
        <f t="shared" si="28"/>
        <v>1.69</v>
      </c>
      <c r="O250" s="22">
        <f t="shared" si="28"/>
        <v>1.67</v>
      </c>
      <c r="P250" s="22">
        <f t="shared" si="28"/>
        <v>1.65</v>
      </c>
      <c r="Q250" s="22"/>
      <c r="R250" s="22">
        <f>P250-0.02</f>
        <v>1.63</v>
      </c>
      <c r="S250" s="22">
        <f t="shared" si="28"/>
        <v>1.6099999999999999</v>
      </c>
      <c r="T250" s="22">
        <f t="shared" si="28"/>
        <v>1.5899999999999999</v>
      </c>
      <c r="U250" s="22">
        <f t="shared" si="28"/>
        <v>1.5699999999999998</v>
      </c>
      <c r="V250" s="22">
        <f t="shared" si="28"/>
        <v>1.5499999999999998</v>
      </c>
      <c r="W250" s="23"/>
    </row>
    <row r="251" spans="9:23">
      <c r="I251" s="5">
        <v>131</v>
      </c>
      <c r="J251" s="22">
        <f t="shared" ref="J251:V251" si="29">(J250+J253)/2</f>
        <v>1.8674999999999999</v>
      </c>
      <c r="K251" s="22"/>
      <c r="L251" s="22">
        <f t="shared" si="29"/>
        <v>1.8475000000000001</v>
      </c>
      <c r="M251" s="22">
        <f t="shared" si="29"/>
        <v>1.8274999999999999</v>
      </c>
      <c r="N251" s="22">
        <f t="shared" si="29"/>
        <v>1.8075000000000001</v>
      </c>
      <c r="O251" s="22">
        <f t="shared" si="29"/>
        <v>1.7874999999999999</v>
      </c>
      <c r="P251" s="22">
        <f t="shared" si="29"/>
        <v>1.7675000000000001</v>
      </c>
      <c r="Q251" s="22"/>
      <c r="R251" s="22">
        <f t="shared" si="29"/>
        <v>1.7474999999999998</v>
      </c>
      <c r="S251" s="22">
        <f t="shared" si="29"/>
        <v>1.7275</v>
      </c>
      <c r="T251" s="22">
        <f t="shared" si="29"/>
        <v>1.7074999999999998</v>
      </c>
      <c r="U251" s="22">
        <f t="shared" si="29"/>
        <v>1.6875</v>
      </c>
      <c r="V251" s="22">
        <f t="shared" si="29"/>
        <v>1.6674999999999998</v>
      </c>
      <c r="W251" s="23"/>
    </row>
    <row r="252" spans="9:23">
      <c r="I252" s="5">
        <v>132</v>
      </c>
      <c r="J252" s="22">
        <f t="shared" ref="J252:V252" si="30">(J251+J253)/2</f>
        <v>1.92625</v>
      </c>
      <c r="K252" s="22"/>
      <c r="L252" s="22">
        <f t="shared" si="30"/>
        <v>1.90625</v>
      </c>
      <c r="M252" s="22">
        <f t="shared" si="30"/>
        <v>1.88625</v>
      </c>
      <c r="N252" s="22">
        <f t="shared" si="30"/>
        <v>1.86625</v>
      </c>
      <c r="O252" s="22">
        <f t="shared" si="30"/>
        <v>1.8462499999999999</v>
      </c>
      <c r="P252" s="22">
        <f t="shared" si="30"/>
        <v>1.8262499999999999</v>
      </c>
      <c r="Q252" s="22"/>
      <c r="R252" s="22">
        <f t="shared" si="30"/>
        <v>1.8062499999999999</v>
      </c>
      <c r="S252" s="22">
        <f t="shared" si="30"/>
        <v>1.7862499999999999</v>
      </c>
      <c r="T252" s="22">
        <f t="shared" si="30"/>
        <v>1.7662499999999999</v>
      </c>
      <c r="U252" s="22">
        <f t="shared" si="30"/>
        <v>1.7462499999999999</v>
      </c>
      <c r="V252" s="22">
        <f t="shared" si="30"/>
        <v>1.7262499999999998</v>
      </c>
      <c r="W252" s="23"/>
    </row>
    <row r="253" spans="9:23">
      <c r="I253" s="5">
        <v>133</v>
      </c>
      <c r="J253" s="22">
        <f t="shared" ref="J253:V253" si="31">(J250+J255)/2</f>
        <v>1.9849999999999999</v>
      </c>
      <c r="K253" s="22"/>
      <c r="L253" s="22">
        <f t="shared" si="31"/>
        <v>1.9650000000000001</v>
      </c>
      <c r="M253" s="22">
        <f t="shared" si="31"/>
        <v>1.9449999999999998</v>
      </c>
      <c r="N253" s="22">
        <f t="shared" si="31"/>
        <v>1.925</v>
      </c>
      <c r="O253" s="22">
        <f t="shared" si="31"/>
        <v>1.9049999999999998</v>
      </c>
      <c r="P253" s="22">
        <f t="shared" si="31"/>
        <v>1.885</v>
      </c>
      <c r="Q253" s="22"/>
      <c r="R253" s="22">
        <f t="shared" si="31"/>
        <v>1.8649999999999998</v>
      </c>
      <c r="S253" s="22">
        <f t="shared" si="31"/>
        <v>1.845</v>
      </c>
      <c r="T253" s="22">
        <f t="shared" si="31"/>
        <v>1.8249999999999997</v>
      </c>
      <c r="U253" s="22">
        <f t="shared" si="31"/>
        <v>1.8049999999999999</v>
      </c>
      <c r="V253" s="22">
        <f t="shared" si="31"/>
        <v>1.7849999999999997</v>
      </c>
      <c r="W253" s="23"/>
    </row>
    <row r="254" spans="9:23">
      <c r="I254" s="5">
        <v>134</v>
      </c>
      <c r="J254" s="22">
        <f t="shared" ref="J254:V254" si="32">(J253+J255)/2</f>
        <v>2.1025</v>
      </c>
      <c r="K254" s="22"/>
      <c r="L254" s="22">
        <f t="shared" si="32"/>
        <v>2.0825</v>
      </c>
      <c r="M254" s="22">
        <f t="shared" si="32"/>
        <v>2.0625</v>
      </c>
      <c r="N254" s="22">
        <f t="shared" si="32"/>
        <v>2.0425</v>
      </c>
      <c r="O254" s="22">
        <f t="shared" si="32"/>
        <v>2.0225</v>
      </c>
      <c r="P254" s="22">
        <f t="shared" si="32"/>
        <v>2.0024999999999999</v>
      </c>
      <c r="Q254" s="22"/>
      <c r="R254" s="22">
        <f t="shared" si="32"/>
        <v>1.9824999999999997</v>
      </c>
      <c r="S254" s="22">
        <f t="shared" si="32"/>
        <v>1.9624999999999999</v>
      </c>
      <c r="T254" s="22">
        <f t="shared" si="32"/>
        <v>1.9424999999999997</v>
      </c>
      <c r="U254" s="22">
        <f t="shared" si="32"/>
        <v>1.9224999999999999</v>
      </c>
      <c r="V254" s="22">
        <f t="shared" si="32"/>
        <v>1.9024999999999996</v>
      </c>
      <c r="W254" s="23"/>
    </row>
    <row r="255" spans="9:23">
      <c r="I255" s="5">
        <v>135</v>
      </c>
      <c r="J255" s="22">
        <f t="shared" ref="J255:V255" si="33">(J250+J260)/2</f>
        <v>2.2199999999999998</v>
      </c>
      <c r="K255" s="22"/>
      <c r="L255" s="22">
        <f t="shared" si="33"/>
        <v>2.2000000000000002</v>
      </c>
      <c r="M255" s="22">
        <f t="shared" si="33"/>
        <v>2.1799999999999997</v>
      </c>
      <c r="N255" s="22">
        <f t="shared" si="33"/>
        <v>2.16</v>
      </c>
      <c r="O255" s="22">
        <f t="shared" si="33"/>
        <v>2.1399999999999997</v>
      </c>
      <c r="P255" s="22">
        <f t="shared" si="33"/>
        <v>2.12</v>
      </c>
      <c r="Q255" s="22"/>
      <c r="R255" s="22">
        <f t="shared" si="33"/>
        <v>2.0999999999999996</v>
      </c>
      <c r="S255" s="22">
        <f t="shared" si="33"/>
        <v>2.08</v>
      </c>
      <c r="T255" s="22">
        <f t="shared" si="33"/>
        <v>2.0599999999999996</v>
      </c>
      <c r="U255" s="22">
        <f t="shared" si="33"/>
        <v>2.04</v>
      </c>
      <c r="V255" s="22">
        <f t="shared" si="33"/>
        <v>2.0199999999999996</v>
      </c>
      <c r="W255" s="23"/>
    </row>
    <row r="256" spans="9:23">
      <c r="I256" s="5">
        <v>136</v>
      </c>
      <c r="J256" s="22">
        <f t="shared" ref="J256:V256" si="34">(J255+J257)/2</f>
        <v>2.3081249999999995</v>
      </c>
      <c r="K256" s="22"/>
      <c r="L256" s="22">
        <f t="shared" si="34"/>
        <v>2.288125</v>
      </c>
      <c r="M256" s="22">
        <f t="shared" si="34"/>
        <v>2.2681249999999995</v>
      </c>
      <c r="N256" s="22">
        <f t="shared" si="34"/>
        <v>2.2481249999999999</v>
      </c>
      <c r="O256" s="22">
        <f t="shared" si="34"/>
        <v>2.2281249999999995</v>
      </c>
      <c r="P256" s="22">
        <f t="shared" si="34"/>
        <v>2.2081249999999999</v>
      </c>
      <c r="Q256" s="22"/>
      <c r="R256" s="22">
        <f t="shared" si="34"/>
        <v>2.1881249999999994</v>
      </c>
      <c r="S256" s="22">
        <f t="shared" si="34"/>
        <v>2.1681249999999999</v>
      </c>
      <c r="T256" s="22">
        <f t="shared" si="34"/>
        <v>2.1481249999999994</v>
      </c>
      <c r="U256" s="22">
        <f t="shared" si="34"/>
        <v>2.1281249999999998</v>
      </c>
      <c r="V256" s="22">
        <f t="shared" si="34"/>
        <v>2.1081249999999994</v>
      </c>
      <c r="W256" s="23"/>
    </row>
    <row r="257" spans="9:38">
      <c r="I257" s="5">
        <v>137</v>
      </c>
      <c r="J257" s="22">
        <f t="shared" ref="J257:V257" si="35">(J255+J259)/2</f>
        <v>2.3962499999999998</v>
      </c>
      <c r="K257" s="22"/>
      <c r="L257" s="22">
        <f t="shared" si="35"/>
        <v>2.3762500000000002</v>
      </c>
      <c r="M257" s="22">
        <f t="shared" si="35"/>
        <v>2.3562499999999997</v>
      </c>
      <c r="N257" s="22">
        <f t="shared" si="35"/>
        <v>2.3362500000000002</v>
      </c>
      <c r="O257" s="22">
        <f t="shared" si="35"/>
        <v>2.3162499999999997</v>
      </c>
      <c r="P257" s="22">
        <f t="shared" si="35"/>
        <v>2.2962500000000001</v>
      </c>
      <c r="Q257" s="22"/>
      <c r="R257" s="22">
        <f t="shared" si="35"/>
        <v>2.2762499999999997</v>
      </c>
      <c r="S257" s="22">
        <f t="shared" si="35"/>
        <v>2.2562500000000001</v>
      </c>
      <c r="T257" s="22">
        <f t="shared" si="35"/>
        <v>2.2362499999999996</v>
      </c>
      <c r="U257" s="22">
        <f t="shared" si="35"/>
        <v>2.2162500000000001</v>
      </c>
      <c r="V257" s="22">
        <f t="shared" si="35"/>
        <v>2.1962499999999996</v>
      </c>
      <c r="W257" s="23"/>
    </row>
    <row r="258" spans="9:38">
      <c r="I258" s="5">
        <v>138</v>
      </c>
      <c r="J258" s="22">
        <f t="shared" ref="J258:V258" si="36">(J255+J260)/2</f>
        <v>2.4550000000000001</v>
      </c>
      <c r="K258" s="22"/>
      <c r="L258" s="22">
        <f t="shared" si="36"/>
        <v>2.4350000000000001</v>
      </c>
      <c r="M258" s="22">
        <f t="shared" si="36"/>
        <v>2.415</v>
      </c>
      <c r="N258" s="22">
        <f t="shared" si="36"/>
        <v>2.395</v>
      </c>
      <c r="O258" s="22">
        <f t="shared" si="36"/>
        <v>2.375</v>
      </c>
      <c r="P258" s="22">
        <f t="shared" si="36"/>
        <v>2.355</v>
      </c>
      <c r="Q258" s="22"/>
      <c r="R258" s="22">
        <f t="shared" si="36"/>
        <v>2.335</v>
      </c>
      <c r="S258" s="22">
        <f t="shared" si="36"/>
        <v>2.3149999999999999</v>
      </c>
      <c r="T258" s="22">
        <f t="shared" si="36"/>
        <v>2.2949999999999999</v>
      </c>
      <c r="U258" s="22">
        <f t="shared" si="36"/>
        <v>2.2749999999999999</v>
      </c>
      <c r="V258" s="22">
        <f t="shared" si="36"/>
        <v>2.2549999999999999</v>
      </c>
      <c r="W258" s="23"/>
    </row>
    <row r="259" spans="9:38">
      <c r="I259" s="5">
        <v>139</v>
      </c>
      <c r="J259" s="22">
        <f t="shared" ref="J259:V259" si="37">(J258+J260)/2</f>
        <v>2.5724999999999998</v>
      </c>
      <c r="K259" s="22"/>
      <c r="L259" s="22">
        <f t="shared" si="37"/>
        <v>2.5525000000000002</v>
      </c>
      <c r="M259" s="22">
        <f t="shared" si="37"/>
        <v>2.5324999999999998</v>
      </c>
      <c r="N259" s="22">
        <f t="shared" si="37"/>
        <v>2.5125000000000002</v>
      </c>
      <c r="O259" s="22">
        <f t="shared" si="37"/>
        <v>2.4924999999999997</v>
      </c>
      <c r="P259" s="22">
        <f t="shared" si="37"/>
        <v>2.4725000000000001</v>
      </c>
      <c r="Q259" s="22"/>
      <c r="R259" s="22">
        <f t="shared" si="37"/>
        <v>2.4524999999999997</v>
      </c>
      <c r="S259" s="22">
        <f t="shared" si="37"/>
        <v>2.4325000000000001</v>
      </c>
      <c r="T259" s="22">
        <f t="shared" si="37"/>
        <v>2.4124999999999996</v>
      </c>
      <c r="U259" s="22">
        <f t="shared" si="37"/>
        <v>2.3925000000000001</v>
      </c>
      <c r="V259" s="22">
        <f t="shared" si="37"/>
        <v>2.3724999999999996</v>
      </c>
      <c r="W259" s="23"/>
    </row>
    <row r="260" spans="9:38">
      <c r="I260" s="5">
        <v>140</v>
      </c>
      <c r="J260" s="21">
        <v>2.69</v>
      </c>
      <c r="K260" s="21"/>
      <c r="L260" s="22">
        <f>J260-0.02</f>
        <v>2.67</v>
      </c>
      <c r="M260" s="22">
        <f t="shared" ref="M260:V260" si="38">L260-0.02</f>
        <v>2.65</v>
      </c>
      <c r="N260" s="22">
        <f t="shared" si="38"/>
        <v>2.63</v>
      </c>
      <c r="O260" s="22">
        <f t="shared" si="38"/>
        <v>2.61</v>
      </c>
      <c r="P260" s="22">
        <f t="shared" si="38"/>
        <v>2.59</v>
      </c>
      <c r="Q260" s="22"/>
      <c r="R260" s="22">
        <f>P260-0.02</f>
        <v>2.57</v>
      </c>
      <c r="S260" s="22">
        <f t="shared" si="38"/>
        <v>2.5499999999999998</v>
      </c>
      <c r="T260" s="22">
        <f t="shared" si="38"/>
        <v>2.5299999999999998</v>
      </c>
      <c r="U260" s="22">
        <f t="shared" si="38"/>
        <v>2.5099999999999998</v>
      </c>
      <c r="V260" s="22">
        <f t="shared" si="38"/>
        <v>2.4899999999999998</v>
      </c>
      <c r="W260" s="23"/>
    </row>
    <row r="261" spans="9:38">
      <c r="I261" s="5">
        <v>141</v>
      </c>
      <c r="J261" s="22">
        <f t="shared" ref="J261:V261" si="39">(J260+J263)/2</f>
        <v>2.835</v>
      </c>
      <c r="K261" s="22"/>
      <c r="L261" s="22">
        <f t="shared" si="39"/>
        <v>2.8149999999999999</v>
      </c>
      <c r="M261" s="22">
        <f t="shared" si="39"/>
        <v>2.7949999999999999</v>
      </c>
      <c r="N261" s="22">
        <f t="shared" si="39"/>
        <v>2.7749999999999999</v>
      </c>
      <c r="O261" s="22">
        <f t="shared" si="39"/>
        <v>2.7549999999999999</v>
      </c>
      <c r="P261" s="22">
        <f t="shared" si="39"/>
        <v>2.7349999999999999</v>
      </c>
      <c r="Q261" s="22"/>
      <c r="R261" s="22">
        <f t="shared" si="39"/>
        <v>2.7149999999999999</v>
      </c>
      <c r="S261" s="22">
        <f t="shared" si="39"/>
        <v>2.6949999999999998</v>
      </c>
      <c r="T261" s="22">
        <f t="shared" si="39"/>
        <v>2.6749999999999998</v>
      </c>
      <c r="U261" s="22">
        <f t="shared" si="39"/>
        <v>2.6549999999999998</v>
      </c>
      <c r="V261" s="22">
        <f t="shared" si="39"/>
        <v>2.6349999999999998</v>
      </c>
      <c r="W261" s="23"/>
    </row>
    <row r="262" spans="9:38">
      <c r="I262" s="5">
        <v>142</v>
      </c>
      <c r="J262" s="22">
        <f t="shared" ref="J262:V262" si="40">(J261+J263)/2</f>
        <v>2.9074999999999998</v>
      </c>
      <c r="K262" s="22"/>
      <c r="L262" s="22">
        <f t="shared" si="40"/>
        <v>2.8875000000000002</v>
      </c>
      <c r="M262" s="22">
        <f t="shared" si="40"/>
        <v>2.8674999999999997</v>
      </c>
      <c r="N262" s="22">
        <f t="shared" si="40"/>
        <v>2.8475000000000001</v>
      </c>
      <c r="O262" s="22">
        <f t="shared" si="40"/>
        <v>2.8274999999999997</v>
      </c>
      <c r="P262" s="22">
        <f t="shared" si="40"/>
        <v>2.8075000000000001</v>
      </c>
      <c r="Q262" s="22"/>
      <c r="R262" s="22">
        <f t="shared" si="40"/>
        <v>2.7874999999999996</v>
      </c>
      <c r="S262" s="22">
        <f t="shared" si="40"/>
        <v>2.7675000000000001</v>
      </c>
      <c r="T262" s="22">
        <f t="shared" si="40"/>
        <v>2.7474999999999996</v>
      </c>
      <c r="U262" s="22">
        <f t="shared" si="40"/>
        <v>2.7275</v>
      </c>
      <c r="V262" s="22">
        <f t="shared" si="40"/>
        <v>2.7074999999999996</v>
      </c>
      <c r="W262" s="23"/>
    </row>
    <row r="263" spans="9:38">
      <c r="I263" s="5">
        <v>143</v>
      </c>
      <c r="J263" s="22">
        <f t="shared" ref="J263:V263" si="41">(J260+J265)/2</f>
        <v>2.98</v>
      </c>
      <c r="K263" s="22"/>
      <c r="L263" s="22">
        <f t="shared" si="41"/>
        <v>2.96</v>
      </c>
      <c r="M263" s="22">
        <f t="shared" si="41"/>
        <v>2.94</v>
      </c>
      <c r="N263" s="22">
        <f t="shared" si="41"/>
        <v>2.92</v>
      </c>
      <c r="O263" s="22">
        <f t="shared" si="41"/>
        <v>2.9</v>
      </c>
      <c r="P263" s="22">
        <f t="shared" si="41"/>
        <v>2.88</v>
      </c>
      <c r="Q263" s="22"/>
      <c r="R263" s="22">
        <f t="shared" si="41"/>
        <v>2.86</v>
      </c>
      <c r="S263" s="22">
        <f t="shared" si="41"/>
        <v>2.84</v>
      </c>
      <c r="T263" s="22">
        <f t="shared" si="41"/>
        <v>2.82</v>
      </c>
      <c r="U263" s="22">
        <f t="shared" si="41"/>
        <v>2.8</v>
      </c>
      <c r="V263" s="22">
        <f t="shared" si="41"/>
        <v>2.78</v>
      </c>
      <c r="W263" s="23"/>
    </row>
    <row r="264" spans="9:38">
      <c r="I264" s="5">
        <v>144</v>
      </c>
      <c r="J264" s="22">
        <f t="shared" ref="J264:V264" si="42">(J263+J265)/2</f>
        <v>3.125</v>
      </c>
      <c r="K264" s="22"/>
      <c r="L264" s="22">
        <f t="shared" si="42"/>
        <v>3.105</v>
      </c>
      <c r="M264" s="22">
        <f t="shared" si="42"/>
        <v>3.085</v>
      </c>
      <c r="N264" s="22">
        <f t="shared" si="42"/>
        <v>3.0649999999999999</v>
      </c>
      <c r="O264" s="22">
        <f t="shared" si="42"/>
        <v>3.0449999999999999</v>
      </c>
      <c r="P264" s="22">
        <f t="shared" si="42"/>
        <v>3.0249999999999999</v>
      </c>
      <c r="Q264" s="22"/>
      <c r="R264" s="22">
        <f t="shared" si="42"/>
        <v>3.0049999999999999</v>
      </c>
      <c r="S264" s="22">
        <f t="shared" si="42"/>
        <v>2.9849999999999999</v>
      </c>
      <c r="T264" s="22">
        <f t="shared" si="42"/>
        <v>2.9649999999999999</v>
      </c>
      <c r="U264" s="22">
        <f t="shared" si="42"/>
        <v>2.9449999999999998</v>
      </c>
      <c r="V264" s="22">
        <f t="shared" si="42"/>
        <v>2.9249999999999998</v>
      </c>
      <c r="W264" s="23"/>
    </row>
    <row r="265" spans="9:38">
      <c r="I265" s="5">
        <v>145</v>
      </c>
      <c r="J265" s="22">
        <f t="shared" ref="J265:V265" si="43">(J260+J270)/2</f>
        <v>3.27</v>
      </c>
      <c r="K265" s="22"/>
      <c r="L265" s="22">
        <f t="shared" si="43"/>
        <v>3.25</v>
      </c>
      <c r="M265" s="22">
        <f t="shared" si="43"/>
        <v>3.23</v>
      </c>
      <c r="N265" s="22">
        <f t="shared" si="43"/>
        <v>3.21</v>
      </c>
      <c r="O265" s="22">
        <f t="shared" si="43"/>
        <v>3.19</v>
      </c>
      <c r="P265" s="22">
        <f t="shared" si="43"/>
        <v>3.17</v>
      </c>
      <c r="Q265" s="22"/>
      <c r="R265" s="22">
        <f t="shared" si="43"/>
        <v>3.15</v>
      </c>
      <c r="S265" s="22">
        <f t="shared" si="43"/>
        <v>3.13</v>
      </c>
      <c r="T265" s="22">
        <f t="shared" si="43"/>
        <v>3.11</v>
      </c>
      <c r="U265" s="22">
        <f t="shared" si="43"/>
        <v>3.09</v>
      </c>
      <c r="V265" s="22">
        <f t="shared" si="43"/>
        <v>3.07</v>
      </c>
      <c r="W265" s="23"/>
    </row>
    <row r="266" spans="9:38">
      <c r="I266" s="5">
        <v>146</v>
      </c>
      <c r="J266" s="22">
        <f t="shared" ref="J266:V266" si="44">(J265+J267)/2</f>
        <v>3.3787500000000001</v>
      </c>
      <c r="K266" s="22"/>
      <c r="L266" s="22">
        <f t="shared" si="44"/>
        <v>3.3587500000000001</v>
      </c>
      <c r="M266" s="22">
        <f t="shared" si="44"/>
        <v>3.3387500000000001</v>
      </c>
      <c r="N266" s="22">
        <f t="shared" si="44"/>
        <v>3.3187500000000001</v>
      </c>
      <c r="O266" s="22">
        <f t="shared" si="44"/>
        <v>3.2987500000000001</v>
      </c>
      <c r="P266" s="22">
        <f t="shared" si="44"/>
        <v>3.2787500000000001</v>
      </c>
      <c r="Q266" s="22"/>
      <c r="R266" s="22">
        <f t="shared" si="44"/>
        <v>3.25875</v>
      </c>
      <c r="S266" s="22">
        <f t="shared" si="44"/>
        <v>3.23875</v>
      </c>
      <c r="T266" s="22">
        <f t="shared" si="44"/>
        <v>3.21875</v>
      </c>
      <c r="U266" s="22">
        <f t="shared" si="44"/>
        <v>3.19875</v>
      </c>
      <c r="V266" s="22">
        <f t="shared" si="44"/>
        <v>3.17875</v>
      </c>
      <c r="W266" s="23"/>
    </row>
    <row r="267" spans="9:38">
      <c r="I267" s="5">
        <v>147</v>
      </c>
      <c r="J267" s="22">
        <f t="shared" ref="J267:V267" si="45">(J265+J269)/2</f>
        <v>3.4874999999999998</v>
      </c>
      <c r="K267" s="22"/>
      <c r="L267" s="22">
        <f t="shared" si="45"/>
        <v>3.4675000000000002</v>
      </c>
      <c r="M267" s="22">
        <f t="shared" si="45"/>
        <v>3.4474999999999998</v>
      </c>
      <c r="N267" s="22">
        <f t="shared" si="45"/>
        <v>3.4275000000000002</v>
      </c>
      <c r="O267" s="22">
        <f t="shared" si="45"/>
        <v>3.4074999999999998</v>
      </c>
      <c r="P267" s="22">
        <f t="shared" si="45"/>
        <v>3.3875000000000002</v>
      </c>
      <c r="Q267" s="22"/>
      <c r="R267" s="22">
        <f t="shared" si="45"/>
        <v>3.3674999999999997</v>
      </c>
      <c r="S267" s="22">
        <f t="shared" si="45"/>
        <v>3.3475000000000001</v>
      </c>
      <c r="T267" s="22">
        <f t="shared" si="45"/>
        <v>3.3274999999999997</v>
      </c>
      <c r="U267" s="22">
        <f t="shared" si="45"/>
        <v>3.3075000000000001</v>
      </c>
      <c r="V267" s="22">
        <f t="shared" si="45"/>
        <v>3.2874999999999996</v>
      </c>
      <c r="W267" s="23"/>
    </row>
    <row r="268" spans="9:38">
      <c r="I268" s="5">
        <v>148</v>
      </c>
      <c r="J268" s="22">
        <f t="shared" ref="J268:V268" si="46">(J265+J270)/2</f>
        <v>3.56</v>
      </c>
      <c r="K268" s="22"/>
      <c r="L268" s="22">
        <f t="shared" si="46"/>
        <v>3.54</v>
      </c>
      <c r="M268" s="22">
        <f t="shared" si="46"/>
        <v>3.52</v>
      </c>
      <c r="N268" s="22">
        <f t="shared" si="46"/>
        <v>3.5</v>
      </c>
      <c r="O268" s="22">
        <f t="shared" si="46"/>
        <v>3.48</v>
      </c>
      <c r="P268" s="22">
        <f t="shared" si="46"/>
        <v>3.46</v>
      </c>
      <c r="Q268" s="22"/>
      <c r="R268" s="22">
        <f t="shared" si="46"/>
        <v>3.44</v>
      </c>
      <c r="S268" s="22">
        <f t="shared" si="46"/>
        <v>3.42</v>
      </c>
      <c r="T268" s="22">
        <f t="shared" si="46"/>
        <v>3.4</v>
      </c>
      <c r="U268" s="22">
        <f t="shared" si="46"/>
        <v>3.38</v>
      </c>
      <c r="V268" s="22">
        <f t="shared" si="46"/>
        <v>3.36</v>
      </c>
      <c r="W268" s="23"/>
    </row>
    <row r="269" spans="9:38">
      <c r="I269" s="5">
        <v>149</v>
      </c>
      <c r="J269" s="22">
        <f t="shared" ref="J269:V269" si="47">(J268+J270)/2</f>
        <v>3.7050000000000001</v>
      </c>
      <c r="K269" s="22"/>
      <c r="L269" s="22">
        <f t="shared" si="47"/>
        <v>3.6850000000000001</v>
      </c>
      <c r="M269" s="22">
        <f t="shared" si="47"/>
        <v>3.665</v>
      </c>
      <c r="N269" s="22">
        <f t="shared" si="47"/>
        <v>3.645</v>
      </c>
      <c r="O269" s="22">
        <f t="shared" si="47"/>
        <v>3.625</v>
      </c>
      <c r="P269" s="22">
        <f t="shared" si="47"/>
        <v>3.605</v>
      </c>
      <c r="Q269" s="22"/>
      <c r="R269" s="22">
        <f t="shared" si="47"/>
        <v>3.585</v>
      </c>
      <c r="S269" s="22">
        <f t="shared" si="47"/>
        <v>3.5649999999999999</v>
      </c>
      <c r="T269" s="22">
        <f t="shared" si="47"/>
        <v>3.5449999999999999</v>
      </c>
      <c r="U269" s="22">
        <f t="shared" si="47"/>
        <v>3.5249999999999999</v>
      </c>
      <c r="V269" s="22">
        <f t="shared" si="47"/>
        <v>3.5049999999999999</v>
      </c>
      <c r="W269" s="23"/>
    </row>
    <row r="270" spans="9:38">
      <c r="I270" s="5">
        <v>150</v>
      </c>
      <c r="J270" s="21">
        <v>3.85</v>
      </c>
      <c r="K270" s="21"/>
      <c r="L270" s="22">
        <f>J270-0.02</f>
        <v>3.83</v>
      </c>
      <c r="M270" s="22">
        <f t="shared" ref="M270:V270" si="48">L270-0.02</f>
        <v>3.81</v>
      </c>
      <c r="N270" s="22">
        <f t="shared" si="48"/>
        <v>3.79</v>
      </c>
      <c r="O270" s="22">
        <f t="shared" si="48"/>
        <v>3.77</v>
      </c>
      <c r="P270" s="22">
        <f t="shared" si="48"/>
        <v>3.75</v>
      </c>
      <c r="Q270" s="22"/>
      <c r="R270" s="22">
        <f>P270-0.02</f>
        <v>3.73</v>
      </c>
      <c r="S270" s="22">
        <f t="shared" si="48"/>
        <v>3.71</v>
      </c>
      <c r="T270" s="22">
        <f t="shared" si="48"/>
        <v>3.69</v>
      </c>
      <c r="U270" s="22">
        <f>T270-0.02</f>
        <v>3.67</v>
      </c>
      <c r="V270" s="22">
        <f t="shared" si="48"/>
        <v>3.65</v>
      </c>
      <c r="W270" s="23"/>
    </row>
    <row r="271" spans="9:38">
      <c r="Y271" s="16"/>
      <c r="Z271" s="16"/>
      <c r="AA271" s="17"/>
      <c r="AB271" s="17"/>
      <c r="AC271" s="17"/>
      <c r="AD271" s="17"/>
      <c r="AE271" s="17"/>
      <c r="AF271" s="17"/>
      <c r="AG271" s="17"/>
      <c r="AH271" s="17"/>
      <c r="AI271" s="17"/>
      <c r="AJ271" s="17"/>
      <c r="AK271" s="17"/>
      <c r="AL271" s="17"/>
    </row>
    <row r="272" spans="9:38">
      <c r="Y272" s="16"/>
      <c r="Z272" s="16"/>
      <c r="AA272" s="496"/>
      <c r="AB272" s="496"/>
      <c r="AC272" s="496"/>
      <c r="AD272" s="496"/>
      <c r="AE272" s="496"/>
      <c r="AF272" s="496"/>
      <c r="AG272" s="20"/>
      <c r="AH272" s="20"/>
      <c r="AI272" s="20"/>
      <c r="AJ272" s="20"/>
      <c r="AK272" s="20"/>
      <c r="AL272" s="20"/>
    </row>
    <row r="274" spans="9:23">
      <c r="J274" s="497" t="s">
        <v>31</v>
      </c>
      <c r="K274" s="497"/>
      <c r="L274" s="497"/>
      <c r="M274" s="497"/>
      <c r="N274" s="497"/>
      <c r="O274" s="497"/>
      <c r="P274" s="497"/>
      <c r="Q274" s="497"/>
      <c r="R274" s="497"/>
      <c r="S274" s="497"/>
      <c r="T274" s="497"/>
      <c r="U274" s="497"/>
      <c r="V274" s="497"/>
    </row>
    <row r="275" spans="9:23">
      <c r="I275" s="3" t="s">
        <v>360</v>
      </c>
      <c r="J275" s="4">
        <v>0</v>
      </c>
      <c r="K275" s="4"/>
      <c r="L275" s="4">
        <v>5</v>
      </c>
      <c r="M275" s="4">
        <v>10</v>
      </c>
      <c r="N275" s="4">
        <v>15</v>
      </c>
      <c r="O275" s="4">
        <v>20</v>
      </c>
      <c r="P275" s="4">
        <v>25</v>
      </c>
      <c r="Q275" s="4"/>
      <c r="R275" s="4">
        <v>30</v>
      </c>
      <c r="S275" s="4">
        <v>35</v>
      </c>
      <c r="T275" s="4">
        <v>40</v>
      </c>
      <c r="U275" s="4">
        <v>45</v>
      </c>
      <c r="V275" s="4">
        <v>50</v>
      </c>
    </row>
    <row r="276" spans="9:23">
      <c r="I276" s="8">
        <v>-34</v>
      </c>
      <c r="J276" s="105">
        <v>1.23E-2</v>
      </c>
      <c r="K276" s="105"/>
      <c r="L276" s="14"/>
      <c r="M276" s="11"/>
      <c r="N276" s="14"/>
      <c r="O276" s="11"/>
      <c r="P276" s="14"/>
      <c r="Q276" s="14"/>
      <c r="R276" s="11"/>
      <c r="S276" s="14"/>
      <c r="T276" s="11"/>
      <c r="U276" s="14"/>
      <c r="V276" s="11"/>
      <c r="W276" s="8">
        <f t="shared" ref="W276:W336" si="49">I276</f>
        <v>-34</v>
      </c>
    </row>
    <row r="277" spans="9:23">
      <c r="I277" s="8">
        <v>-33</v>
      </c>
      <c r="J277" s="105">
        <f>(J276+J279)/2</f>
        <v>1.1724999999999999E-2</v>
      </c>
      <c r="K277" s="105"/>
      <c r="L277" s="14"/>
      <c r="M277" s="11"/>
      <c r="N277" s="14"/>
      <c r="O277" s="11"/>
      <c r="P277" s="14"/>
      <c r="Q277" s="14"/>
      <c r="R277" s="11"/>
      <c r="S277" s="14"/>
      <c r="T277" s="11"/>
      <c r="U277" s="14"/>
      <c r="V277" s="11"/>
      <c r="W277" s="8">
        <f t="shared" si="49"/>
        <v>-33</v>
      </c>
    </row>
    <row r="278" spans="9:23">
      <c r="I278" s="8">
        <v>-32</v>
      </c>
      <c r="J278" s="105">
        <f>(J277+J279)/2</f>
        <v>1.14375E-2</v>
      </c>
      <c r="K278" s="105"/>
      <c r="L278" s="14"/>
      <c r="M278" s="11"/>
      <c r="N278" s="14"/>
      <c r="O278" s="11"/>
      <c r="P278" s="14"/>
      <c r="Q278" s="14"/>
      <c r="R278" s="11"/>
      <c r="S278" s="14"/>
      <c r="T278" s="11"/>
      <c r="U278" s="14"/>
      <c r="V278" s="11"/>
      <c r="W278" s="8">
        <f t="shared" si="49"/>
        <v>-32</v>
      </c>
    </row>
    <row r="279" spans="9:23">
      <c r="I279" s="8">
        <v>-31</v>
      </c>
      <c r="J279" s="105">
        <f>(J276+J282)/2</f>
        <v>1.115E-2</v>
      </c>
      <c r="K279" s="105"/>
      <c r="L279" s="14"/>
      <c r="M279" s="11"/>
      <c r="N279" s="14"/>
      <c r="O279" s="11"/>
      <c r="P279" s="14"/>
      <c r="Q279" s="14"/>
      <c r="R279" s="11"/>
      <c r="S279" s="14"/>
      <c r="T279" s="11"/>
      <c r="U279" s="14"/>
      <c r="V279" s="11"/>
      <c r="W279" s="8">
        <f t="shared" si="49"/>
        <v>-31</v>
      </c>
    </row>
    <row r="280" spans="9:23">
      <c r="I280" s="8">
        <v>-30</v>
      </c>
      <c r="J280" s="105">
        <f>(J279+J282)/2</f>
        <v>1.0575000000000001E-2</v>
      </c>
      <c r="K280" s="105"/>
      <c r="L280" s="14"/>
      <c r="M280" s="11"/>
      <c r="N280" s="14"/>
      <c r="O280" s="11"/>
      <c r="P280" s="14"/>
      <c r="Q280" s="14"/>
      <c r="R280" s="11"/>
      <c r="S280" s="14"/>
      <c r="T280" s="11"/>
      <c r="U280" s="14"/>
      <c r="V280" s="11"/>
      <c r="W280" s="8">
        <f t="shared" si="49"/>
        <v>-30</v>
      </c>
    </row>
    <row r="281" spans="9:23">
      <c r="I281" s="8">
        <v>-29</v>
      </c>
      <c r="J281" s="105">
        <f>(J280+J282)/2</f>
        <v>1.0287500000000002E-2</v>
      </c>
      <c r="K281" s="105"/>
      <c r="L281" s="14"/>
      <c r="M281" s="11"/>
      <c r="N281" s="14"/>
      <c r="O281" s="11"/>
      <c r="P281" s="14"/>
      <c r="Q281" s="14"/>
      <c r="R281" s="11"/>
      <c r="S281" s="14"/>
      <c r="T281" s="11"/>
      <c r="U281" s="14"/>
      <c r="V281" s="11"/>
      <c r="W281" s="8">
        <f t="shared" si="49"/>
        <v>-29</v>
      </c>
    </row>
    <row r="282" spans="9:23">
      <c r="I282" s="8">
        <v>-28</v>
      </c>
      <c r="J282" s="105">
        <v>0.01</v>
      </c>
      <c r="K282" s="105"/>
      <c r="L282" s="14"/>
      <c r="M282" s="11"/>
      <c r="N282" s="14"/>
      <c r="O282" s="11"/>
      <c r="P282" s="14"/>
      <c r="Q282" s="14"/>
      <c r="R282" s="11"/>
      <c r="S282" s="14"/>
      <c r="T282" s="11"/>
      <c r="U282" s="14"/>
      <c r="V282" s="11"/>
      <c r="W282" s="8">
        <f t="shared" si="49"/>
        <v>-28</v>
      </c>
    </row>
    <row r="283" spans="9:23">
      <c r="I283" s="8">
        <v>-27</v>
      </c>
      <c r="J283" s="105">
        <f>(J282+J284)/2</f>
        <v>9.5000000000000015E-3</v>
      </c>
      <c r="K283" s="105"/>
      <c r="L283" s="14"/>
      <c r="M283" s="11"/>
      <c r="N283" s="14"/>
      <c r="O283" s="11"/>
      <c r="P283" s="14"/>
      <c r="Q283" s="14"/>
      <c r="R283" s="11"/>
      <c r="S283" s="14"/>
      <c r="T283" s="11"/>
      <c r="U283" s="14"/>
      <c r="V283" s="11"/>
      <c r="W283" s="8">
        <f t="shared" si="49"/>
        <v>-27</v>
      </c>
    </row>
    <row r="284" spans="9:23">
      <c r="I284" s="8">
        <v>-26</v>
      </c>
      <c r="J284" s="105">
        <f>(J282+J286)/2</f>
        <v>9.0000000000000011E-3</v>
      </c>
      <c r="K284" s="105"/>
      <c r="L284" s="14"/>
      <c r="M284" s="11"/>
      <c r="N284" s="14"/>
      <c r="O284" s="11"/>
      <c r="P284" s="14"/>
      <c r="Q284" s="14"/>
      <c r="R284" s="11"/>
      <c r="S284" s="14"/>
      <c r="T284" s="11"/>
      <c r="U284" s="14"/>
      <c r="V284" s="11"/>
      <c r="W284" s="8">
        <f t="shared" si="49"/>
        <v>-26</v>
      </c>
    </row>
    <row r="285" spans="9:23">
      <c r="I285" s="8">
        <v>-25</v>
      </c>
      <c r="J285" s="105">
        <f>(J284+J286)/2</f>
        <v>8.5000000000000006E-3</v>
      </c>
      <c r="K285" s="105"/>
      <c r="L285" s="14"/>
      <c r="M285" s="11"/>
      <c r="N285" s="14"/>
      <c r="O285" s="11"/>
      <c r="P285" s="14"/>
      <c r="Q285" s="14"/>
      <c r="R285" s="11"/>
      <c r="S285" s="14"/>
      <c r="T285" s="11"/>
      <c r="U285" s="14"/>
      <c r="V285" s="11"/>
      <c r="W285" s="8">
        <f t="shared" si="49"/>
        <v>-25</v>
      </c>
    </row>
    <row r="286" spans="9:23">
      <c r="I286" s="8">
        <v>-24</v>
      </c>
      <c r="J286" s="105">
        <v>8.0000000000000002E-3</v>
      </c>
      <c r="K286" s="105"/>
      <c r="L286" s="14"/>
      <c r="M286" s="11"/>
      <c r="N286" s="14"/>
      <c r="O286" s="11"/>
      <c r="P286" s="14"/>
      <c r="Q286" s="14"/>
      <c r="R286" s="11"/>
      <c r="S286" s="14"/>
      <c r="T286" s="11"/>
      <c r="U286" s="14"/>
      <c r="V286" s="11"/>
      <c r="W286" s="8">
        <f t="shared" si="49"/>
        <v>-24</v>
      </c>
    </row>
    <row r="287" spans="9:23">
      <c r="I287" s="8">
        <v>-23</v>
      </c>
      <c r="J287" s="105">
        <f>(J286+J288)/2</f>
        <v>7.4999999999999997E-3</v>
      </c>
      <c r="K287" s="105"/>
      <c r="L287" s="14"/>
      <c r="M287" s="11"/>
      <c r="N287" s="14"/>
      <c r="O287" s="11"/>
      <c r="P287" s="14"/>
      <c r="Q287" s="14"/>
      <c r="R287" s="11"/>
      <c r="S287" s="14"/>
      <c r="T287" s="11"/>
      <c r="U287" s="14"/>
      <c r="V287" s="11"/>
      <c r="W287" s="8">
        <f t="shared" si="49"/>
        <v>-23</v>
      </c>
    </row>
    <row r="288" spans="9:23">
      <c r="I288" s="8">
        <v>-22</v>
      </c>
      <c r="J288" s="105">
        <f>(J286+J290)/2</f>
        <v>7.0000000000000001E-3</v>
      </c>
      <c r="K288" s="105"/>
      <c r="L288" s="14"/>
      <c r="M288" s="11"/>
      <c r="N288" s="14"/>
      <c r="O288" s="11"/>
      <c r="P288" s="14"/>
      <c r="Q288" s="14"/>
      <c r="R288" s="11"/>
      <c r="S288" s="14"/>
      <c r="T288" s="11"/>
      <c r="U288" s="14"/>
      <c r="V288" s="11"/>
      <c r="W288" s="8">
        <f t="shared" si="49"/>
        <v>-22</v>
      </c>
    </row>
    <row r="289" spans="9:23">
      <c r="I289" s="8">
        <v>-21</v>
      </c>
      <c r="J289" s="105">
        <f>(J288+J290)/2</f>
        <v>6.5000000000000006E-3</v>
      </c>
      <c r="K289" s="105"/>
      <c r="L289" s="14"/>
      <c r="M289" s="11"/>
      <c r="N289" s="14"/>
      <c r="O289" s="11"/>
      <c r="P289" s="14"/>
      <c r="Q289" s="14"/>
      <c r="R289" s="11"/>
      <c r="S289" s="14"/>
      <c r="T289" s="11"/>
      <c r="U289" s="14"/>
      <c r="V289" s="11"/>
      <c r="W289" s="8">
        <f t="shared" si="49"/>
        <v>-21</v>
      </c>
    </row>
    <row r="290" spans="9:23">
      <c r="I290" s="8">
        <v>-20</v>
      </c>
      <c r="J290" s="105">
        <f>(J286+J294)/2</f>
        <v>6.0000000000000001E-3</v>
      </c>
      <c r="K290" s="105"/>
      <c r="L290" s="14"/>
      <c r="M290" s="11"/>
      <c r="N290" s="14"/>
      <c r="O290" s="11"/>
      <c r="P290" s="14"/>
      <c r="Q290" s="14"/>
      <c r="R290" s="11"/>
      <c r="S290" s="14"/>
      <c r="T290" s="11"/>
      <c r="U290" s="14"/>
      <c r="V290" s="11"/>
      <c r="W290" s="8">
        <f t="shared" si="49"/>
        <v>-20</v>
      </c>
    </row>
    <row r="291" spans="9:23">
      <c r="I291" s="8">
        <v>-19</v>
      </c>
      <c r="J291" s="105">
        <f>(J290+J292)/2</f>
        <v>5.4999999999999997E-3</v>
      </c>
      <c r="K291" s="105"/>
      <c r="L291" s="14"/>
      <c r="M291" s="11"/>
      <c r="N291" s="14"/>
      <c r="O291" s="11"/>
      <c r="P291" s="14"/>
      <c r="Q291" s="14"/>
      <c r="R291" s="11"/>
      <c r="S291" s="14"/>
      <c r="T291" s="11"/>
      <c r="U291" s="14"/>
      <c r="V291" s="11"/>
      <c r="W291" s="8">
        <f t="shared" si="49"/>
        <v>-19</v>
      </c>
    </row>
    <row r="292" spans="9:23">
      <c r="I292" s="8">
        <v>-18</v>
      </c>
      <c r="J292" s="105">
        <f>(J290+J294)/2</f>
        <v>5.0000000000000001E-3</v>
      </c>
      <c r="K292" s="105"/>
      <c r="L292" s="14"/>
      <c r="M292" s="11"/>
      <c r="N292" s="14"/>
      <c r="O292" s="11"/>
      <c r="P292" s="14"/>
      <c r="Q292" s="14"/>
      <c r="R292" s="11"/>
      <c r="S292" s="14"/>
      <c r="T292" s="11"/>
      <c r="U292" s="14"/>
      <c r="V292" s="11"/>
      <c r="W292" s="8">
        <f t="shared" si="49"/>
        <v>-18</v>
      </c>
    </row>
    <row r="293" spans="9:23">
      <c r="I293" s="8">
        <v>-17</v>
      </c>
      <c r="J293" s="105">
        <f>(J292+J294)/2</f>
        <v>4.5000000000000005E-3</v>
      </c>
      <c r="K293" s="105"/>
      <c r="L293" s="14"/>
      <c r="M293" s="11"/>
      <c r="N293" s="14"/>
      <c r="O293" s="11"/>
      <c r="P293" s="14"/>
      <c r="Q293" s="14"/>
      <c r="R293" s="11"/>
      <c r="S293" s="14"/>
      <c r="T293" s="11"/>
      <c r="U293" s="14"/>
      <c r="V293" s="11"/>
      <c r="W293" s="8">
        <f t="shared" si="49"/>
        <v>-17</v>
      </c>
    </row>
    <row r="294" spans="9:23">
      <c r="I294" s="8">
        <v>-16</v>
      </c>
      <c r="J294" s="105">
        <v>4.0000000000000001E-3</v>
      </c>
      <c r="K294" s="105"/>
      <c r="L294" s="14"/>
      <c r="M294" s="11"/>
      <c r="N294" s="14"/>
      <c r="O294" s="11"/>
      <c r="P294" s="14"/>
      <c r="Q294" s="14"/>
      <c r="R294" s="11"/>
      <c r="S294" s="14"/>
      <c r="T294" s="11"/>
      <c r="U294" s="14"/>
      <c r="V294" s="11"/>
      <c r="W294" s="8">
        <f t="shared" si="49"/>
        <v>-16</v>
      </c>
    </row>
    <row r="295" spans="9:23">
      <c r="I295" s="8">
        <v>-15</v>
      </c>
      <c r="J295" s="105">
        <f>(J294+J297)/2</f>
        <v>3.2500000000000003E-3</v>
      </c>
      <c r="K295" s="105"/>
      <c r="L295" s="14"/>
      <c r="M295" s="11"/>
      <c r="N295" s="14"/>
      <c r="O295" s="11"/>
      <c r="P295" s="14"/>
      <c r="Q295" s="14"/>
      <c r="R295" s="11"/>
      <c r="S295" s="14"/>
      <c r="T295" s="11"/>
      <c r="U295" s="14"/>
      <c r="V295" s="11"/>
      <c r="W295" s="8">
        <f t="shared" si="49"/>
        <v>-15</v>
      </c>
    </row>
    <row r="296" spans="9:23">
      <c r="I296" s="8">
        <v>-14</v>
      </c>
      <c r="J296" s="105">
        <f>(J295+J297)/2</f>
        <v>2.875E-3</v>
      </c>
      <c r="K296" s="105"/>
      <c r="L296" s="14"/>
      <c r="M296" s="11"/>
      <c r="N296" s="14"/>
      <c r="O296" s="11"/>
      <c r="P296" s="14"/>
      <c r="Q296" s="14"/>
      <c r="R296" s="11"/>
      <c r="S296" s="14"/>
      <c r="T296" s="11"/>
      <c r="U296" s="14"/>
      <c r="V296" s="11"/>
      <c r="W296" s="8">
        <f t="shared" si="49"/>
        <v>-14</v>
      </c>
    </row>
    <row r="297" spans="9:23">
      <c r="I297" s="8">
        <v>-13</v>
      </c>
      <c r="J297" s="105">
        <f>(J294+J300)/2</f>
        <v>2.5000000000000001E-3</v>
      </c>
      <c r="K297" s="105"/>
      <c r="L297" s="14"/>
      <c r="M297" s="11"/>
      <c r="N297" s="14"/>
      <c r="O297" s="11"/>
      <c r="P297" s="14"/>
      <c r="Q297" s="14"/>
      <c r="R297" s="11"/>
      <c r="S297" s="14"/>
      <c r="T297" s="11"/>
      <c r="U297" s="14"/>
      <c r="V297" s="11"/>
      <c r="W297" s="8">
        <f t="shared" si="49"/>
        <v>-13</v>
      </c>
    </row>
    <row r="298" spans="9:23">
      <c r="I298" s="8">
        <v>-12</v>
      </c>
      <c r="J298" s="105">
        <f>(J297+J300)/2</f>
        <v>1.75E-3</v>
      </c>
      <c r="K298" s="105"/>
      <c r="L298" s="14"/>
      <c r="M298" s="11"/>
      <c r="N298" s="14"/>
      <c r="O298" s="11"/>
      <c r="P298" s="14"/>
      <c r="Q298" s="14"/>
      <c r="R298" s="11"/>
      <c r="S298" s="14"/>
      <c r="T298" s="11"/>
      <c r="U298" s="14"/>
      <c r="V298" s="11"/>
      <c r="W298" s="8">
        <f t="shared" si="49"/>
        <v>-12</v>
      </c>
    </row>
    <row r="299" spans="9:23">
      <c r="I299" s="8">
        <v>-11</v>
      </c>
      <c r="J299" s="105">
        <f>(J298+J300)/2</f>
        <v>1.3749999999999999E-3</v>
      </c>
      <c r="K299" s="105"/>
      <c r="L299" s="14"/>
      <c r="M299" s="11"/>
      <c r="N299" s="14"/>
      <c r="O299" s="11"/>
      <c r="P299" s="14"/>
      <c r="Q299" s="14"/>
      <c r="R299" s="11"/>
      <c r="S299" s="14"/>
      <c r="T299" s="11"/>
      <c r="U299" s="14"/>
      <c r="V299" s="11"/>
      <c r="W299" s="8">
        <f t="shared" si="49"/>
        <v>-11</v>
      </c>
    </row>
    <row r="300" spans="9:23">
      <c r="I300" s="8">
        <v>-10</v>
      </c>
      <c r="J300" s="105">
        <v>1E-3</v>
      </c>
      <c r="K300" s="105"/>
      <c r="L300" s="14"/>
      <c r="M300" s="11"/>
      <c r="N300" s="14"/>
      <c r="O300" s="11"/>
      <c r="P300" s="14"/>
      <c r="Q300" s="14"/>
      <c r="R300" s="11"/>
      <c r="S300" s="14"/>
      <c r="T300" s="11"/>
      <c r="U300" s="14"/>
      <c r="V300" s="11"/>
      <c r="W300" s="8">
        <f t="shared" si="49"/>
        <v>-10</v>
      </c>
    </row>
    <row r="301" spans="9:23">
      <c r="I301" s="8">
        <v>-9</v>
      </c>
      <c r="J301" s="105">
        <f>(J300+J302)/2</f>
        <v>9.3749999999999997E-4</v>
      </c>
      <c r="K301" s="105"/>
      <c r="L301" s="14"/>
      <c r="M301" s="11"/>
      <c r="N301" s="14"/>
      <c r="O301" s="11"/>
      <c r="P301" s="14"/>
      <c r="Q301" s="14"/>
      <c r="R301" s="11"/>
      <c r="S301" s="14"/>
      <c r="T301" s="11"/>
      <c r="U301" s="14"/>
      <c r="V301" s="11"/>
      <c r="W301" s="8">
        <f t="shared" si="49"/>
        <v>-9</v>
      </c>
    </row>
    <row r="302" spans="9:23">
      <c r="I302" s="8">
        <v>-8</v>
      </c>
      <c r="J302" s="105">
        <f>(J300+J304)/2</f>
        <v>8.7500000000000002E-4</v>
      </c>
      <c r="K302" s="105"/>
      <c r="L302" s="14"/>
      <c r="M302" s="11"/>
      <c r="N302" s="14"/>
      <c r="O302" s="11"/>
      <c r="P302" s="14"/>
      <c r="Q302" s="14"/>
      <c r="R302" s="11"/>
      <c r="S302" s="14"/>
      <c r="T302" s="11"/>
      <c r="U302" s="14"/>
      <c r="V302" s="11"/>
      <c r="W302" s="8">
        <f t="shared" si="49"/>
        <v>-8</v>
      </c>
    </row>
    <row r="303" spans="9:23">
      <c r="I303" s="8">
        <v>-7</v>
      </c>
      <c r="J303" s="105">
        <f>(J302+J304)/2</f>
        <v>8.1250000000000007E-4</v>
      </c>
      <c r="K303" s="105"/>
      <c r="L303" s="14"/>
      <c r="M303" s="11"/>
      <c r="N303" s="14"/>
      <c r="O303" s="11"/>
      <c r="P303" s="14"/>
      <c r="Q303" s="14"/>
      <c r="R303" s="11"/>
      <c r="S303" s="14"/>
      <c r="T303" s="11"/>
      <c r="U303" s="14"/>
      <c r="V303" s="11"/>
      <c r="W303" s="8">
        <f t="shared" si="49"/>
        <v>-7</v>
      </c>
    </row>
    <row r="304" spans="9:23">
      <c r="I304" s="8">
        <v>-6</v>
      </c>
      <c r="J304" s="105">
        <f>(J300+J308)/2</f>
        <v>7.5000000000000002E-4</v>
      </c>
      <c r="K304" s="105"/>
      <c r="L304" s="14"/>
      <c r="M304" s="11"/>
      <c r="N304" s="14"/>
      <c r="O304" s="11"/>
      <c r="P304" s="14"/>
      <c r="Q304" s="14"/>
      <c r="R304" s="11"/>
      <c r="S304" s="14"/>
      <c r="T304" s="11"/>
      <c r="U304" s="14"/>
      <c r="V304" s="11"/>
      <c r="W304" s="8">
        <f t="shared" si="49"/>
        <v>-6</v>
      </c>
    </row>
    <row r="305" spans="9:23">
      <c r="I305" s="8">
        <v>-5</v>
      </c>
      <c r="J305" s="105">
        <f>(J304+J306)/2</f>
        <v>6.8749999999999996E-4</v>
      </c>
      <c r="K305" s="105"/>
      <c r="L305" s="14"/>
      <c r="M305" s="11"/>
      <c r="N305" s="14"/>
      <c r="O305" s="11"/>
      <c r="P305" s="14"/>
      <c r="Q305" s="14"/>
      <c r="R305" s="11"/>
      <c r="S305" s="14"/>
      <c r="T305" s="11"/>
      <c r="U305" s="14"/>
      <c r="V305" s="11"/>
      <c r="W305" s="8">
        <f t="shared" si="49"/>
        <v>-5</v>
      </c>
    </row>
    <row r="306" spans="9:23">
      <c r="I306" s="8">
        <v>-4</v>
      </c>
      <c r="J306" s="105">
        <f>(J304+J308)/2</f>
        <v>6.2500000000000001E-4</v>
      </c>
      <c r="K306" s="105"/>
      <c r="L306" s="14"/>
      <c r="M306" s="11"/>
      <c r="N306" s="14"/>
      <c r="O306" s="11"/>
      <c r="P306" s="14"/>
      <c r="Q306" s="14"/>
      <c r="R306" s="11"/>
      <c r="S306" s="14"/>
      <c r="T306" s="11"/>
      <c r="U306" s="14"/>
      <c r="V306" s="11"/>
      <c r="W306" s="8">
        <f t="shared" si="49"/>
        <v>-4</v>
      </c>
    </row>
    <row r="307" spans="9:23">
      <c r="I307" s="8">
        <v>-3</v>
      </c>
      <c r="J307" s="105">
        <f>(J306+J308)/2</f>
        <v>5.6250000000000007E-4</v>
      </c>
      <c r="K307" s="105"/>
      <c r="L307" s="14"/>
      <c r="M307" s="11"/>
      <c r="N307" s="14"/>
      <c r="O307" s="11"/>
      <c r="P307" s="14"/>
      <c r="Q307" s="14"/>
      <c r="R307" s="11"/>
      <c r="S307" s="14"/>
      <c r="T307" s="11"/>
      <c r="U307" s="14"/>
      <c r="V307" s="11"/>
      <c r="W307" s="8">
        <f t="shared" si="49"/>
        <v>-3</v>
      </c>
    </row>
    <row r="308" spans="9:23">
      <c r="I308" s="8">
        <v>-2</v>
      </c>
      <c r="J308" s="105">
        <f>(J300+J315)/2</f>
        <v>5.0000000000000001E-4</v>
      </c>
      <c r="K308" s="105"/>
      <c r="L308" s="14"/>
      <c r="M308" s="11"/>
      <c r="N308" s="14"/>
      <c r="O308" s="11"/>
      <c r="P308" s="14"/>
      <c r="Q308" s="14"/>
      <c r="R308" s="11"/>
      <c r="S308" s="14"/>
      <c r="T308" s="11"/>
      <c r="U308" s="14"/>
      <c r="V308" s="11"/>
      <c r="W308" s="8">
        <f t="shared" si="49"/>
        <v>-2</v>
      </c>
    </row>
    <row r="309" spans="9:23">
      <c r="I309" s="8">
        <v>-1</v>
      </c>
      <c r="J309" s="105">
        <f>(J308+J310)/2</f>
        <v>4.3750000000000001E-4</v>
      </c>
      <c r="K309" s="105"/>
      <c r="L309" s="14"/>
      <c r="M309" s="11"/>
      <c r="N309" s="14"/>
      <c r="O309" s="11"/>
      <c r="P309" s="14"/>
      <c r="Q309" s="14"/>
      <c r="R309" s="11"/>
      <c r="S309" s="14"/>
      <c r="T309" s="11"/>
      <c r="U309" s="14"/>
      <c r="V309" s="11"/>
      <c r="W309" s="8">
        <f t="shared" si="49"/>
        <v>-1</v>
      </c>
    </row>
    <row r="310" spans="9:23">
      <c r="I310" s="8">
        <v>0</v>
      </c>
      <c r="J310" s="105">
        <f>(J308+J312)/2</f>
        <v>3.7500000000000001E-4</v>
      </c>
      <c r="K310" s="105"/>
      <c r="L310" s="14"/>
      <c r="M310" s="11"/>
      <c r="N310" s="14"/>
      <c r="O310" s="11"/>
      <c r="P310" s="14"/>
      <c r="Q310" s="14"/>
      <c r="R310" s="11"/>
      <c r="S310" s="14"/>
      <c r="T310" s="11"/>
      <c r="U310" s="14"/>
      <c r="V310" s="11"/>
      <c r="W310" s="8">
        <f t="shared" si="49"/>
        <v>0</v>
      </c>
    </row>
    <row r="311" spans="9:23">
      <c r="I311" s="8">
        <v>1</v>
      </c>
      <c r="J311" s="105">
        <f>(J310+J312)/2</f>
        <v>3.1250000000000001E-4</v>
      </c>
      <c r="K311" s="105"/>
      <c r="L311" s="14"/>
      <c r="M311" s="11"/>
      <c r="N311" s="14"/>
      <c r="O311" s="11"/>
      <c r="P311" s="14"/>
      <c r="Q311" s="14"/>
      <c r="R311" s="11"/>
      <c r="S311" s="14"/>
      <c r="T311" s="11"/>
      <c r="U311" s="14"/>
      <c r="V311" s="11"/>
      <c r="W311" s="8">
        <f t="shared" si="49"/>
        <v>1</v>
      </c>
    </row>
    <row r="312" spans="9:23">
      <c r="I312" s="8">
        <v>2</v>
      </c>
      <c r="J312" s="105">
        <f>(J308+J315)/2</f>
        <v>2.5000000000000001E-4</v>
      </c>
      <c r="K312" s="105"/>
      <c r="L312" s="14"/>
      <c r="M312" s="11"/>
      <c r="N312" s="14"/>
      <c r="O312" s="11"/>
      <c r="P312" s="14"/>
      <c r="Q312" s="14"/>
      <c r="R312" s="11"/>
      <c r="S312" s="14"/>
      <c r="T312" s="11"/>
      <c r="U312" s="14"/>
      <c r="V312" s="11"/>
      <c r="W312" s="8">
        <f t="shared" si="49"/>
        <v>2</v>
      </c>
    </row>
    <row r="313" spans="9:23">
      <c r="I313" s="8">
        <v>3</v>
      </c>
      <c r="J313" s="105">
        <f>(J312+J315)/2</f>
        <v>1.25E-4</v>
      </c>
      <c r="K313" s="105"/>
      <c r="L313" s="14"/>
      <c r="M313" s="11"/>
      <c r="N313" s="14"/>
      <c r="O313" s="11"/>
      <c r="P313" s="14"/>
      <c r="Q313" s="14"/>
      <c r="R313" s="11"/>
      <c r="S313" s="14"/>
      <c r="T313" s="11"/>
      <c r="U313" s="14"/>
      <c r="V313" s="11"/>
      <c r="W313" s="8">
        <f t="shared" si="49"/>
        <v>3</v>
      </c>
    </row>
    <row r="314" spans="9:23">
      <c r="I314" s="8">
        <v>4</v>
      </c>
      <c r="J314" s="105">
        <f>(J313+J315)/2</f>
        <v>6.2500000000000001E-5</v>
      </c>
      <c r="K314" s="105"/>
      <c r="L314" s="14"/>
      <c r="M314" s="11"/>
      <c r="N314" s="14"/>
      <c r="O314" s="11"/>
      <c r="P314" s="14"/>
      <c r="Q314" s="14"/>
      <c r="R314" s="11"/>
      <c r="S314" s="14"/>
      <c r="T314" s="11"/>
      <c r="U314" s="14"/>
      <c r="V314" s="11"/>
      <c r="W314" s="8">
        <f t="shared" si="49"/>
        <v>4</v>
      </c>
    </row>
    <row r="315" spans="9:23">
      <c r="I315" s="8">
        <v>5</v>
      </c>
      <c r="J315" s="11">
        <v>0</v>
      </c>
      <c r="K315" s="11"/>
      <c r="L315" s="14"/>
      <c r="M315" s="11"/>
      <c r="N315" s="14"/>
      <c r="O315" s="11"/>
      <c r="P315" s="14"/>
      <c r="Q315" s="14"/>
      <c r="R315" s="11"/>
      <c r="S315" s="14"/>
      <c r="T315" s="11"/>
      <c r="U315" s="14"/>
      <c r="V315" s="11"/>
      <c r="W315" s="8">
        <f t="shared" si="49"/>
        <v>5</v>
      </c>
    </row>
    <row r="316" spans="9:23">
      <c r="I316" s="5">
        <v>70</v>
      </c>
      <c r="J316" s="11">
        <v>0</v>
      </c>
      <c r="K316" s="11"/>
      <c r="L316" s="14"/>
      <c r="M316" s="11"/>
      <c r="N316" s="14"/>
      <c r="O316" s="11"/>
      <c r="P316" s="14"/>
      <c r="Q316" s="14"/>
      <c r="R316" s="11"/>
      <c r="S316" s="14"/>
      <c r="T316" s="11"/>
      <c r="U316" s="14"/>
      <c r="V316" s="11"/>
      <c r="W316" s="8">
        <f t="shared" si="49"/>
        <v>70</v>
      </c>
    </row>
    <row r="317" spans="9:23">
      <c r="I317" s="5">
        <v>71</v>
      </c>
      <c r="J317" s="11">
        <f>(J316+J318)/2</f>
        <v>8.6249999999999999E-4</v>
      </c>
      <c r="K317" s="11"/>
      <c r="L317" s="14"/>
      <c r="M317" s="11"/>
      <c r="N317" s="14"/>
      <c r="O317" s="11"/>
      <c r="P317" s="14"/>
      <c r="Q317" s="14"/>
      <c r="R317" s="11"/>
      <c r="S317" s="14"/>
      <c r="T317" s="11"/>
      <c r="U317" s="14"/>
      <c r="V317" s="11"/>
      <c r="W317" s="8">
        <f t="shared" si="49"/>
        <v>71</v>
      </c>
    </row>
    <row r="318" spans="9:23">
      <c r="I318" s="5">
        <v>72</v>
      </c>
      <c r="J318" s="11">
        <f>(J316+J321)/2</f>
        <v>1.725E-3</v>
      </c>
      <c r="K318" s="11"/>
      <c r="L318" s="14"/>
      <c r="M318" s="11"/>
      <c r="N318" s="14"/>
      <c r="O318" s="11"/>
      <c r="P318" s="14"/>
      <c r="Q318" s="14"/>
      <c r="R318" s="11"/>
      <c r="S318" s="14"/>
      <c r="T318" s="11"/>
      <c r="U318" s="14"/>
      <c r="V318" s="11"/>
      <c r="W318" s="8">
        <f t="shared" si="49"/>
        <v>72</v>
      </c>
    </row>
    <row r="319" spans="9:23">
      <c r="I319" s="5">
        <v>73</v>
      </c>
      <c r="J319" s="11">
        <f>(J317+J321)/2</f>
        <v>2.1562500000000002E-3</v>
      </c>
      <c r="K319" s="11"/>
      <c r="L319" s="14"/>
      <c r="M319" s="11"/>
      <c r="N319" s="14"/>
      <c r="O319" s="11"/>
      <c r="P319" s="14"/>
      <c r="Q319" s="14"/>
      <c r="R319" s="11"/>
      <c r="S319" s="14"/>
      <c r="T319" s="11"/>
      <c r="U319" s="14"/>
      <c r="V319" s="11"/>
      <c r="W319" s="8">
        <f t="shared" si="49"/>
        <v>73</v>
      </c>
    </row>
    <row r="320" spans="9:23">
      <c r="I320" s="5">
        <v>74</v>
      </c>
      <c r="J320" s="11">
        <f>(J319+J321)/2</f>
        <v>2.8031250000000001E-3</v>
      </c>
      <c r="K320" s="11"/>
      <c r="L320" s="14"/>
      <c r="M320" s="11"/>
      <c r="N320" s="14"/>
      <c r="O320" s="11"/>
      <c r="P320" s="14"/>
      <c r="Q320" s="14"/>
      <c r="R320" s="11"/>
      <c r="S320" s="14"/>
      <c r="T320" s="11"/>
      <c r="U320" s="14"/>
      <c r="V320" s="11"/>
      <c r="W320" s="8">
        <f t="shared" si="49"/>
        <v>74</v>
      </c>
    </row>
    <row r="321" spans="9:23">
      <c r="I321" s="5">
        <v>75</v>
      </c>
      <c r="J321" s="11">
        <f>(J316+J326)/2</f>
        <v>3.4499999999999999E-3</v>
      </c>
      <c r="K321" s="11"/>
      <c r="L321" s="14"/>
      <c r="M321" s="11"/>
      <c r="N321" s="14"/>
      <c r="O321" s="11"/>
      <c r="P321" s="14"/>
      <c r="Q321" s="14"/>
      <c r="R321" s="11"/>
      <c r="S321" s="14"/>
      <c r="T321" s="11"/>
      <c r="U321" s="14"/>
      <c r="V321" s="11"/>
      <c r="W321" s="8">
        <f t="shared" si="49"/>
        <v>75</v>
      </c>
    </row>
    <row r="322" spans="9:23">
      <c r="I322" s="5">
        <v>76</v>
      </c>
      <c r="J322" s="11">
        <f>(J320+J324)/2</f>
        <v>3.9890624999999996E-3</v>
      </c>
      <c r="K322" s="11"/>
      <c r="L322" s="14"/>
      <c r="M322" s="11"/>
      <c r="N322" s="14"/>
      <c r="O322" s="11"/>
      <c r="P322" s="14"/>
      <c r="Q322" s="14"/>
      <c r="R322" s="11"/>
      <c r="S322" s="14"/>
      <c r="T322" s="11"/>
      <c r="U322" s="14"/>
      <c r="V322" s="11"/>
      <c r="W322" s="8">
        <f t="shared" si="49"/>
        <v>76</v>
      </c>
    </row>
    <row r="323" spans="9:23">
      <c r="I323" s="5">
        <v>77</v>
      </c>
      <c r="J323" s="11">
        <f>(J322+J324)/2</f>
        <v>4.5820312500000002E-3</v>
      </c>
      <c r="K323" s="11"/>
      <c r="L323" s="14"/>
      <c r="M323" s="11"/>
      <c r="N323" s="14"/>
      <c r="O323" s="11"/>
      <c r="P323" s="14"/>
      <c r="Q323" s="14"/>
      <c r="R323" s="11"/>
      <c r="S323" s="14"/>
      <c r="T323" s="11"/>
      <c r="U323" s="14"/>
      <c r="V323" s="11"/>
      <c r="W323" s="8">
        <f t="shared" si="49"/>
        <v>77</v>
      </c>
    </row>
    <row r="324" spans="9:23">
      <c r="I324" s="5">
        <v>78</v>
      </c>
      <c r="J324" s="11">
        <f>(J321+J326)/2</f>
        <v>5.1749999999999999E-3</v>
      </c>
      <c r="K324" s="11"/>
      <c r="L324" s="14"/>
      <c r="M324" s="11"/>
      <c r="N324" s="14"/>
      <c r="O324" s="11"/>
      <c r="P324" s="14"/>
      <c r="Q324" s="14"/>
      <c r="R324" s="11"/>
      <c r="S324" s="14"/>
      <c r="T324" s="11"/>
      <c r="U324" s="14"/>
      <c r="V324" s="11"/>
      <c r="W324" s="8">
        <f t="shared" si="49"/>
        <v>78</v>
      </c>
    </row>
    <row r="325" spans="9:23">
      <c r="I325" s="5">
        <v>79</v>
      </c>
      <c r="J325" s="11">
        <f>(J324+J326)/2</f>
        <v>6.0374999999999995E-3</v>
      </c>
      <c r="K325" s="11"/>
      <c r="L325" s="14"/>
      <c r="M325" s="11"/>
      <c r="N325" s="14"/>
      <c r="O325" s="11"/>
      <c r="P325" s="14"/>
      <c r="Q325" s="14"/>
      <c r="R325" s="11"/>
      <c r="S325" s="14"/>
      <c r="T325" s="11"/>
      <c r="U325" s="14"/>
      <c r="V325" s="11"/>
      <c r="W325" s="8">
        <f t="shared" si="49"/>
        <v>79</v>
      </c>
    </row>
    <row r="326" spans="9:23">
      <c r="I326" s="5">
        <v>80</v>
      </c>
      <c r="J326" s="11">
        <v>6.8999999999999999E-3</v>
      </c>
      <c r="K326" s="11"/>
      <c r="L326" s="14"/>
      <c r="M326" s="11"/>
      <c r="N326" s="14"/>
      <c r="O326" s="11"/>
      <c r="P326" s="14"/>
      <c r="Q326" s="14"/>
      <c r="R326" s="11"/>
      <c r="S326" s="14"/>
      <c r="T326" s="11"/>
      <c r="U326" s="14"/>
      <c r="V326" s="11"/>
      <c r="W326" s="8">
        <f t="shared" si="49"/>
        <v>80</v>
      </c>
    </row>
    <row r="327" spans="9:23">
      <c r="I327" s="5">
        <v>81</v>
      </c>
      <c r="J327" s="11">
        <f>(J326+J328)/2</f>
        <v>7.8250000000000004E-3</v>
      </c>
      <c r="K327" s="11"/>
      <c r="L327" s="14"/>
      <c r="M327" s="11"/>
      <c r="N327" s="14"/>
      <c r="O327" s="11"/>
      <c r="P327" s="14"/>
      <c r="Q327" s="14"/>
      <c r="R327" s="11"/>
      <c r="S327" s="14"/>
      <c r="T327" s="11"/>
      <c r="U327" s="14"/>
      <c r="V327" s="11"/>
      <c r="W327" s="8">
        <f t="shared" si="49"/>
        <v>81</v>
      </c>
    </row>
    <row r="328" spans="9:23">
      <c r="I328" s="5">
        <v>82</v>
      </c>
      <c r="J328" s="11">
        <f>(J326+J331)/2</f>
        <v>8.7500000000000008E-3</v>
      </c>
      <c r="K328" s="11"/>
      <c r="L328" s="14"/>
      <c r="M328" s="11"/>
      <c r="N328" s="14"/>
      <c r="O328" s="11"/>
      <c r="P328" s="14"/>
      <c r="Q328" s="14"/>
      <c r="R328" s="11"/>
      <c r="S328" s="14"/>
      <c r="T328" s="11"/>
      <c r="U328" s="14"/>
      <c r="V328" s="11"/>
      <c r="W328" s="8">
        <f t="shared" si="49"/>
        <v>82</v>
      </c>
    </row>
    <row r="329" spans="9:23">
      <c r="I329" s="5">
        <v>83</v>
      </c>
      <c r="J329" s="11">
        <f>(J327+J331)/2</f>
        <v>9.2125000000000002E-3</v>
      </c>
      <c r="K329" s="11"/>
      <c r="L329" s="14"/>
      <c r="M329" s="11"/>
      <c r="N329" s="14"/>
      <c r="O329" s="11"/>
      <c r="P329" s="14"/>
      <c r="Q329" s="14"/>
      <c r="R329" s="11"/>
      <c r="S329" s="14"/>
      <c r="T329" s="11"/>
      <c r="U329" s="14"/>
      <c r="V329" s="11"/>
      <c r="W329" s="8">
        <f t="shared" si="49"/>
        <v>83</v>
      </c>
    </row>
    <row r="330" spans="9:23">
      <c r="I330" s="5">
        <v>84</v>
      </c>
      <c r="J330" s="11">
        <f>(J329+J331)/2</f>
        <v>9.9062500000000001E-3</v>
      </c>
      <c r="K330" s="11"/>
      <c r="L330" s="14"/>
      <c r="M330" s="11"/>
      <c r="N330" s="14"/>
      <c r="O330" s="11"/>
      <c r="P330" s="14"/>
      <c r="Q330" s="14"/>
      <c r="R330" s="11"/>
      <c r="S330" s="14"/>
      <c r="T330" s="11"/>
      <c r="U330" s="14"/>
      <c r="V330" s="11"/>
      <c r="W330" s="8">
        <f t="shared" si="49"/>
        <v>84</v>
      </c>
    </row>
    <row r="331" spans="9:23">
      <c r="I331" s="5">
        <v>85</v>
      </c>
      <c r="J331" s="11">
        <f>(J326+J336)/2</f>
        <v>1.06E-2</v>
      </c>
      <c r="K331" s="11"/>
      <c r="L331" s="14"/>
      <c r="M331" s="11"/>
      <c r="N331" s="14"/>
      <c r="O331" s="11"/>
      <c r="P331" s="14"/>
      <c r="Q331" s="14"/>
      <c r="R331" s="11"/>
      <c r="S331" s="14"/>
      <c r="T331" s="11"/>
      <c r="U331" s="14"/>
      <c r="V331" s="11"/>
      <c r="W331" s="8">
        <f t="shared" si="49"/>
        <v>85</v>
      </c>
    </row>
    <row r="332" spans="9:23">
      <c r="I332" s="5">
        <v>86</v>
      </c>
      <c r="J332" s="11">
        <f>(J330+J334)/2</f>
        <v>1.1178125000000001E-2</v>
      </c>
      <c r="K332" s="11"/>
      <c r="L332" s="14"/>
      <c r="M332" s="11"/>
      <c r="N332" s="14"/>
      <c r="O332" s="11"/>
      <c r="P332" s="14"/>
      <c r="Q332" s="14"/>
      <c r="R332" s="11"/>
      <c r="S332" s="14"/>
      <c r="T332" s="11"/>
      <c r="U332" s="14"/>
      <c r="V332" s="11"/>
      <c r="W332" s="8">
        <f t="shared" si="49"/>
        <v>86</v>
      </c>
    </row>
    <row r="333" spans="9:23">
      <c r="I333" s="5">
        <v>87</v>
      </c>
      <c r="J333" s="11">
        <f>(J332+J334)/2</f>
        <v>1.18140625E-2</v>
      </c>
      <c r="K333" s="11"/>
      <c r="L333" s="14"/>
      <c r="M333" s="11"/>
      <c r="N333" s="14"/>
      <c r="O333" s="11"/>
      <c r="P333" s="14"/>
      <c r="Q333" s="14"/>
      <c r="R333" s="11"/>
      <c r="S333" s="14"/>
      <c r="T333" s="11"/>
      <c r="U333" s="14"/>
      <c r="V333" s="11"/>
      <c r="W333" s="8">
        <f t="shared" si="49"/>
        <v>87</v>
      </c>
    </row>
    <row r="334" spans="9:23">
      <c r="I334" s="5">
        <v>88</v>
      </c>
      <c r="J334" s="11">
        <f>(J331+J336)/2</f>
        <v>1.2449999999999999E-2</v>
      </c>
      <c r="K334" s="11"/>
      <c r="L334" s="14"/>
      <c r="M334" s="11"/>
      <c r="N334" s="14"/>
      <c r="O334" s="11"/>
      <c r="P334" s="14"/>
      <c r="Q334" s="14"/>
      <c r="R334" s="11"/>
      <c r="S334" s="14"/>
      <c r="T334" s="11"/>
      <c r="U334" s="14"/>
      <c r="V334" s="11"/>
      <c r="W334" s="8">
        <f t="shared" si="49"/>
        <v>88</v>
      </c>
    </row>
    <row r="335" spans="9:23">
      <c r="I335" s="5">
        <v>89</v>
      </c>
      <c r="J335" s="11">
        <f>(J334+J336)/2</f>
        <v>1.3375E-2</v>
      </c>
      <c r="K335" s="11"/>
      <c r="L335" s="14"/>
      <c r="M335" s="11"/>
      <c r="N335" s="14"/>
      <c r="O335" s="11"/>
      <c r="P335" s="14"/>
      <c r="Q335" s="14"/>
      <c r="R335" s="11"/>
      <c r="S335" s="14"/>
      <c r="T335" s="11"/>
      <c r="U335" s="14"/>
      <c r="V335" s="11"/>
      <c r="W335" s="8">
        <f t="shared" si="49"/>
        <v>89</v>
      </c>
    </row>
    <row r="336" spans="9:23">
      <c r="I336" s="5">
        <v>90</v>
      </c>
      <c r="J336" s="11">
        <v>1.43E-2</v>
      </c>
      <c r="K336" s="11"/>
      <c r="L336" s="14"/>
      <c r="M336" s="11"/>
      <c r="N336" s="14"/>
      <c r="O336" s="11"/>
      <c r="P336" s="14"/>
      <c r="Q336" s="14"/>
      <c r="R336" s="11"/>
      <c r="S336" s="14"/>
      <c r="T336" s="11"/>
      <c r="U336" s="14"/>
      <c r="V336" s="11"/>
      <c r="W336" s="8">
        <f t="shared" si="49"/>
        <v>90</v>
      </c>
    </row>
    <row r="337" spans="9:11">
      <c r="I337" s="5">
        <v>91</v>
      </c>
      <c r="J337" s="11">
        <f>(J336+J338)/2</f>
        <v>1.5275E-2</v>
      </c>
      <c r="K337" s="11"/>
    </row>
    <row r="338" spans="9:11">
      <c r="I338" s="5">
        <v>92</v>
      </c>
      <c r="J338" s="11">
        <f>(J336+J341)/2</f>
        <v>1.6250000000000001E-2</v>
      </c>
      <c r="K338" s="11"/>
    </row>
    <row r="339" spans="9:11">
      <c r="I339" s="5">
        <v>93</v>
      </c>
      <c r="J339" s="11">
        <f>(J337+J341)/2</f>
        <v>1.6737500000000002E-2</v>
      </c>
      <c r="K339" s="11"/>
    </row>
    <row r="340" spans="9:11">
      <c r="I340" s="5">
        <v>94</v>
      </c>
      <c r="J340" s="11">
        <f>(J339+J341)/2</f>
        <v>1.7468750000000002E-2</v>
      </c>
      <c r="K340" s="11"/>
    </row>
    <row r="341" spans="9:11">
      <c r="I341" s="5">
        <v>95</v>
      </c>
      <c r="J341" s="11">
        <f>(J336+J346)/2</f>
        <v>1.8200000000000001E-2</v>
      </c>
      <c r="K341" s="11"/>
    </row>
    <row r="342" spans="9:11">
      <c r="I342" s="5">
        <v>96</v>
      </c>
      <c r="J342" s="11">
        <f>(J340+J344)/2</f>
        <v>1.8809375000000003E-2</v>
      </c>
      <c r="K342" s="11"/>
    </row>
    <row r="343" spans="9:11">
      <c r="I343" s="5">
        <v>97</v>
      </c>
      <c r="J343" s="11">
        <f>(J342+J344)/2</f>
        <v>1.9479687500000002E-2</v>
      </c>
      <c r="K343" s="11"/>
    </row>
    <row r="344" spans="9:11">
      <c r="I344" s="5">
        <v>98</v>
      </c>
      <c r="J344" s="11">
        <f>(J341+J346)/2</f>
        <v>2.0150000000000001E-2</v>
      </c>
      <c r="K344" s="11"/>
    </row>
    <row r="345" spans="9:11">
      <c r="I345" s="5">
        <v>99</v>
      </c>
      <c r="J345" s="11">
        <f>(J344+J346)/2</f>
        <v>2.1125000000000001E-2</v>
      </c>
      <c r="K345" s="11"/>
    </row>
    <row r="346" spans="9:11">
      <c r="I346" s="5">
        <v>100</v>
      </c>
      <c r="J346" s="11">
        <v>2.2100000000000002E-2</v>
      </c>
      <c r="K346" s="11"/>
    </row>
    <row r="347" spans="9:11">
      <c r="I347" s="5">
        <v>101</v>
      </c>
      <c r="J347" s="11">
        <f>(J346+J348)/2</f>
        <v>2.3137500000000002E-2</v>
      </c>
      <c r="K347" s="11"/>
    </row>
    <row r="348" spans="9:11">
      <c r="I348" s="5">
        <v>102</v>
      </c>
      <c r="J348" s="11">
        <f>(J346+J351)/2</f>
        <v>2.4175000000000002E-2</v>
      </c>
      <c r="K348" s="11"/>
    </row>
    <row r="349" spans="9:11">
      <c r="I349" s="5">
        <v>103</v>
      </c>
      <c r="J349" s="11">
        <f>(J347+J351)/2</f>
        <v>2.469375E-2</v>
      </c>
      <c r="K349" s="11"/>
    </row>
    <row r="350" spans="9:11">
      <c r="I350" s="5">
        <v>104</v>
      </c>
      <c r="J350" s="11">
        <f>(J349+J351)/2</f>
        <v>2.5471875000000001E-2</v>
      </c>
      <c r="K350" s="11"/>
    </row>
    <row r="351" spans="9:11">
      <c r="I351" s="5">
        <v>105</v>
      </c>
      <c r="J351" s="11">
        <f>(J346+J356)/2</f>
        <v>2.6250000000000002E-2</v>
      </c>
      <c r="K351" s="11"/>
    </row>
    <row r="352" spans="9:11">
      <c r="I352" s="5">
        <v>106</v>
      </c>
      <c r="J352" s="11">
        <f>(J350+J354)/2</f>
        <v>2.6898437500000004E-2</v>
      </c>
      <c r="K352" s="11"/>
    </row>
    <row r="353" spans="9:11">
      <c r="I353" s="5">
        <v>107</v>
      </c>
      <c r="J353" s="11">
        <f>(J352+J354)/2</f>
        <v>2.7611718750000003E-2</v>
      </c>
      <c r="K353" s="11"/>
    </row>
    <row r="354" spans="9:11">
      <c r="I354" s="5">
        <v>108</v>
      </c>
      <c r="J354" s="11">
        <f>(J351+J356)/2</f>
        <v>2.8325000000000003E-2</v>
      </c>
      <c r="K354" s="11"/>
    </row>
    <row r="355" spans="9:11">
      <c r="I355" s="5">
        <v>109</v>
      </c>
      <c r="J355" s="11">
        <f>(J354+J356)/2</f>
        <v>2.93625E-2</v>
      </c>
      <c r="K355" s="11"/>
    </row>
    <row r="356" spans="9:11">
      <c r="I356" s="5">
        <v>110</v>
      </c>
      <c r="J356" s="11">
        <v>3.04E-2</v>
      </c>
      <c r="K356" s="11"/>
    </row>
    <row r="357" spans="9:11">
      <c r="I357" s="5">
        <v>111</v>
      </c>
      <c r="J357" s="11">
        <f>(J356+J358)/2</f>
        <v>3.13125E-2</v>
      </c>
      <c r="K357" s="11"/>
    </row>
    <row r="358" spans="9:11">
      <c r="I358" s="5">
        <v>112</v>
      </c>
      <c r="J358" s="11">
        <f>(J356+J361)/2</f>
        <v>3.2224999999999997E-2</v>
      </c>
      <c r="K358" s="11"/>
    </row>
    <row r="359" spans="9:11">
      <c r="I359" s="5">
        <v>113</v>
      </c>
      <c r="J359" s="11">
        <f>(J357+J361)/2</f>
        <v>3.2681249999999995E-2</v>
      </c>
      <c r="K359" s="11"/>
    </row>
    <row r="360" spans="9:11">
      <c r="I360" s="5">
        <v>114</v>
      </c>
      <c r="J360" s="11">
        <f>(J359+J361)/2</f>
        <v>3.3365624999999996E-2</v>
      </c>
      <c r="K360" s="11"/>
    </row>
    <row r="361" spans="9:11">
      <c r="I361" s="5">
        <v>115</v>
      </c>
      <c r="J361" s="11">
        <f>(J356+J366)/2</f>
        <v>3.4049999999999997E-2</v>
      </c>
      <c r="K361" s="11"/>
    </row>
    <row r="362" spans="9:11">
      <c r="I362" s="5">
        <v>116</v>
      </c>
      <c r="J362" s="11">
        <f>(J360+J364)/2</f>
        <v>3.46203125E-2</v>
      </c>
      <c r="K362" s="11"/>
    </row>
    <row r="363" spans="9:11">
      <c r="I363" s="5">
        <v>117</v>
      </c>
      <c r="J363" s="11">
        <f>(J362+J364)/2</f>
        <v>3.5247656249999995E-2</v>
      </c>
      <c r="K363" s="11"/>
    </row>
    <row r="364" spans="9:11">
      <c r="I364" s="5">
        <v>118</v>
      </c>
      <c r="J364" s="11">
        <f>(J361+J366)/2</f>
        <v>3.5874999999999997E-2</v>
      </c>
      <c r="K364" s="11"/>
    </row>
    <row r="365" spans="9:11">
      <c r="I365" s="5">
        <v>119</v>
      </c>
      <c r="J365" s="11">
        <f>(J364+J366)/2</f>
        <v>3.6787500000000001E-2</v>
      </c>
      <c r="K365" s="11"/>
    </row>
    <row r="366" spans="9:11">
      <c r="I366" s="5">
        <v>120</v>
      </c>
      <c r="J366" s="11">
        <v>3.7699999999999997E-2</v>
      </c>
      <c r="K366" s="11"/>
    </row>
    <row r="367" spans="9:11">
      <c r="I367" s="5">
        <v>121</v>
      </c>
      <c r="J367" s="11">
        <f>(J366+J368)/2</f>
        <v>3.9162499999999996E-2</v>
      </c>
      <c r="K367" s="11"/>
    </row>
    <row r="368" spans="9:11">
      <c r="I368" s="5">
        <v>122</v>
      </c>
      <c r="J368" s="11">
        <f>(J366+J371)/2</f>
        <v>4.0624999999999994E-2</v>
      </c>
      <c r="K368" s="11"/>
    </row>
    <row r="369" spans="9:11">
      <c r="I369" s="5">
        <v>123</v>
      </c>
      <c r="J369" s="11">
        <f>(J367+J371)/2</f>
        <v>4.1356249999999997E-2</v>
      </c>
      <c r="K369" s="11"/>
    </row>
    <row r="370" spans="9:11">
      <c r="I370" s="5">
        <v>124</v>
      </c>
      <c r="J370" s="11">
        <f>(J369+J371)/2</f>
        <v>4.2453124999999994E-2</v>
      </c>
      <c r="K370" s="11"/>
    </row>
    <row r="371" spans="9:11">
      <c r="I371" s="5">
        <v>125</v>
      </c>
      <c r="J371" s="11">
        <f>(J366+J376)/2</f>
        <v>4.3549999999999998E-2</v>
      </c>
      <c r="K371" s="11"/>
    </row>
    <row r="372" spans="9:11">
      <c r="I372" s="5">
        <v>126</v>
      </c>
      <c r="J372" s="11">
        <f>(J370+J374)/2</f>
        <v>4.4464062499999998E-2</v>
      </c>
      <c r="K372" s="11"/>
    </row>
    <row r="373" spans="9:11">
      <c r="I373" s="5">
        <v>127</v>
      </c>
      <c r="J373" s="11">
        <f>(J372+J374)/2</f>
        <v>4.546953125E-2</v>
      </c>
      <c r="K373" s="11"/>
    </row>
    <row r="374" spans="9:11">
      <c r="I374" s="5">
        <v>128</v>
      </c>
      <c r="J374" s="11">
        <f>(J371+J376)/2</f>
        <v>4.6475000000000002E-2</v>
      </c>
      <c r="K374" s="11"/>
    </row>
    <row r="375" spans="9:11">
      <c r="I375" s="5">
        <v>129</v>
      </c>
      <c r="J375" s="11">
        <f>(J374+J376)/2</f>
        <v>4.7937500000000001E-2</v>
      </c>
      <c r="K375" s="11"/>
    </row>
    <row r="376" spans="9:11">
      <c r="I376" s="5">
        <v>130</v>
      </c>
      <c r="J376" s="11">
        <v>4.9399999999999999E-2</v>
      </c>
      <c r="K376" s="11"/>
    </row>
  </sheetData>
  <mergeCells count="6">
    <mergeCell ref="J218:V218"/>
    <mergeCell ref="AB226:AG226"/>
    <mergeCell ref="AA272:AF272"/>
    <mergeCell ref="J274:V274"/>
    <mergeCell ref="L4:P4"/>
    <mergeCell ref="R4:V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dimension ref="A1:AT315"/>
  <sheetViews>
    <sheetView topLeftCell="G1" workbookViewId="0">
      <selection activeCell="F5" sqref="F5:K5"/>
    </sheetView>
  </sheetViews>
  <sheetFormatPr defaultColWidth="9" defaultRowHeight="14.4"/>
  <cols>
    <col min="1" max="1" width="9" style="3"/>
    <col min="2" max="2" width="28" style="3" customWidth="1"/>
    <col min="3" max="5" width="9" style="3"/>
    <col min="6" max="6" width="12.5" style="3" customWidth="1"/>
    <col min="7" max="8" width="9" style="3"/>
    <col min="9" max="9" width="12.59765625" style="3" customWidth="1"/>
    <col min="10" max="25" width="9" style="3"/>
    <col min="26" max="26" width="12.8984375" style="3" customWidth="1"/>
    <col min="27" max="16384" width="9" style="3"/>
  </cols>
  <sheetData>
    <row r="1" spans="1:26">
      <c r="C1" s="3" t="s">
        <v>9</v>
      </c>
      <c r="D1" s="3" t="s">
        <v>5</v>
      </c>
      <c r="E1" s="3" t="s">
        <v>10</v>
      </c>
      <c r="F1" s="3" t="s">
        <v>35</v>
      </c>
      <c r="H1" s="3">
        <v>5</v>
      </c>
    </row>
    <row r="2" spans="1:26">
      <c r="C2" s="3">
        <v>1</v>
      </c>
      <c r="D2" s="3">
        <f>VLOOKUP(C2,A3:C15,3,0)</f>
        <v>0</v>
      </c>
      <c r="E2" s="3">
        <f>Transfero!K9</f>
        <v>40</v>
      </c>
      <c r="F2" s="3" t="str">
        <f>VLOOKUP(C2,A3:C15,2,0)</f>
        <v>woda</v>
      </c>
    </row>
    <row r="3" spans="1:26">
      <c r="A3" s="3">
        <v>1</v>
      </c>
      <c r="B3" s="3" t="s">
        <v>6</v>
      </c>
      <c r="C3" s="3">
        <v>0</v>
      </c>
    </row>
    <row r="4" spans="1:26">
      <c r="A4" s="3">
        <v>2</v>
      </c>
      <c r="B4" s="475" t="s">
        <v>1015</v>
      </c>
      <c r="C4" s="3">
        <v>15</v>
      </c>
      <c r="I4" s="293"/>
      <c r="J4" s="294"/>
      <c r="K4" s="477"/>
      <c r="L4" s="497" t="s">
        <v>666</v>
      </c>
      <c r="M4" s="498"/>
      <c r="N4" s="498"/>
      <c r="O4" s="498"/>
      <c r="P4" s="498"/>
      <c r="Q4" s="477"/>
      <c r="R4" s="497" t="s">
        <v>667</v>
      </c>
      <c r="S4" s="498"/>
      <c r="T4" s="498"/>
      <c r="U4" s="498"/>
      <c r="V4" s="498"/>
    </row>
    <row r="5" spans="1:26">
      <c r="A5" s="3">
        <v>3</v>
      </c>
      <c r="B5" s="3" t="s">
        <v>672</v>
      </c>
      <c r="C5" s="3">
        <v>20</v>
      </c>
      <c r="E5" s="9" t="s">
        <v>158</v>
      </c>
      <c r="F5" s="3">
        <v>19</v>
      </c>
      <c r="I5" s="3" t="s">
        <v>640</v>
      </c>
      <c r="J5" s="4">
        <v>0</v>
      </c>
      <c r="K5" s="4">
        <v>15</v>
      </c>
      <c r="L5" s="4">
        <v>20</v>
      </c>
      <c r="M5" s="4">
        <v>25</v>
      </c>
      <c r="N5" s="4">
        <v>30</v>
      </c>
      <c r="O5" s="4">
        <v>35</v>
      </c>
      <c r="P5" s="4">
        <v>40</v>
      </c>
      <c r="Q5" s="4">
        <v>15</v>
      </c>
      <c r="R5" s="4">
        <v>20</v>
      </c>
      <c r="S5" s="4">
        <v>25</v>
      </c>
      <c r="T5" s="4">
        <v>30</v>
      </c>
      <c r="U5" s="4">
        <v>35</v>
      </c>
      <c r="V5" s="4">
        <v>40</v>
      </c>
      <c r="W5" s="3" t="s">
        <v>640</v>
      </c>
    </row>
    <row r="6" spans="1:26">
      <c r="A6" s="3">
        <v>4</v>
      </c>
      <c r="B6" s="3" t="s">
        <v>671</v>
      </c>
      <c r="C6" s="3">
        <v>25</v>
      </c>
      <c r="E6" s="9" t="s">
        <v>157</v>
      </c>
      <c r="F6" s="15">
        <f>F5/10</f>
        <v>1.9</v>
      </c>
      <c r="J6" s="4">
        <v>1</v>
      </c>
      <c r="K6" s="4">
        <v>2</v>
      </c>
      <c r="L6" s="4">
        <v>3</v>
      </c>
      <c r="M6" s="4">
        <v>4</v>
      </c>
      <c r="N6" s="4">
        <v>5</v>
      </c>
      <c r="O6" s="4">
        <v>6</v>
      </c>
      <c r="P6" s="4">
        <v>7</v>
      </c>
      <c r="Q6" s="4">
        <v>8</v>
      </c>
      <c r="R6" s="4">
        <v>9</v>
      </c>
      <c r="S6" s="4">
        <v>10</v>
      </c>
      <c r="T6" s="4">
        <v>11</v>
      </c>
      <c r="U6" s="4">
        <v>12</v>
      </c>
      <c r="V6" s="4">
        <v>13</v>
      </c>
      <c r="Y6" s="9" t="s">
        <v>643</v>
      </c>
      <c r="Z6" s="3" t="s">
        <v>10</v>
      </c>
    </row>
    <row r="7" spans="1:26">
      <c r="A7" s="3">
        <v>5</v>
      </c>
      <c r="B7" s="3" t="s">
        <v>670</v>
      </c>
      <c r="C7" s="3">
        <v>30</v>
      </c>
      <c r="E7" s="1"/>
      <c r="F7" s="15"/>
      <c r="I7" s="269">
        <v>-26</v>
      </c>
      <c r="J7" s="4"/>
      <c r="K7" s="4"/>
      <c r="L7" s="4"/>
      <c r="M7" s="4"/>
      <c r="N7" s="4"/>
      <c r="O7" s="4"/>
      <c r="P7" s="270">
        <v>1072.9000000000001</v>
      </c>
      <c r="Q7" s="270"/>
      <c r="T7" s="4"/>
      <c r="U7" s="4"/>
      <c r="W7" s="269">
        <v>-26</v>
      </c>
      <c r="Y7" s="3">
        <f>Transfero!K11</f>
        <v>5</v>
      </c>
      <c r="Z7" s="3">
        <f>Transfero!K9</f>
        <v>40</v>
      </c>
    </row>
    <row r="8" spans="1:26">
      <c r="A8" s="3">
        <v>6</v>
      </c>
      <c r="B8" s="3" t="s">
        <v>669</v>
      </c>
      <c r="C8" s="3">
        <v>35</v>
      </c>
      <c r="E8" s="9"/>
      <c r="F8" s="31"/>
      <c r="I8" s="269">
        <v>-25</v>
      </c>
      <c r="J8" s="4"/>
      <c r="K8" s="4"/>
      <c r="L8" s="4"/>
      <c r="M8" s="4"/>
      <c r="N8" s="4"/>
      <c r="O8" s="4"/>
      <c r="P8" s="270">
        <v>1072.7</v>
      </c>
      <c r="Q8" s="270"/>
      <c r="T8" s="4"/>
      <c r="U8" s="4"/>
      <c r="W8" s="269">
        <v>-25</v>
      </c>
    </row>
    <row r="9" spans="1:26" ht="15.6">
      <c r="A9" s="3">
        <v>7</v>
      </c>
      <c r="B9" s="3" t="s">
        <v>668</v>
      </c>
      <c r="C9" s="3">
        <v>40</v>
      </c>
      <c r="I9" s="246">
        <v>-24</v>
      </c>
      <c r="J9" s="248"/>
      <c r="K9" s="248"/>
      <c r="L9" s="248"/>
      <c r="M9" s="248"/>
      <c r="N9" s="248"/>
      <c r="O9" s="248"/>
      <c r="P9" s="248">
        <v>1072.5</v>
      </c>
      <c r="Q9" s="248"/>
      <c r="R9" s="248"/>
      <c r="S9" s="248"/>
      <c r="T9" s="248"/>
      <c r="U9" s="248"/>
      <c r="W9" s="246">
        <v>-24</v>
      </c>
      <c r="Y9" s="249" t="s">
        <v>641</v>
      </c>
      <c r="Z9" s="3">
        <f>INDEX(J7:V153,MATCH(Z7,I7:I153,0),MATCH(C2,J6:V6,0))</f>
        <v>992.2</v>
      </c>
    </row>
    <row r="10" spans="1:26" ht="15.6">
      <c r="A10" s="3">
        <v>8</v>
      </c>
      <c r="B10" s="475" t="s">
        <v>1016</v>
      </c>
      <c r="C10" s="3">
        <v>15</v>
      </c>
      <c r="I10" s="246">
        <v>-23</v>
      </c>
      <c r="J10" s="248"/>
      <c r="K10" s="248"/>
      <c r="L10" s="248"/>
      <c r="M10" s="248"/>
      <c r="N10" s="248"/>
      <c r="O10" s="248"/>
      <c r="P10" s="248">
        <v>1072.3</v>
      </c>
      <c r="Q10" s="248"/>
      <c r="R10" s="248"/>
      <c r="S10" s="248"/>
      <c r="T10" s="248"/>
      <c r="U10" s="248"/>
      <c r="W10" s="246">
        <v>-23</v>
      </c>
      <c r="Y10" s="249" t="s">
        <v>642</v>
      </c>
      <c r="Z10" s="3">
        <f>INDEX(J7:V153,MATCH(Y7,I7:I153,0),MATCH(C2,J6:V6,0))</f>
        <v>1000</v>
      </c>
    </row>
    <row r="11" spans="1:26" ht="15.6">
      <c r="A11" s="3">
        <v>9</v>
      </c>
      <c r="B11" s="3" t="s">
        <v>673</v>
      </c>
      <c r="C11" s="3">
        <v>20</v>
      </c>
      <c r="I11" s="246">
        <v>-22</v>
      </c>
      <c r="J11" s="248"/>
      <c r="K11" s="248"/>
      <c r="L11" s="248"/>
      <c r="M11" s="248"/>
      <c r="N11" s="248"/>
      <c r="O11" s="248">
        <v>1064.2</v>
      </c>
      <c r="P11" s="248">
        <v>1072.0999999999999</v>
      </c>
      <c r="Q11" s="248"/>
      <c r="R11" s="248"/>
      <c r="S11" s="248"/>
      <c r="T11" s="248"/>
      <c r="U11" s="248"/>
      <c r="W11" s="246">
        <v>-22</v>
      </c>
      <c r="Y11" s="3" t="s">
        <v>644</v>
      </c>
      <c r="Z11" s="3">
        <f>1/Z9</f>
        <v>1.0078613182826044E-3</v>
      </c>
    </row>
    <row r="12" spans="1:26" ht="15.6">
      <c r="A12" s="3">
        <v>10</v>
      </c>
      <c r="B12" s="3" t="s">
        <v>674</v>
      </c>
      <c r="C12" s="3">
        <v>25</v>
      </c>
      <c r="I12" s="246">
        <v>-21</v>
      </c>
      <c r="J12" s="248"/>
      <c r="K12" s="248"/>
      <c r="L12" s="248"/>
      <c r="M12" s="248"/>
      <c r="N12" s="248"/>
      <c r="O12" s="248">
        <v>1064</v>
      </c>
      <c r="P12" s="248">
        <v>1071.9000000000001</v>
      </c>
      <c r="Q12" s="248"/>
      <c r="R12" s="248"/>
      <c r="S12" s="248"/>
      <c r="T12" s="248"/>
      <c r="U12" s="248"/>
      <c r="V12" s="248">
        <v>1057.5999999999999</v>
      </c>
      <c r="W12" s="246">
        <v>-21</v>
      </c>
      <c r="Y12" s="3" t="s">
        <v>645</v>
      </c>
      <c r="Z12" s="3">
        <f>1/Z10</f>
        <v>1E-3</v>
      </c>
    </row>
    <row r="13" spans="1:26">
      <c r="A13" s="3">
        <v>11</v>
      </c>
      <c r="B13" s="3" t="s">
        <v>675</v>
      </c>
      <c r="C13" s="3">
        <v>30</v>
      </c>
      <c r="I13" s="246">
        <v>-20</v>
      </c>
      <c r="J13" s="248"/>
      <c r="K13" s="248"/>
      <c r="L13" s="248"/>
      <c r="M13" s="248"/>
      <c r="N13" s="248"/>
      <c r="O13" s="248">
        <v>1063.8</v>
      </c>
      <c r="P13" s="248">
        <v>1071.7</v>
      </c>
      <c r="Q13" s="248"/>
      <c r="R13" s="248"/>
      <c r="S13" s="248"/>
      <c r="T13" s="248"/>
      <c r="U13" s="248"/>
      <c r="V13" s="248">
        <v>1057.0999999999999</v>
      </c>
      <c r="W13" s="246">
        <v>-20</v>
      </c>
      <c r="Y13" s="250" t="s">
        <v>646</v>
      </c>
      <c r="Z13" s="251">
        <f>ABS(Z11-Z12)</f>
        <v>7.8613182826043314E-6</v>
      </c>
    </row>
    <row r="14" spans="1:26">
      <c r="A14" s="3">
        <v>12</v>
      </c>
      <c r="B14" s="3" t="s">
        <v>676</v>
      </c>
      <c r="C14" s="3">
        <v>35</v>
      </c>
      <c r="I14" s="246">
        <v>-19</v>
      </c>
      <c r="J14" s="248"/>
      <c r="K14" s="248"/>
      <c r="L14" s="248"/>
      <c r="M14" s="248"/>
      <c r="N14" s="248"/>
      <c r="O14" s="248">
        <v>1063.5</v>
      </c>
      <c r="P14" s="248">
        <v>1071.4000000000001</v>
      </c>
      <c r="Q14" s="248"/>
      <c r="R14" s="248"/>
      <c r="S14" s="248"/>
      <c r="T14" s="248"/>
      <c r="U14" s="248"/>
      <c r="V14" s="248">
        <v>1056.5999999999999</v>
      </c>
      <c r="W14" s="246">
        <v>-19</v>
      </c>
      <c r="Y14" s="9" t="s">
        <v>59</v>
      </c>
      <c r="Z14" s="3">
        <f>Z10*Z13</f>
        <v>7.8613182826043314E-3</v>
      </c>
    </row>
    <row r="15" spans="1:26">
      <c r="A15" s="3">
        <v>13</v>
      </c>
      <c r="B15" s="3" t="s">
        <v>677</v>
      </c>
      <c r="C15" s="3">
        <v>40</v>
      </c>
      <c r="I15" s="246">
        <v>-18</v>
      </c>
      <c r="J15" s="248"/>
      <c r="K15" s="248"/>
      <c r="L15" s="248"/>
      <c r="M15" s="248"/>
      <c r="N15" s="248"/>
      <c r="O15" s="248">
        <v>1063.3</v>
      </c>
      <c r="P15" s="248">
        <v>1071.0999999999999</v>
      </c>
      <c r="Q15" s="248"/>
      <c r="R15" s="248"/>
      <c r="S15" s="248"/>
      <c r="T15" s="248"/>
      <c r="U15" s="248"/>
      <c r="V15" s="248">
        <v>1056.0999999999999</v>
      </c>
      <c r="W15" s="246">
        <v>-18</v>
      </c>
    </row>
    <row r="16" spans="1:26">
      <c r="I16" s="246">
        <v>-17</v>
      </c>
      <c r="J16" s="248"/>
      <c r="K16" s="248"/>
      <c r="L16" s="248"/>
      <c r="M16" s="248"/>
      <c r="N16" s="248"/>
      <c r="O16" s="248">
        <v>1063.0999999999999</v>
      </c>
      <c r="P16" s="248">
        <v>1070.8</v>
      </c>
      <c r="Q16" s="248"/>
      <c r="R16" s="248"/>
      <c r="S16" s="248"/>
      <c r="T16" s="248"/>
      <c r="U16" s="248">
        <v>1051.5</v>
      </c>
      <c r="V16" s="248">
        <v>1055.5999999999999</v>
      </c>
      <c r="W16" s="246">
        <v>-17</v>
      </c>
    </row>
    <row r="17" spans="1:23">
      <c r="B17" s="9" t="s">
        <v>16</v>
      </c>
      <c r="C17" s="3">
        <v>30</v>
      </c>
      <c r="I17" s="246">
        <v>-16</v>
      </c>
      <c r="J17" s="248"/>
      <c r="K17" s="248"/>
      <c r="L17" s="248"/>
      <c r="M17" s="248"/>
      <c r="N17" s="248">
        <v>1051.9000000000001</v>
      </c>
      <c r="O17" s="248">
        <v>1062.8</v>
      </c>
      <c r="P17" s="248">
        <v>1070.5</v>
      </c>
      <c r="Q17" s="248"/>
      <c r="R17" s="248"/>
      <c r="S17" s="248"/>
      <c r="T17" s="248"/>
      <c r="U17" s="248">
        <v>1051.0999999999999</v>
      </c>
      <c r="V17" s="248">
        <v>1055.0999999999999</v>
      </c>
      <c r="W17" s="246">
        <v>-16</v>
      </c>
    </row>
    <row r="18" spans="1:23">
      <c r="I18" s="246">
        <v>-15</v>
      </c>
      <c r="J18" s="248"/>
      <c r="K18" s="248"/>
      <c r="L18" s="248"/>
      <c r="M18" s="248"/>
      <c r="N18" s="248">
        <v>1051.7</v>
      </c>
      <c r="O18" s="248">
        <v>1062.5999999999999</v>
      </c>
      <c r="P18" s="248">
        <v>1070.2</v>
      </c>
      <c r="Q18" s="248"/>
      <c r="R18" s="248"/>
      <c r="S18" s="248"/>
      <c r="T18" s="248"/>
      <c r="U18" s="248">
        <v>1050.5999999999999</v>
      </c>
      <c r="V18" s="248">
        <v>1054.5999999999999</v>
      </c>
      <c r="W18" s="246">
        <v>-15</v>
      </c>
    </row>
    <row r="19" spans="1:23">
      <c r="B19" s="9" t="s">
        <v>17</v>
      </c>
      <c r="C19" s="10">
        <f>IF(D19&gt;E19,D19,E19)</f>
        <v>4</v>
      </c>
      <c r="D19" s="10">
        <f>IF(Transfero!K17&lt;38,Transfero!K17/10+1.3,(Transfero!K17/10+1)/0.9)</f>
        <v>3.9000000000000004</v>
      </c>
      <c r="E19" s="10">
        <f>IF(Transfero!K19&gt;5,(Transfero!E97+0.1*Transfero!K19)+0.5,Transfero!E97+1)</f>
        <v>4</v>
      </c>
      <c r="I19" s="246">
        <v>-14</v>
      </c>
      <c r="J19" s="248"/>
      <c r="K19" s="248"/>
      <c r="L19" s="248"/>
      <c r="M19" s="248"/>
      <c r="N19" s="248">
        <v>1051.5</v>
      </c>
      <c r="O19" s="248">
        <v>1062.3</v>
      </c>
      <c r="P19" s="248">
        <v>1069.9000000000001</v>
      </c>
      <c r="Q19" s="248"/>
      <c r="R19" s="248"/>
      <c r="S19" s="248"/>
      <c r="T19" s="248">
        <v>1045.8</v>
      </c>
      <c r="U19" s="248">
        <v>1050.0999999999999</v>
      </c>
      <c r="V19" s="248">
        <v>1054.0999999999999</v>
      </c>
      <c r="W19" s="246">
        <v>-14</v>
      </c>
    </row>
    <row r="20" spans="1:23">
      <c r="C20" s="3">
        <f>IF(C21,1,0)</f>
        <v>0</v>
      </c>
      <c r="I20" s="246">
        <v>-13</v>
      </c>
      <c r="J20" s="248"/>
      <c r="K20" s="248"/>
      <c r="L20" s="248"/>
      <c r="M20" s="248"/>
      <c r="N20" s="248">
        <v>1051.3</v>
      </c>
      <c r="O20" s="248">
        <v>1062.0999999999999</v>
      </c>
      <c r="P20" s="248">
        <v>1069.5999999999999</v>
      </c>
      <c r="Q20" s="248"/>
      <c r="R20" s="248"/>
      <c r="S20" s="248"/>
      <c r="T20" s="248">
        <v>1045.5999999999999</v>
      </c>
      <c r="U20" s="248">
        <v>1049.5999999999999</v>
      </c>
      <c r="V20" s="248">
        <v>1053.5999999999999</v>
      </c>
      <c r="W20" s="246">
        <v>-13</v>
      </c>
    </row>
    <row r="21" spans="1:23">
      <c r="B21" s="9" t="s">
        <v>19</v>
      </c>
      <c r="C21" s="26" t="b">
        <v>0</v>
      </c>
      <c r="D21" s="3">
        <f>IF(C20=1,5,0)</f>
        <v>0</v>
      </c>
      <c r="I21" s="246">
        <v>-12</v>
      </c>
      <c r="J21" s="248"/>
      <c r="K21" s="248"/>
      <c r="L21" s="248"/>
      <c r="M21" s="248">
        <v>1043.7</v>
      </c>
      <c r="N21" s="248">
        <v>1051.0999999999999</v>
      </c>
      <c r="O21" s="248">
        <v>1061.8</v>
      </c>
      <c r="P21" s="248">
        <v>1069.3</v>
      </c>
      <c r="Q21" s="248"/>
      <c r="R21" s="248"/>
      <c r="S21" s="248"/>
      <c r="T21" s="248">
        <v>1045.0999999999999</v>
      </c>
      <c r="U21" s="248">
        <v>1049.2</v>
      </c>
      <c r="V21" s="248">
        <v>1053.0999999999999</v>
      </c>
      <c r="W21" s="246">
        <v>-12</v>
      </c>
    </row>
    <row r="22" spans="1:23">
      <c r="I22" s="246">
        <v>-11</v>
      </c>
      <c r="J22" s="248"/>
      <c r="K22" s="248"/>
      <c r="L22" s="248"/>
      <c r="M22" s="248">
        <v>1043.5</v>
      </c>
      <c r="N22" s="248">
        <v>1050.9000000000001</v>
      </c>
      <c r="O22" s="248">
        <v>1061.5999999999999</v>
      </c>
      <c r="P22" s="248">
        <v>1069</v>
      </c>
      <c r="Q22" s="248"/>
      <c r="R22" s="248"/>
      <c r="S22" s="248"/>
      <c r="T22" s="248">
        <v>1044.7</v>
      </c>
      <c r="U22" s="248">
        <v>1048.7</v>
      </c>
      <c r="V22" s="248">
        <v>1052.5999999999999</v>
      </c>
      <c r="W22" s="246">
        <v>-11</v>
      </c>
    </row>
    <row r="23" spans="1:23">
      <c r="B23" s="9" t="s">
        <v>29</v>
      </c>
      <c r="C23" s="13">
        <f>Z14</f>
        <v>7.8613182826043314E-3</v>
      </c>
      <c r="E23" s="9" t="s">
        <v>4</v>
      </c>
      <c r="F23" s="3">
        <f>VLOOKUP('4'!B27,'4'!A29:F74,3,0)</f>
        <v>1500</v>
      </c>
      <c r="I23" s="246">
        <v>-10</v>
      </c>
      <c r="J23" s="248"/>
      <c r="K23" s="248"/>
      <c r="L23" s="248"/>
      <c r="M23" s="248">
        <v>1043.3</v>
      </c>
      <c r="N23" s="248">
        <v>1050.7</v>
      </c>
      <c r="O23" s="248">
        <v>1061.4000000000001</v>
      </c>
      <c r="P23" s="248">
        <v>1068.7</v>
      </c>
      <c r="Q23" s="248"/>
      <c r="R23" s="248"/>
      <c r="S23" s="248">
        <v>1039.4000000000001</v>
      </c>
      <c r="T23" s="248">
        <v>1044.3</v>
      </c>
      <c r="U23" s="248">
        <v>1048.2</v>
      </c>
      <c r="V23" s="248">
        <v>1052.0999999999999</v>
      </c>
      <c r="W23" s="246">
        <v>-10</v>
      </c>
    </row>
    <row r="24" spans="1:23" ht="15.6">
      <c r="B24" s="1" t="s">
        <v>39</v>
      </c>
      <c r="C24" s="15">
        <f>Transfero!E81*Transfero!E80/100</f>
        <v>443.5</v>
      </c>
      <c r="E24" s="9" t="s">
        <v>138</v>
      </c>
      <c r="F24" s="3">
        <f>VLOOKUP('4'!B27,'4'!A29:F74,4,0)</f>
        <v>2</v>
      </c>
      <c r="I24" s="246">
        <v>-9</v>
      </c>
      <c r="J24" s="248"/>
      <c r="K24" s="248"/>
      <c r="L24" s="248">
        <v>1034.4000000000001</v>
      </c>
      <c r="M24" s="248">
        <v>1043.0999999999999</v>
      </c>
      <c r="N24" s="248">
        <v>1050.5</v>
      </c>
      <c r="O24" s="248">
        <v>1061</v>
      </c>
      <c r="P24" s="248">
        <v>1068.3</v>
      </c>
      <c r="Q24" s="248"/>
      <c r="R24" s="248"/>
      <c r="S24" s="248">
        <v>1039</v>
      </c>
      <c r="T24" s="248">
        <v>1043.8</v>
      </c>
      <c r="U24" s="248">
        <v>1047.7</v>
      </c>
      <c r="V24" s="248">
        <v>1051.5999999999999</v>
      </c>
      <c r="W24" s="246">
        <v>-9</v>
      </c>
    </row>
    <row r="25" spans="1:23" ht="15.6">
      <c r="B25" s="1" t="s">
        <v>47</v>
      </c>
      <c r="C25" s="3" t="e">
        <f>INDEX(J159:V209,MATCH(E2,I159:I209,0),MATCH(D2,J158:V158,0))</f>
        <v>#N/A</v>
      </c>
      <c r="E25" s="9" t="s">
        <v>144</v>
      </c>
      <c r="F25" s="3">
        <f>VLOOKUP('4'!B27,'4'!A29:G74,7,0)</f>
        <v>360</v>
      </c>
      <c r="I25" s="246">
        <v>-8</v>
      </c>
      <c r="J25" s="248"/>
      <c r="K25" s="248"/>
      <c r="L25" s="248">
        <v>1034.2</v>
      </c>
      <c r="M25" s="248">
        <v>1042.9000000000001</v>
      </c>
      <c r="N25" s="248">
        <v>1050.3</v>
      </c>
      <c r="O25" s="248">
        <v>1060.7</v>
      </c>
      <c r="P25" s="248">
        <v>1067.9000000000001</v>
      </c>
      <c r="Q25" s="248"/>
      <c r="R25" s="248">
        <v>1033</v>
      </c>
      <c r="S25" s="248">
        <v>1038.5</v>
      </c>
      <c r="T25" s="248">
        <v>1043.3</v>
      </c>
      <c r="U25" s="248">
        <v>1047.2</v>
      </c>
      <c r="V25" s="248">
        <v>1051</v>
      </c>
      <c r="W25" s="246">
        <v>-8</v>
      </c>
    </row>
    <row r="26" spans="1:23">
      <c r="I26" s="246">
        <v>-7</v>
      </c>
      <c r="J26" s="248"/>
      <c r="K26" s="248"/>
      <c r="L26" s="248">
        <v>1034</v>
      </c>
      <c r="M26" s="248">
        <v>1042.7</v>
      </c>
      <c r="N26" s="248">
        <v>1050</v>
      </c>
      <c r="O26" s="248">
        <v>1060.3</v>
      </c>
      <c r="P26" s="248">
        <v>1067.5</v>
      </c>
      <c r="Q26" s="248"/>
      <c r="R26" s="248">
        <v>1032.7</v>
      </c>
      <c r="S26" s="248">
        <v>1038.0999999999999</v>
      </c>
      <c r="T26" s="248">
        <v>1042.9000000000001</v>
      </c>
      <c r="U26" s="248">
        <v>1046.8</v>
      </c>
      <c r="V26" s="248">
        <v>1050.5</v>
      </c>
      <c r="W26" s="246">
        <v>-7</v>
      </c>
    </row>
    <row r="27" spans="1:23">
      <c r="B27" s="27">
        <v>8</v>
      </c>
      <c r="C27" s="27"/>
      <c r="D27" s="27"/>
      <c r="E27" s="27"/>
      <c r="F27" s="27"/>
      <c r="I27" s="246">
        <v>-6</v>
      </c>
      <c r="J27" s="248"/>
      <c r="K27" s="248"/>
      <c r="L27" s="248">
        <v>1033.8</v>
      </c>
      <c r="M27" s="248">
        <v>1042.5</v>
      </c>
      <c r="N27" s="248">
        <v>1049.8</v>
      </c>
      <c r="O27" s="248">
        <v>1060</v>
      </c>
      <c r="P27" s="248">
        <v>1067.0999999999999</v>
      </c>
      <c r="Q27" s="248"/>
      <c r="R27" s="248">
        <v>1032.3</v>
      </c>
      <c r="S27" s="248">
        <v>1037.7</v>
      </c>
      <c r="T27" s="248">
        <v>1042.4000000000001</v>
      </c>
      <c r="U27" s="248">
        <v>1046.3</v>
      </c>
      <c r="V27" s="248">
        <v>1050</v>
      </c>
      <c r="W27" s="246">
        <v>-6</v>
      </c>
    </row>
    <row r="28" spans="1:23">
      <c r="B28" s="27"/>
      <c r="C28" s="27" t="s">
        <v>125</v>
      </c>
      <c r="D28" s="27" t="s">
        <v>126</v>
      </c>
      <c r="E28" s="27"/>
      <c r="F28" s="27" t="s">
        <v>128</v>
      </c>
      <c r="G28" s="27" t="s">
        <v>143</v>
      </c>
      <c r="H28" s="27"/>
      <c r="I28" s="246">
        <v>-5</v>
      </c>
      <c r="J28" s="248"/>
      <c r="K28" s="248"/>
      <c r="L28" s="248">
        <v>1033.5999999999999</v>
      </c>
      <c r="M28" s="248">
        <v>1042.3</v>
      </c>
      <c r="N28" s="248">
        <v>1049.5999999999999</v>
      </c>
      <c r="O28" s="248">
        <v>1059.7</v>
      </c>
      <c r="P28" s="248">
        <v>1066.7</v>
      </c>
      <c r="Q28" s="248"/>
      <c r="R28" s="248">
        <v>1031.9000000000001</v>
      </c>
      <c r="S28" s="248">
        <v>1037.3</v>
      </c>
      <c r="T28" s="248">
        <v>1041.9000000000001</v>
      </c>
      <c r="U28" s="248">
        <v>1045.8</v>
      </c>
      <c r="V28" s="248">
        <v>1049.4000000000001</v>
      </c>
      <c r="W28" s="246">
        <v>-5</v>
      </c>
    </row>
    <row r="29" spans="1:23">
      <c r="A29" s="27">
        <v>1</v>
      </c>
      <c r="B29" s="28" t="s">
        <v>611</v>
      </c>
      <c r="C29" s="27">
        <v>200</v>
      </c>
      <c r="D29" s="27">
        <v>2</v>
      </c>
      <c r="E29" s="27"/>
      <c r="F29" s="29">
        <v>7131000</v>
      </c>
      <c r="G29" s="27">
        <v>36</v>
      </c>
      <c r="H29" s="27"/>
      <c r="I29" s="246">
        <v>-4</v>
      </c>
      <c r="J29" s="248"/>
      <c r="K29" s="248"/>
      <c r="L29" s="248">
        <v>1033.4000000000001</v>
      </c>
      <c r="M29" s="248">
        <v>1042.0999999999999</v>
      </c>
      <c r="N29" s="248">
        <v>1049.4000000000001</v>
      </c>
      <c r="O29" s="248">
        <v>1059.3</v>
      </c>
      <c r="P29" s="248">
        <v>1066.3</v>
      </c>
      <c r="Q29" s="248"/>
      <c r="R29" s="248">
        <v>1031.5999999999999</v>
      </c>
      <c r="S29" s="248">
        <v>1036.9000000000001</v>
      </c>
      <c r="T29" s="248">
        <v>1041.5</v>
      </c>
      <c r="U29" s="248">
        <v>1045.3</v>
      </c>
      <c r="V29" s="248">
        <v>1048.9000000000001</v>
      </c>
      <c r="W29" s="246">
        <v>-4</v>
      </c>
    </row>
    <row r="30" spans="1:23">
      <c r="A30" s="27">
        <v>2</v>
      </c>
      <c r="B30" s="28" t="s">
        <v>612</v>
      </c>
      <c r="C30" s="27">
        <v>300</v>
      </c>
      <c r="D30" s="27">
        <v>2</v>
      </c>
      <c r="E30" s="27"/>
      <c r="F30" s="29">
        <v>7131001</v>
      </c>
      <c r="G30" s="27">
        <v>44</v>
      </c>
      <c r="H30" s="27"/>
      <c r="I30" s="246">
        <v>-3</v>
      </c>
      <c r="J30" s="248"/>
      <c r="K30" s="248"/>
      <c r="L30" s="248">
        <v>1033.2</v>
      </c>
      <c r="M30" s="248">
        <v>1041.9000000000001</v>
      </c>
      <c r="N30" s="248">
        <v>1049.0999999999999</v>
      </c>
      <c r="O30" s="248">
        <v>1059</v>
      </c>
      <c r="P30" s="248">
        <v>1065.9000000000001</v>
      </c>
      <c r="Q30" s="248"/>
      <c r="R30" s="248">
        <v>1031.2</v>
      </c>
      <c r="S30" s="248">
        <v>1036.4000000000001</v>
      </c>
      <c r="T30" s="248">
        <v>1041</v>
      </c>
      <c r="U30" s="248">
        <v>1044.8</v>
      </c>
      <c r="V30" s="248">
        <v>1048.4000000000001</v>
      </c>
      <c r="W30" s="246">
        <v>-3</v>
      </c>
    </row>
    <row r="31" spans="1:23">
      <c r="A31" s="27">
        <v>3</v>
      </c>
      <c r="B31" s="28" t="s">
        <v>613</v>
      </c>
      <c r="C31" s="27">
        <v>400</v>
      </c>
      <c r="D31" s="27">
        <v>2</v>
      </c>
      <c r="E31" s="27"/>
      <c r="F31" s="29">
        <v>7131002</v>
      </c>
      <c r="G31" s="27">
        <v>62</v>
      </c>
      <c r="H31" s="27"/>
      <c r="I31" s="246">
        <v>-2</v>
      </c>
      <c r="J31" s="248"/>
      <c r="K31" s="248"/>
      <c r="L31" s="248">
        <v>1033</v>
      </c>
      <c r="M31" s="248">
        <v>1041.7</v>
      </c>
      <c r="N31" s="248">
        <v>1048.9000000000001</v>
      </c>
      <c r="O31" s="248">
        <v>1058.5999999999999</v>
      </c>
      <c r="P31" s="248">
        <v>1065.5</v>
      </c>
      <c r="Q31" s="248"/>
      <c r="R31" s="248">
        <v>1030.8</v>
      </c>
      <c r="S31" s="248">
        <v>1036</v>
      </c>
      <c r="T31" s="248">
        <v>1040.5999999999999</v>
      </c>
      <c r="U31" s="248">
        <v>1044.3</v>
      </c>
      <c r="V31" s="248">
        <v>1047.9000000000001</v>
      </c>
      <c r="W31" s="246">
        <v>-2</v>
      </c>
    </row>
    <row r="32" spans="1:23">
      <c r="A32" s="27">
        <v>4</v>
      </c>
      <c r="B32" s="28" t="s">
        <v>614</v>
      </c>
      <c r="C32" s="27">
        <v>500</v>
      </c>
      <c r="D32" s="27">
        <v>2</v>
      </c>
      <c r="E32" s="27"/>
      <c r="F32" s="29">
        <v>7131003</v>
      </c>
      <c r="G32" s="27">
        <v>71</v>
      </c>
      <c r="H32" s="27"/>
      <c r="I32" s="246">
        <v>-1</v>
      </c>
      <c r="J32" s="248"/>
      <c r="K32" s="248"/>
      <c r="L32" s="248">
        <v>1032.8</v>
      </c>
      <c r="M32" s="248">
        <v>1041.5</v>
      </c>
      <c r="N32" s="248">
        <v>1048.7</v>
      </c>
      <c r="O32" s="248">
        <v>1058.3</v>
      </c>
      <c r="P32" s="248">
        <v>1065.0999999999999</v>
      </c>
      <c r="Q32" s="248"/>
      <c r="R32" s="248">
        <v>1030.4000000000001</v>
      </c>
      <c r="S32" s="248">
        <v>1035.5999999999999</v>
      </c>
      <c r="T32" s="248">
        <v>1040.0999999999999</v>
      </c>
      <c r="U32" s="248">
        <v>1043.8</v>
      </c>
      <c r="V32" s="248">
        <v>1047.3</v>
      </c>
      <c r="W32" s="246">
        <v>-1</v>
      </c>
    </row>
    <row r="33" spans="1:23">
      <c r="A33" s="27">
        <v>5</v>
      </c>
      <c r="B33" s="28" t="s">
        <v>615</v>
      </c>
      <c r="C33" s="27">
        <v>600</v>
      </c>
      <c r="D33" s="27">
        <v>2</v>
      </c>
      <c r="E33" s="27"/>
      <c r="F33" s="29">
        <v>7131004</v>
      </c>
      <c r="G33" s="27">
        <v>78</v>
      </c>
      <c r="H33" s="27"/>
      <c r="I33" s="246">
        <v>0</v>
      </c>
      <c r="J33" s="248">
        <v>999.9</v>
      </c>
      <c r="K33" s="248"/>
      <c r="L33" s="248">
        <v>1032.5999999999999</v>
      </c>
      <c r="M33" s="248">
        <v>1041.3</v>
      </c>
      <c r="N33" s="248">
        <v>1048.5</v>
      </c>
      <c r="O33" s="248">
        <v>1057.9000000000001</v>
      </c>
      <c r="P33" s="248">
        <v>1064.7</v>
      </c>
      <c r="Q33" s="248"/>
      <c r="R33" s="248">
        <v>1030</v>
      </c>
      <c r="S33" s="248">
        <v>1035.2</v>
      </c>
      <c r="T33" s="248">
        <v>1039.5999999999999</v>
      </c>
      <c r="U33" s="248">
        <v>1043.3</v>
      </c>
      <c r="V33" s="248">
        <v>1046.8</v>
      </c>
      <c r="W33" s="246">
        <v>0</v>
      </c>
    </row>
    <row r="34" spans="1:23">
      <c r="A34" s="27">
        <v>6</v>
      </c>
      <c r="B34" s="28" t="s">
        <v>616</v>
      </c>
      <c r="C34" s="27">
        <v>800</v>
      </c>
      <c r="D34" s="27">
        <v>2</v>
      </c>
      <c r="E34" s="27"/>
      <c r="F34" s="29">
        <v>7131005</v>
      </c>
      <c r="G34" s="27">
        <v>99</v>
      </c>
      <c r="H34" s="27"/>
      <c r="I34" s="5">
        <v>1</v>
      </c>
      <c r="J34" s="247">
        <v>999.9</v>
      </c>
      <c r="K34" s="247"/>
      <c r="L34" s="247">
        <v>1032.4000000000001</v>
      </c>
      <c r="M34" s="248">
        <v>1041</v>
      </c>
      <c r="N34" s="247">
        <v>1048.0999999999999</v>
      </c>
      <c r="O34" s="248">
        <v>1057.5</v>
      </c>
      <c r="P34" s="247">
        <v>1064.2</v>
      </c>
      <c r="Q34" s="247"/>
      <c r="R34" s="248">
        <v>1029.5999999999999</v>
      </c>
      <c r="S34" s="248">
        <v>1034.7</v>
      </c>
      <c r="T34" s="247">
        <v>1039.0999999999999</v>
      </c>
      <c r="U34" s="248">
        <v>1042.7</v>
      </c>
      <c r="V34" s="248">
        <v>1046.2</v>
      </c>
      <c r="W34" s="5">
        <v>1</v>
      </c>
    </row>
    <row r="35" spans="1:23">
      <c r="A35" s="27">
        <v>7</v>
      </c>
      <c r="B35" s="28" t="s">
        <v>617</v>
      </c>
      <c r="C35" s="27">
        <v>1000</v>
      </c>
      <c r="D35" s="27">
        <v>2</v>
      </c>
      <c r="E35" s="27"/>
      <c r="F35" s="29">
        <v>7131006</v>
      </c>
      <c r="G35" s="27">
        <v>280</v>
      </c>
      <c r="H35" s="27"/>
      <c r="I35" s="5">
        <v>2</v>
      </c>
      <c r="J35" s="247">
        <v>999.9</v>
      </c>
      <c r="K35" s="247"/>
      <c r="L35" s="247">
        <v>1032.3</v>
      </c>
      <c r="M35" s="248">
        <v>1040.8</v>
      </c>
      <c r="N35" s="247">
        <v>1047.8</v>
      </c>
      <c r="O35" s="248">
        <v>1057.0999999999999</v>
      </c>
      <c r="P35" s="247">
        <v>1063.8</v>
      </c>
      <c r="Q35" s="247"/>
      <c r="R35" s="247">
        <v>1029.0999999999999</v>
      </c>
      <c r="S35" s="248">
        <v>1034.3</v>
      </c>
      <c r="T35" s="247">
        <v>1038.5999999999999</v>
      </c>
      <c r="U35" s="248">
        <v>1042.2</v>
      </c>
      <c r="V35" s="248">
        <v>1045.7</v>
      </c>
      <c r="W35" s="5">
        <v>2</v>
      </c>
    </row>
    <row r="36" spans="1:23">
      <c r="A36" s="27">
        <v>8</v>
      </c>
      <c r="B36" s="28" t="s">
        <v>618</v>
      </c>
      <c r="C36" s="27">
        <v>1500</v>
      </c>
      <c r="D36" s="27">
        <v>2</v>
      </c>
      <c r="E36" s="27"/>
      <c r="F36" s="29">
        <v>7131007</v>
      </c>
      <c r="G36" s="27">
        <v>360</v>
      </c>
      <c r="H36" s="27"/>
      <c r="I36" s="5">
        <v>3</v>
      </c>
      <c r="J36" s="247">
        <v>1000</v>
      </c>
      <c r="K36" s="247"/>
      <c r="L36" s="247">
        <v>1032.0999999999999</v>
      </c>
      <c r="M36" s="248">
        <v>1040.5</v>
      </c>
      <c r="N36" s="247">
        <v>1047.5</v>
      </c>
      <c r="O36" s="248">
        <v>1056.7</v>
      </c>
      <c r="P36" s="247">
        <v>1063.4000000000001</v>
      </c>
      <c r="Q36" s="247"/>
      <c r="R36" s="247">
        <v>1028.7</v>
      </c>
      <c r="S36" s="248">
        <v>1033.8</v>
      </c>
      <c r="T36" s="247">
        <v>1038.0999999999999</v>
      </c>
      <c r="U36" s="248">
        <v>1041.7</v>
      </c>
      <c r="V36" s="248">
        <v>1045.0999999999999</v>
      </c>
      <c r="W36" s="5">
        <v>3</v>
      </c>
    </row>
    <row r="37" spans="1:23">
      <c r="A37" s="27">
        <v>9</v>
      </c>
      <c r="B37" s="28" t="s">
        <v>619</v>
      </c>
      <c r="C37" s="27">
        <v>2000</v>
      </c>
      <c r="D37" s="27">
        <v>2</v>
      </c>
      <c r="E37" s="27"/>
      <c r="F37" s="29">
        <v>7131012</v>
      </c>
      <c r="G37" s="27">
        <v>640</v>
      </c>
      <c r="H37" s="27"/>
      <c r="I37" s="5">
        <v>4</v>
      </c>
      <c r="J37" s="247">
        <v>1000</v>
      </c>
      <c r="K37" s="247"/>
      <c r="L37" s="247">
        <v>1031.9000000000001</v>
      </c>
      <c r="M37" s="248">
        <v>1040.3</v>
      </c>
      <c r="N37" s="247">
        <v>1047.0999999999999</v>
      </c>
      <c r="O37" s="248">
        <v>1056.3</v>
      </c>
      <c r="P37" s="247">
        <v>1062.9000000000001</v>
      </c>
      <c r="Q37" s="247"/>
      <c r="R37" s="247">
        <v>1028.3</v>
      </c>
      <c r="S37" s="248">
        <v>1033.3</v>
      </c>
      <c r="T37" s="247">
        <v>1037.5999999999999</v>
      </c>
      <c r="U37" s="248">
        <v>1041.2</v>
      </c>
      <c r="V37" s="248">
        <v>1044.5999999999999</v>
      </c>
      <c r="W37" s="5">
        <v>4</v>
      </c>
    </row>
    <row r="38" spans="1:23">
      <c r="A38" s="27">
        <v>10</v>
      </c>
      <c r="B38" s="28" t="s">
        <v>620</v>
      </c>
      <c r="C38" s="27">
        <v>3000</v>
      </c>
      <c r="D38" s="27">
        <v>2</v>
      </c>
      <c r="E38" s="27"/>
      <c r="F38" s="29">
        <v>7131009</v>
      </c>
      <c r="G38" s="27">
        <v>800</v>
      </c>
      <c r="H38" s="27"/>
      <c r="I38" s="5">
        <v>5</v>
      </c>
      <c r="J38" s="247">
        <v>1000</v>
      </c>
      <c r="K38" s="247"/>
      <c r="L38" s="247">
        <v>1031.7</v>
      </c>
      <c r="M38" s="248">
        <v>1040</v>
      </c>
      <c r="N38" s="247">
        <v>1046.8</v>
      </c>
      <c r="O38" s="248">
        <v>1055.9000000000001</v>
      </c>
      <c r="P38" s="247">
        <v>1062.5</v>
      </c>
      <c r="Q38" s="247"/>
      <c r="R38" s="247">
        <v>1027.9000000000001</v>
      </c>
      <c r="S38" s="248">
        <v>1032.9000000000001</v>
      </c>
      <c r="T38" s="247">
        <v>1037.0999999999999</v>
      </c>
      <c r="U38" s="248">
        <v>1040.5999999999999</v>
      </c>
      <c r="V38" s="248">
        <v>1044</v>
      </c>
      <c r="W38" s="5">
        <v>5</v>
      </c>
    </row>
    <row r="39" spans="1:23">
      <c r="A39" s="27">
        <v>11</v>
      </c>
      <c r="B39" s="28" t="s">
        <v>621</v>
      </c>
      <c r="C39" s="27">
        <v>4000</v>
      </c>
      <c r="D39" s="27">
        <v>2</v>
      </c>
      <c r="E39" s="27"/>
      <c r="F39" s="29">
        <v>7131010</v>
      </c>
      <c r="G39" s="27">
        <v>910</v>
      </c>
      <c r="H39" s="27"/>
      <c r="I39" s="5">
        <v>6</v>
      </c>
      <c r="J39" s="247">
        <v>999.9</v>
      </c>
      <c r="K39" s="247"/>
      <c r="L39" s="247">
        <v>1031.5</v>
      </c>
      <c r="M39" s="248">
        <v>1039.7</v>
      </c>
      <c r="N39" s="247">
        <v>1046.5</v>
      </c>
      <c r="O39" s="248">
        <v>1055.5</v>
      </c>
      <c r="P39" s="247">
        <v>1062.0999999999999</v>
      </c>
      <c r="Q39" s="247"/>
      <c r="R39" s="247">
        <v>1027.4000000000001</v>
      </c>
      <c r="S39" s="248">
        <v>1032.4000000000001</v>
      </c>
      <c r="T39" s="247">
        <v>1036.5999999999999</v>
      </c>
      <c r="U39" s="248">
        <v>1040.0999999999999</v>
      </c>
      <c r="V39" s="248">
        <v>1043.5</v>
      </c>
      <c r="W39" s="5">
        <v>6</v>
      </c>
    </row>
    <row r="40" spans="1:23">
      <c r="A40" s="27">
        <v>12</v>
      </c>
      <c r="B40" s="28" t="s">
        <v>622</v>
      </c>
      <c r="C40" s="27">
        <v>5000</v>
      </c>
      <c r="D40" s="27">
        <v>2</v>
      </c>
      <c r="E40" s="27"/>
      <c r="F40" s="29">
        <v>7131011</v>
      </c>
      <c r="G40" s="27">
        <v>1010</v>
      </c>
      <c r="H40" s="27"/>
      <c r="I40" s="5">
        <v>7</v>
      </c>
      <c r="J40" s="247">
        <v>999.9</v>
      </c>
      <c r="K40" s="247"/>
      <c r="L40" s="247">
        <v>1031.3</v>
      </c>
      <c r="M40" s="248">
        <v>1039.5</v>
      </c>
      <c r="N40" s="247">
        <v>1046.2</v>
      </c>
      <c r="O40" s="248">
        <v>1055.0999999999999</v>
      </c>
      <c r="P40" s="247">
        <v>1061.5999999999999</v>
      </c>
      <c r="Q40" s="247"/>
      <c r="R40" s="247">
        <v>1027</v>
      </c>
      <c r="S40" s="248">
        <v>1031.9000000000001</v>
      </c>
      <c r="T40" s="247">
        <v>1036.0999999999999</v>
      </c>
      <c r="U40" s="248">
        <v>1039.5999999999999</v>
      </c>
      <c r="V40" s="248">
        <v>1042.9000000000001</v>
      </c>
      <c r="W40" s="5">
        <v>7</v>
      </c>
    </row>
    <row r="41" spans="1:23">
      <c r="A41" s="27"/>
      <c r="B41" s="28"/>
      <c r="C41" s="27"/>
      <c r="D41" s="27"/>
      <c r="E41" s="27"/>
      <c r="F41" s="29"/>
      <c r="G41" s="27"/>
      <c r="H41" s="27"/>
      <c r="I41" s="5">
        <v>8</v>
      </c>
      <c r="J41" s="247">
        <v>999.8</v>
      </c>
      <c r="K41" s="247"/>
      <c r="L41" s="247">
        <v>1031.2</v>
      </c>
      <c r="M41" s="248">
        <v>1039.2</v>
      </c>
      <c r="N41" s="247">
        <v>1045.8</v>
      </c>
      <c r="O41" s="248">
        <v>1054.7</v>
      </c>
      <c r="P41" s="247">
        <v>1061.2</v>
      </c>
      <c r="Q41" s="247"/>
      <c r="R41" s="247">
        <v>1026.5999999999999</v>
      </c>
      <c r="S41" s="248">
        <v>1031.5</v>
      </c>
      <c r="T41" s="247">
        <v>1035.5999999999999</v>
      </c>
      <c r="U41" s="248">
        <v>1039.0999999999999</v>
      </c>
      <c r="V41" s="248">
        <v>1042.4000000000001</v>
      </c>
      <c r="W41" s="5">
        <v>8</v>
      </c>
    </row>
    <row r="42" spans="1:23">
      <c r="A42" s="27"/>
      <c r="B42" s="28"/>
      <c r="C42" s="27"/>
      <c r="D42" s="27"/>
      <c r="E42" s="27"/>
      <c r="F42" s="29"/>
      <c r="G42" s="27"/>
      <c r="H42" s="27"/>
      <c r="I42" s="5">
        <v>9</v>
      </c>
      <c r="J42" s="247">
        <v>999.8</v>
      </c>
      <c r="K42" s="247"/>
      <c r="L42" s="247">
        <v>1031</v>
      </c>
      <c r="M42" s="248">
        <v>1039</v>
      </c>
      <c r="N42" s="247">
        <v>1045.5</v>
      </c>
      <c r="O42" s="248">
        <v>1054.3</v>
      </c>
      <c r="P42" s="247">
        <v>1060.8</v>
      </c>
      <c r="Q42" s="247"/>
      <c r="R42" s="247">
        <v>1026.2</v>
      </c>
      <c r="S42" s="248">
        <v>1031</v>
      </c>
      <c r="T42" s="247">
        <v>1035.0999999999999</v>
      </c>
      <c r="U42" s="248">
        <v>1038.5</v>
      </c>
      <c r="V42" s="248">
        <v>1041.8</v>
      </c>
      <c r="W42" s="5">
        <v>9</v>
      </c>
    </row>
    <row r="43" spans="1:23">
      <c r="A43" s="27"/>
      <c r="B43" s="28"/>
      <c r="C43" s="27"/>
      <c r="D43" s="27"/>
      <c r="E43" s="27"/>
      <c r="F43" s="29"/>
      <c r="G43" s="27"/>
      <c r="H43" s="27"/>
      <c r="I43" s="5">
        <v>10</v>
      </c>
      <c r="J43" s="247">
        <v>999.7</v>
      </c>
      <c r="K43" s="247"/>
      <c r="L43" s="247">
        <v>1030.8</v>
      </c>
      <c r="M43" s="248">
        <v>1038.7</v>
      </c>
      <c r="N43" s="247">
        <v>1045.2</v>
      </c>
      <c r="O43" s="248">
        <v>1053.9000000000001</v>
      </c>
      <c r="P43" s="247">
        <v>1060.3</v>
      </c>
      <c r="Q43" s="247"/>
      <c r="R43" s="247">
        <v>1025.7</v>
      </c>
      <c r="S43" s="248">
        <v>1030.5</v>
      </c>
      <c r="T43" s="247">
        <v>1034.7</v>
      </c>
      <c r="U43" s="248">
        <v>1038</v>
      </c>
      <c r="V43" s="248">
        <v>1041.2</v>
      </c>
      <c r="W43" s="5">
        <v>10</v>
      </c>
    </row>
    <row r="44" spans="1:23">
      <c r="A44" s="27"/>
      <c r="B44" s="28"/>
      <c r="C44" s="27"/>
      <c r="D44" s="27"/>
      <c r="E44" s="27"/>
      <c r="F44" s="27"/>
      <c r="G44" s="27"/>
      <c r="H44" s="27"/>
      <c r="I44" s="5">
        <v>11</v>
      </c>
      <c r="J44" s="247">
        <v>999.6</v>
      </c>
      <c r="K44" s="247"/>
      <c r="L44" s="247">
        <v>1030.5</v>
      </c>
      <c r="M44" s="248">
        <v>1038.4000000000001</v>
      </c>
      <c r="N44" s="247">
        <v>1044.8</v>
      </c>
      <c r="O44" s="248">
        <v>1053.5</v>
      </c>
      <c r="P44" s="247">
        <v>1059.9000000000001</v>
      </c>
      <c r="Q44" s="247"/>
      <c r="R44" s="247">
        <v>1025.3</v>
      </c>
      <c r="S44" s="248">
        <v>1030</v>
      </c>
      <c r="T44" s="247">
        <v>1034.0999999999999</v>
      </c>
      <c r="U44" s="248">
        <v>1037.4000000000001</v>
      </c>
      <c r="V44" s="248">
        <v>1040.7</v>
      </c>
      <c r="W44" s="5">
        <v>11</v>
      </c>
    </row>
    <row r="45" spans="1:23">
      <c r="A45" s="27"/>
      <c r="B45" s="28"/>
      <c r="C45" s="27"/>
      <c r="D45" s="27"/>
      <c r="E45" s="27"/>
      <c r="F45" s="27"/>
      <c r="G45" s="27"/>
      <c r="H45" s="27"/>
      <c r="I45" s="5">
        <v>12</v>
      </c>
      <c r="J45" s="247">
        <v>999.4</v>
      </c>
      <c r="K45" s="247"/>
      <c r="L45" s="247">
        <v>1030.2</v>
      </c>
      <c r="M45" s="248">
        <v>1038</v>
      </c>
      <c r="N45" s="247">
        <v>1044.4000000000001</v>
      </c>
      <c r="O45" s="248">
        <v>1053.0999999999999</v>
      </c>
      <c r="P45" s="247">
        <v>1059.5</v>
      </c>
      <c r="Q45" s="247"/>
      <c r="R45" s="247">
        <v>1024.8</v>
      </c>
      <c r="S45" s="248">
        <v>1029.5</v>
      </c>
      <c r="T45" s="247">
        <v>1033.5999999999999</v>
      </c>
      <c r="U45" s="248">
        <v>1036.9000000000001</v>
      </c>
      <c r="V45" s="248">
        <v>1040.0999999999999</v>
      </c>
      <c r="W45" s="5">
        <v>12</v>
      </c>
    </row>
    <row r="46" spans="1:23">
      <c r="A46" s="27"/>
      <c r="B46" s="28"/>
      <c r="C46" s="27"/>
      <c r="D46" s="27"/>
      <c r="E46" s="27"/>
      <c r="F46" s="27"/>
      <c r="G46" s="27"/>
      <c r="H46" s="27"/>
      <c r="I46" s="5">
        <v>13</v>
      </c>
      <c r="J46" s="247">
        <v>999.3</v>
      </c>
      <c r="K46" s="247"/>
      <c r="L46" s="247">
        <v>1029.9000000000001</v>
      </c>
      <c r="M46" s="248">
        <v>1037.5999999999999</v>
      </c>
      <c r="N46" s="247">
        <v>1044</v>
      </c>
      <c r="O46" s="248">
        <v>1052.7</v>
      </c>
      <c r="P46" s="247">
        <v>1059</v>
      </c>
      <c r="Q46" s="247"/>
      <c r="R46" s="247">
        <v>1024.4000000000001</v>
      </c>
      <c r="S46" s="248">
        <v>1029</v>
      </c>
      <c r="T46" s="247">
        <v>1033</v>
      </c>
      <c r="U46" s="248">
        <v>1036.3</v>
      </c>
      <c r="V46" s="248">
        <v>1039.5</v>
      </c>
      <c r="W46" s="5">
        <v>13</v>
      </c>
    </row>
    <row r="47" spans="1:23">
      <c r="A47" s="27"/>
      <c r="B47" s="28"/>
      <c r="C47" s="27"/>
      <c r="D47" s="27"/>
      <c r="E47" s="27"/>
      <c r="F47" s="27"/>
      <c r="G47" s="27"/>
      <c r="H47" s="27"/>
      <c r="I47" s="5">
        <v>14</v>
      </c>
      <c r="J47" s="247">
        <v>999.1</v>
      </c>
      <c r="K47" s="247"/>
      <c r="L47" s="247">
        <v>1029.7</v>
      </c>
      <c r="M47" s="248">
        <v>1037.3</v>
      </c>
      <c r="N47" s="247">
        <v>1043.5999999999999</v>
      </c>
      <c r="O47" s="248">
        <v>1052.3</v>
      </c>
      <c r="P47" s="247">
        <v>1058.5999999999999</v>
      </c>
      <c r="Q47" s="247"/>
      <c r="R47" s="247">
        <v>1023.9</v>
      </c>
      <c r="S47" s="248">
        <v>1028.5</v>
      </c>
      <c r="T47" s="247">
        <v>1032.5</v>
      </c>
      <c r="U47" s="248">
        <v>1035.8</v>
      </c>
      <c r="V47" s="248">
        <v>1038.9000000000001</v>
      </c>
      <c r="W47" s="5">
        <v>14</v>
      </c>
    </row>
    <row r="48" spans="1:23">
      <c r="A48" s="27"/>
      <c r="B48" s="28"/>
      <c r="C48" s="27"/>
      <c r="D48" s="27"/>
      <c r="E48" s="27"/>
      <c r="F48" s="27"/>
      <c r="G48" s="27"/>
      <c r="H48" s="27"/>
      <c r="I48" s="5">
        <v>15</v>
      </c>
      <c r="J48" s="247">
        <v>999</v>
      </c>
      <c r="K48" s="247"/>
      <c r="L48" s="247">
        <v>1029.4000000000001</v>
      </c>
      <c r="M48" s="248">
        <v>1036.9000000000001</v>
      </c>
      <c r="N48" s="247">
        <v>1043.2</v>
      </c>
      <c r="O48" s="248">
        <v>1051.9000000000001</v>
      </c>
      <c r="P48" s="247">
        <v>1058.2</v>
      </c>
      <c r="Q48" s="247"/>
      <c r="R48" s="247">
        <v>1023.4</v>
      </c>
      <c r="S48" s="248">
        <v>1028</v>
      </c>
      <c r="T48" s="247">
        <v>1032</v>
      </c>
      <c r="U48" s="248">
        <v>1035.2</v>
      </c>
      <c r="V48" s="248">
        <v>1038.3</v>
      </c>
      <c r="W48" s="5">
        <v>15</v>
      </c>
    </row>
    <row r="49" spans="1:23">
      <c r="A49" s="27"/>
      <c r="B49" s="28"/>
      <c r="C49" s="27"/>
      <c r="D49" s="27"/>
      <c r="E49" s="27"/>
      <c r="F49" s="27"/>
      <c r="G49" s="27"/>
      <c r="H49" s="27"/>
      <c r="I49" s="5">
        <v>16</v>
      </c>
      <c r="J49" s="247">
        <v>998.8</v>
      </c>
      <c r="K49" s="247"/>
      <c r="L49" s="247">
        <v>1029.0999999999999</v>
      </c>
      <c r="M49" s="248">
        <v>1036.5999999999999</v>
      </c>
      <c r="N49" s="247">
        <v>1042.8</v>
      </c>
      <c r="O49" s="248">
        <v>1051.5</v>
      </c>
      <c r="P49" s="247">
        <v>1057.7</v>
      </c>
      <c r="Q49" s="247"/>
      <c r="R49" s="247">
        <v>1023</v>
      </c>
      <c r="S49" s="248">
        <v>1027.5</v>
      </c>
      <c r="T49" s="247">
        <v>1031.4000000000001</v>
      </c>
      <c r="U49" s="248">
        <v>1034.5999999999999</v>
      </c>
      <c r="V49" s="248">
        <v>1037.7</v>
      </c>
      <c r="W49" s="5">
        <v>16</v>
      </c>
    </row>
    <row r="50" spans="1:23">
      <c r="A50" s="27"/>
      <c r="B50" s="28"/>
      <c r="C50" s="27"/>
      <c r="D50" s="27"/>
      <c r="E50" s="27"/>
      <c r="F50" s="27"/>
      <c r="G50" s="27"/>
      <c r="H50" s="27"/>
      <c r="I50" s="5">
        <v>17</v>
      </c>
      <c r="J50" s="247">
        <v>998.7</v>
      </c>
      <c r="K50" s="247"/>
      <c r="L50" s="247">
        <v>1028.8</v>
      </c>
      <c r="M50" s="248">
        <v>1036.2</v>
      </c>
      <c r="N50" s="247">
        <v>1042.4000000000001</v>
      </c>
      <c r="O50" s="248">
        <v>1051.0999999999999</v>
      </c>
      <c r="P50" s="247">
        <v>1057.3</v>
      </c>
      <c r="Q50" s="247"/>
      <c r="R50" s="247">
        <v>1022.5</v>
      </c>
      <c r="S50" s="248">
        <v>1027</v>
      </c>
      <c r="T50" s="247">
        <v>1030.9000000000001</v>
      </c>
      <c r="U50" s="248">
        <v>1034.0999999999999</v>
      </c>
      <c r="V50" s="248">
        <v>1037.0999999999999</v>
      </c>
      <c r="W50" s="5">
        <v>17</v>
      </c>
    </row>
    <row r="51" spans="1:23">
      <c r="A51" s="27"/>
      <c r="B51" s="28"/>
      <c r="C51" s="27"/>
      <c r="D51" s="27"/>
      <c r="E51" s="27"/>
      <c r="F51" s="27"/>
      <c r="G51" s="27"/>
      <c r="H51" s="27"/>
      <c r="I51" s="5">
        <v>18</v>
      </c>
      <c r="J51" s="247">
        <v>998.5</v>
      </c>
      <c r="K51" s="247"/>
      <c r="L51" s="247">
        <v>1028.5</v>
      </c>
      <c r="M51" s="248">
        <v>1035.9000000000001</v>
      </c>
      <c r="N51" s="247">
        <v>1042</v>
      </c>
      <c r="O51" s="248">
        <v>1050.7</v>
      </c>
      <c r="P51" s="247">
        <v>1056.9000000000001</v>
      </c>
      <c r="Q51" s="247"/>
      <c r="R51" s="247">
        <v>1022</v>
      </c>
      <c r="S51" s="248">
        <v>1026.5</v>
      </c>
      <c r="T51" s="247">
        <v>1030.4000000000001</v>
      </c>
      <c r="U51" s="248">
        <v>1033.5</v>
      </c>
      <c r="V51" s="248">
        <v>1036.5</v>
      </c>
      <c r="W51" s="5">
        <v>18</v>
      </c>
    </row>
    <row r="52" spans="1:23">
      <c r="A52" s="27"/>
      <c r="B52" s="28"/>
      <c r="C52" s="27"/>
      <c r="D52" s="27"/>
      <c r="E52" s="27"/>
      <c r="F52" s="27"/>
      <c r="G52" s="27"/>
      <c r="H52" s="27"/>
      <c r="I52" s="5">
        <v>19</v>
      </c>
      <c r="J52" s="247">
        <v>998.4</v>
      </c>
      <c r="K52" s="247"/>
      <c r="L52" s="247">
        <v>1028.2</v>
      </c>
      <c r="M52" s="248">
        <v>1035.5</v>
      </c>
      <c r="N52" s="247">
        <v>1041.5999999999999</v>
      </c>
      <c r="O52" s="248">
        <v>1050.3</v>
      </c>
      <c r="P52" s="247">
        <v>1056.4000000000001</v>
      </c>
      <c r="Q52" s="247"/>
      <c r="R52" s="247">
        <v>1021.6</v>
      </c>
      <c r="S52" s="248">
        <v>1026</v>
      </c>
      <c r="T52" s="247">
        <v>1029.8</v>
      </c>
      <c r="U52" s="248">
        <v>1032.9000000000001</v>
      </c>
      <c r="V52" s="248">
        <v>1035.9000000000001</v>
      </c>
      <c r="W52" s="5">
        <v>19</v>
      </c>
    </row>
    <row r="53" spans="1:23">
      <c r="A53" s="27"/>
      <c r="B53" s="28"/>
      <c r="C53" s="27"/>
      <c r="D53" s="27"/>
      <c r="E53" s="27"/>
      <c r="F53" s="27"/>
      <c r="G53" s="27"/>
      <c r="H53" s="27"/>
      <c r="I53" s="5">
        <v>20</v>
      </c>
      <c r="J53" s="248">
        <v>998.2</v>
      </c>
      <c r="K53" s="248"/>
      <c r="L53" s="247">
        <v>1027.9000000000001</v>
      </c>
      <c r="M53" s="248">
        <v>1035.0999999999999</v>
      </c>
      <c r="N53" s="247">
        <v>1041.2</v>
      </c>
      <c r="O53" s="248">
        <v>1049.9000000000001</v>
      </c>
      <c r="P53" s="247">
        <v>1056</v>
      </c>
      <c r="Q53" s="247"/>
      <c r="R53" s="247">
        <v>1021.1</v>
      </c>
      <c r="S53" s="248">
        <v>1025.5999999999999</v>
      </c>
      <c r="T53" s="247">
        <v>1029.3</v>
      </c>
      <c r="U53" s="248">
        <v>1032.4000000000001</v>
      </c>
      <c r="V53" s="248">
        <v>1035.4000000000001</v>
      </c>
      <c r="W53" s="5">
        <v>20</v>
      </c>
    </row>
    <row r="54" spans="1:23">
      <c r="A54" s="27"/>
      <c r="B54" s="28"/>
      <c r="C54" s="27"/>
      <c r="D54" s="27"/>
      <c r="E54" s="27"/>
      <c r="F54" s="27"/>
      <c r="G54" s="27"/>
      <c r="H54" s="27"/>
      <c r="I54" s="5">
        <v>21</v>
      </c>
      <c r="J54" s="248">
        <v>998</v>
      </c>
      <c r="K54" s="248"/>
      <c r="L54" s="247">
        <v>1027.5999999999999</v>
      </c>
      <c r="M54" s="248">
        <v>1034.8</v>
      </c>
      <c r="N54" s="247">
        <v>1040.8</v>
      </c>
      <c r="O54" s="248">
        <v>1049.5</v>
      </c>
      <c r="P54" s="247">
        <v>1055.5</v>
      </c>
      <c r="Q54" s="247"/>
      <c r="R54" s="247">
        <v>1020.6</v>
      </c>
      <c r="S54" s="248">
        <v>1025</v>
      </c>
      <c r="T54" s="247">
        <v>1028.7</v>
      </c>
      <c r="U54" s="248">
        <v>1031.8</v>
      </c>
      <c r="V54" s="248">
        <v>1034.7</v>
      </c>
      <c r="W54" s="5">
        <v>21</v>
      </c>
    </row>
    <row r="55" spans="1:23">
      <c r="A55" s="27"/>
      <c r="B55" s="28"/>
      <c r="C55" s="27"/>
      <c r="D55" s="27"/>
      <c r="E55" s="27"/>
      <c r="F55" s="27"/>
      <c r="G55" s="27"/>
      <c r="H55" s="27"/>
      <c r="I55" s="5">
        <v>22</v>
      </c>
      <c r="J55" s="248">
        <v>997.7</v>
      </c>
      <c r="K55" s="248"/>
      <c r="L55" s="247">
        <v>1027.2</v>
      </c>
      <c r="M55" s="248">
        <v>1034.4000000000001</v>
      </c>
      <c r="N55" s="247">
        <v>1040.4000000000001</v>
      </c>
      <c r="O55" s="248">
        <v>1049</v>
      </c>
      <c r="P55" s="247">
        <v>1055</v>
      </c>
      <c r="Q55" s="247"/>
      <c r="R55" s="247">
        <v>1020.1</v>
      </c>
      <c r="S55" s="248">
        <v>1024.5</v>
      </c>
      <c r="T55" s="247">
        <v>1028.2</v>
      </c>
      <c r="U55" s="248">
        <v>1031.2</v>
      </c>
      <c r="V55" s="248">
        <v>1034.0999999999999</v>
      </c>
      <c r="W55" s="5">
        <v>22</v>
      </c>
    </row>
    <row r="56" spans="1:23">
      <c r="A56" s="27"/>
      <c r="B56" s="28"/>
      <c r="C56" s="27"/>
      <c r="D56" s="27"/>
      <c r="E56" s="27"/>
      <c r="F56" s="27"/>
      <c r="G56" s="27"/>
      <c r="H56" s="27"/>
      <c r="I56" s="5">
        <v>23</v>
      </c>
      <c r="J56" s="248">
        <v>997.5</v>
      </c>
      <c r="K56" s="248"/>
      <c r="L56" s="247">
        <v>1026.9000000000001</v>
      </c>
      <c r="M56" s="248">
        <v>1034</v>
      </c>
      <c r="N56" s="247">
        <v>1040</v>
      </c>
      <c r="O56" s="248">
        <v>1048.5</v>
      </c>
      <c r="P56" s="247">
        <v>1054.5</v>
      </c>
      <c r="Q56" s="247"/>
      <c r="R56" s="247">
        <v>1019.6</v>
      </c>
      <c r="S56" s="248">
        <v>1023.9</v>
      </c>
      <c r="T56" s="247">
        <v>1027.5999999999999</v>
      </c>
      <c r="U56" s="248">
        <v>1030.5999999999999</v>
      </c>
      <c r="V56" s="248">
        <v>1033.5</v>
      </c>
      <c r="W56" s="5">
        <v>23</v>
      </c>
    </row>
    <row r="57" spans="1:23">
      <c r="A57" s="27"/>
      <c r="B57" s="28"/>
      <c r="C57" s="27"/>
      <c r="D57" s="27"/>
      <c r="E57" s="27"/>
      <c r="F57" s="27"/>
      <c r="G57" s="27"/>
      <c r="H57" s="27"/>
      <c r="I57" s="5">
        <v>24</v>
      </c>
      <c r="J57" s="248">
        <v>997.2</v>
      </c>
      <c r="K57" s="248"/>
      <c r="L57" s="247">
        <v>1026.5</v>
      </c>
      <c r="M57" s="248">
        <v>1033.5999999999999</v>
      </c>
      <c r="N57" s="247">
        <v>1039.5999999999999</v>
      </c>
      <c r="O57" s="248">
        <v>1048.0999999999999</v>
      </c>
      <c r="P57" s="247">
        <v>1053.9000000000001</v>
      </c>
      <c r="Q57" s="247"/>
      <c r="R57" s="247">
        <v>1019.1</v>
      </c>
      <c r="S57" s="248">
        <v>1023.4</v>
      </c>
      <c r="T57" s="247">
        <v>1027</v>
      </c>
      <c r="U57" s="248">
        <v>1030</v>
      </c>
      <c r="V57" s="248">
        <v>1032.8</v>
      </c>
      <c r="W57" s="5">
        <v>24</v>
      </c>
    </row>
    <row r="58" spans="1:23">
      <c r="A58" s="27"/>
      <c r="B58" s="28"/>
      <c r="C58" s="27"/>
      <c r="D58" s="27"/>
      <c r="E58" s="27"/>
      <c r="F58" s="27"/>
      <c r="G58" s="27"/>
      <c r="H58" s="27"/>
      <c r="I58" s="5">
        <v>25</v>
      </c>
      <c r="J58" s="248">
        <v>997</v>
      </c>
      <c r="K58" s="248"/>
      <c r="L58" s="247">
        <v>1026.0999999999999</v>
      </c>
      <c r="M58" s="248">
        <v>1033.3</v>
      </c>
      <c r="N58" s="247">
        <v>1039.2</v>
      </c>
      <c r="O58" s="248">
        <v>1047.5999999999999</v>
      </c>
      <c r="P58" s="247">
        <v>1053.4000000000001</v>
      </c>
      <c r="Q58" s="247"/>
      <c r="R58" s="247">
        <v>1018.6</v>
      </c>
      <c r="S58" s="248">
        <v>1022.8</v>
      </c>
      <c r="T58" s="247">
        <v>1026.5</v>
      </c>
      <c r="U58" s="248">
        <v>1029.4000000000001</v>
      </c>
      <c r="V58" s="248">
        <v>1032.2</v>
      </c>
      <c r="W58" s="5">
        <v>25</v>
      </c>
    </row>
    <row r="59" spans="1:23">
      <c r="A59" s="27"/>
      <c r="B59" s="28"/>
      <c r="C59" s="27"/>
      <c r="D59" s="27"/>
      <c r="E59" s="27"/>
      <c r="F59" s="27"/>
      <c r="G59" s="27"/>
      <c r="H59" s="27"/>
      <c r="I59" s="5">
        <v>26</v>
      </c>
      <c r="J59" s="248">
        <v>996.7</v>
      </c>
      <c r="K59" s="248"/>
      <c r="L59" s="247">
        <v>1025.8</v>
      </c>
      <c r="M59" s="248">
        <v>1032.9000000000001</v>
      </c>
      <c r="N59" s="247">
        <v>1038.8</v>
      </c>
      <c r="O59" s="248">
        <v>1047.0999999999999</v>
      </c>
      <c r="P59" s="247">
        <v>1052.9000000000001</v>
      </c>
      <c r="Q59" s="247"/>
      <c r="R59" s="247">
        <v>1018.1</v>
      </c>
      <c r="S59" s="248">
        <v>1022.3</v>
      </c>
      <c r="T59" s="247">
        <v>1025.9000000000001</v>
      </c>
      <c r="U59" s="248">
        <v>1028.8</v>
      </c>
      <c r="V59" s="248">
        <v>1031.5999999999999</v>
      </c>
      <c r="W59" s="5">
        <v>26</v>
      </c>
    </row>
    <row r="60" spans="1:23">
      <c r="A60" s="27"/>
      <c r="B60" s="28"/>
      <c r="C60" s="27"/>
      <c r="D60" s="27"/>
      <c r="E60" s="27"/>
      <c r="F60" s="27"/>
      <c r="G60" s="27"/>
      <c r="H60" s="27"/>
      <c r="I60" s="5">
        <v>27</v>
      </c>
      <c r="J60" s="248">
        <v>996.5</v>
      </c>
      <c r="K60" s="248"/>
      <c r="L60" s="247">
        <v>1025.4000000000001</v>
      </c>
      <c r="M60" s="248">
        <v>1032.5</v>
      </c>
      <c r="N60" s="247">
        <v>1038.4000000000001</v>
      </c>
      <c r="O60" s="248">
        <v>1046.5999999999999</v>
      </c>
      <c r="P60" s="247">
        <v>1052.4000000000001</v>
      </c>
      <c r="Q60" s="247"/>
      <c r="R60" s="247">
        <v>1017.6</v>
      </c>
      <c r="S60" s="248">
        <v>1021.7</v>
      </c>
      <c r="T60" s="247">
        <v>1025.3</v>
      </c>
      <c r="U60" s="248">
        <v>1028.2</v>
      </c>
      <c r="V60" s="248">
        <v>1031</v>
      </c>
      <c r="W60" s="5">
        <v>27</v>
      </c>
    </row>
    <row r="61" spans="1:23">
      <c r="A61" s="27"/>
      <c r="B61" s="28"/>
      <c r="C61" s="27"/>
      <c r="D61" s="27"/>
      <c r="E61" s="27"/>
      <c r="F61" s="27"/>
      <c r="G61" s="27"/>
      <c r="H61" s="27"/>
      <c r="I61" s="5">
        <v>28</v>
      </c>
      <c r="J61" s="248">
        <v>996.2</v>
      </c>
      <c r="K61" s="248"/>
      <c r="L61" s="247">
        <v>1025</v>
      </c>
      <c r="M61" s="248">
        <v>1032.0999999999999</v>
      </c>
      <c r="N61" s="247">
        <v>1038</v>
      </c>
      <c r="O61" s="248">
        <v>1046.2</v>
      </c>
      <c r="P61" s="247">
        <v>1051.9000000000001</v>
      </c>
      <c r="Q61" s="247"/>
      <c r="R61" s="247">
        <v>1017.1</v>
      </c>
      <c r="S61" s="248">
        <v>1021.2</v>
      </c>
      <c r="T61" s="247">
        <v>1024.7</v>
      </c>
      <c r="U61" s="248">
        <v>1027.5999999999999</v>
      </c>
      <c r="V61" s="248">
        <v>1030.3</v>
      </c>
      <c r="W61" s="5">
        <v>28</v>
      </c>
    </row>
    <row r="62" spans="1:23">
      <c r="A62" s="27"/>
      <c r="B62" s="28"/>
      <c r="C62" s="27"/>
      <c r="D62" s="27"/>
      <c r="E62" s="27"/>
      <c r="F62" s="27"/>
      <c r="G62" s="27"/>
      <c r="H62" s="27"/>
      <c r="I62" s="5">
        <v>29</v>
      </c>
      <c r="J62" s="248">
        <v>996</v>
      </c>
      <c r="K62" s="248"/>
      <c r="L62" s="247">
        <v>1024.7</v>
      </c>
      <c r="M62" s="248">
        <v>1031.7</v>
      </c>
      <c r="N62" s="247">
        <v>1037.5999999999999</v>
      </c>
      <c r="O62" s="248">
        <v>1045.7</v>
      </c>
      <c r="P62" s="247">
        <v>1051.4000000000001</v>
      </c>
      <c r="Q62" s="247"/>
      <c r="R62" s="247">
        <v>1016.6</v>
      </c>
      <c r="S62" s="248">
        <v>1020.6</v>
      </c>
      <c r="T62" s="247">
        <v>1024.2</v>
      </c>
      <c r="U62" s="248">
        <v>1027</v>
      </c>
      <c r="V62" s="248">
        <v>1029.7</v>
      </c>
      <c r="W62" s="5">
        <v>29</v>
      </c>
    </row>
    <row r="63" spans="1:23">
      <c r="A63" s="27"/>
      <c r="B63" s="28"/>
      <c r="C63" s="27"/>
      <c r="D63" s="27"/>
      <c r="E63" s="27"/>
      <c r="F63" s="27"/>
      <c r="G63" s="27"/>
      <c r="H63" s="27"/>
      <c r="I63" s="5">
        <v>30</v>
      </c>
      <c r="J63" s="248">
        <v>995.7</v>
      </c>
      <c r="K63" s="248"/>
      <c r="L63" s="247">
        <v>1024.3</v>
      </c>
      <c r="M63" s="248">
        <v>1031.4000000000001</v>
      </c>
      <c r="N63" s="247">
        <v>1037.2</v>
      </c>
      <c r="O63" s="248">
        <v>1045.2</v>
      </c>
      <c r="P63" s="247">
        <v>1050.9000000000001</v>
      </c>
      <c r="Q63" s="247"/>
      <c r="R63" s="247">
        <v>1016.1</v>
      </c>
      <c r="S63" s="248">
        <v>1020.1</v>
      </c>
      <c r="T63" s="247">
        <v>1023.6</v>
      </c>
      <c r="U63" s="248">
        <v>1026.4000000000001</v>
      </c>
      <c r="V63" s="248">
        <v>1029.0999999999999</v>
      </c>
      <c r="W63" s="5">
        <v>30</v>
      </c>
    </row>
    <row r="64" spans="1:23">
      <c r="A64" s="27"/>
      <c r="B64" s="28"/>
      <c r="C64" s="27"/>
      <c r="D64" s="27"/>
      <c r="E64" s="27"/>
      <c r="F64" s="27"/>
      <c r="G64" s="27"/>
      <c r="H64" s="27"/>
      <c r="I64" s="5">
        <v>31</v>
      </c>
      <c r="J64" s="248">
        <v>995.4</v>
      </c>
      <c r="K64" s="248"/>
      <c r="L64" s="247">
        <v>1024</v>
      </c>
      <c r="M64" s="248">
        <v>1031</v>
      </c>
      <c r="N64" s="247">
        <v>1036.8</v>
      </c>
      <c r="O64" s="248">
        <v>1044.8</v>
      </c>
      <c r="P64" s="247">
        <v>1050.4000000000001</v>
      </c>
      <c r="Q64" s="247"/>
      <c r="R64" s="247">
        <v>1015.5</v>
      </c>
      <c r="S64" s="248">
        <v>1019.5</v>
      </c>
      <c r="T64" s="247">
        <v>1023</v>
      </c>
      <c r="U64" s="248">
        <v>1025.8</v>
      </c>
      <c r="V64" s="248">
        <v>1028.4000000000001</v>
      </c>
      <c r="W64" s="5">
        <v>31</v>
      </c>
    </row>
    <row r="65" spans="1:23">
      <c r="A65" s="27"/>
      <c r="B65" s="28"/>
      <c r="C65" s="27"/>
      <c r="D65" s="27"/>
      <c r="E65" s="27"/>
      <c r="F65" s="27"/>
      <c r="G65" s="27"/>
      <c r="H65" s="27"/>
      <c r="I65" s="5">
        <v>32</v>
      </c>
      <c r="J65" s="248">
        <v>995</v>
      </c>
      <c r="K65" s="248"/>
      <c r="L65" s="247">
        <v>1023.6</v>
      </c>
      <c r="M65" s="248">
        <v>1030.5999999999999</v>
      </c>
      <c r="N65" s="247">
        <v>1036.3</v>
      </c>
      <c r="O65" s="248">
        <v>1044.3</v>
      </c>
      <c r="P65" s="247">
        <v>1049.8</v>
      </c>
      <c r="Q65" s="247"/>
      <c r="R65" s="247">
        <v>1015</v>
      </c>
      <c r="S65" s="248">
        <v>1018.9</v>
      </c>
      <c r="T65" s="247">
        <v>1022.4</v>
      </c>
      <c r="U65" s="248">
        <v>1025.2</v>
      </c>
      <c r="V65" s="248">
        <v>1027.8</v>
      </c>
      <c r="W65" s="5">
        <v>32</v>
      </c>
    </row>
    <row r="66" spans="1:23">
      <c r="A66" s="27"/>
      <c r="B66" s="28"/>
      <c r="C66" s="27"/>
      <c r="D66" s="27"/>
      <c r="E66" s="27"/>
      <c r="F66" s="27"/>
      <c r="G66" s="27"/>
      <c r="H66" s="27"/>
      <c r="I66" s="5">
        <v>33</v>
      </c>
      <c r="J66" s="248">
        <v>994.7</v>
      </c>
      <c r="K66" s="248"/>
      <c r="L66" s="247">
        <v>1023.2</v>
      </c>
      <c r="M66" s="248">
        <v>1030.2</v>
      </c>
      <c r="N66" s="247">
        <v>1035.9000000000001</v>
      </c>
      <c r="O66" s="248">
        <v>1043.8</v>
      </c>
      <c r="P66" s="247">
        <v>1049.3</v>
      </c>
      <c r="Q66" s="247"/>
      <c r="R66" s="247">
        <v>1014.4</v>
      </c>
      <c r="S66" s="248">
        <v>1018.4</v>
      </c>
      <c r="T66" s="247">
        <v>1021.8</v>
      </c>
      <c r="U66" s="248">
        <v>1024.5</v>
      </c>
      <c r="V66" s="248">
        <v>1027.0999999999999</v>
      </c>
      <c r="W66" s="5">
        <v>33</v>
      </c>
    </row>
    <row r="67" spans="1:23">
      <c r="A67" s="27"/>
      <c r="B67" s="28"/>
      <c r="C67" s="27"/>
      <c r="D67" s="27"/>
      <c r="E67" s="27"/>
      <c r="F67" s="27"/>
      <c r="G67" s="27"/>
      <c r="H67" s="27"/>
      <c r="I67" s="5">
        <v>34</v>
      </c>
      <c r="J67" s="248">
        <v>994.3</v>
      </c>
      <c r="K67" s="248"/>
      <c r="L67" s="247">
        <v>1022.9</v>
      </c>
      <c r="M67" s="248">
        <v>1029.8</v>
      </c>
      <c r="N67" s="247">
        <v>1035.5</v>
      </c>
      <c r="O67" s="248">
        <v>1043.3</v>
      </c>
      <c r="P67" s="247">
        <v>1048.8</v>
      </c>
      <c r="Q67" s="247"/>
      <c r="R67" s="247">
        <v>1013.9</v>
      </c>
      <c r="S67" s="248">
        <v>1017.8</v>
      </c>
      <c r="T67" s="247">
        <v>1021.2</v>
      </c>
      <c r="U67" s="248">
        <v>1023.9</v>
      </c>
      <c r="V67" s="248">
        <v>1026.4000000000001</v>
      </c>
      <c r="W67" s="5">
        <v>34</v>
      </c>
    </row>
    <row r="68" spans="1:23">
      <c r="A68" s="27"/>
      <c r="B68" s="28"/>
      <c r="C68" s="27"/>
      <c r="D68" s="27"/>
      <c r="E68" s="27"/>
      <c r="F68" s="27"/>
      <c r="G68" s="27"/>
      <c r="H68" s="27"/>
      <c r="I68" s="5">
        <v>35</v>
      </c>
      <c r="J68" s="248">
        <v>994</v>
      </c>
      <c r="K68" s="248"/>
      <c r="L68" s="247">
        <v>1022.5</v>
      </c>
      <c r="M68" s="248">
        <v>1029.5</v>
      </c>
      <c r="N68" s="247">
        <v>1035.0999999999999</v>
      </c>
      <c r="O68" s="248">
        <v>1042.9000000000001</v>
      </c>
      <c r="P68" s="247">
        <v>1048.3</v>
      </c>
      <c r="Q68" s="247"/>
      <c r="R68" s="247">
        <v>1013.4</v>
      </c>
      <c r="S68" s="248">
        <v>1017.2</v>
      </c>
      <c r="T68" s="247">
        <v>1020.6</v>
      </c>
      <c r="U68" s="248">
        <v>1023.3</v>
      </c>
      <c r="V68" s="248">
        <v>1025.8</v>
      </c>
      <c r="W68" s="5">
        <v>35</v>
      </c>
    </row>
    <row r="69" spans="1:23">
      <c r="A69" s="27"/>
      <c r="B69" s="28"/>
      <c r="C69" s="27"/>
      <c r="D69" s="27"/>
      <c r="E69" s="27"/>
      <c r="F69" s="27"/>
      <c r="G69" s="27"/>
      <c r="H69" s="27"/>
      <c r="I69" s="5">
        <v>36</v>
      </c>
      <c r="J69" s="248">
        <v>993.6</v>
      </c>
      <c r="K69" s="248"/>
      <c r="L69" s="247">
        <v>1022.1</v>
      </c>
      <c r="M69" s="248">
        <v>1029.0999999999999</v>
      </c>
      <c r="N69" s="247">
        <v>1034.7</v>
      </c>
      <c r="O69" s="248">
        <v>1042.4000000000001</v>
      </c>
      <c r="P69" s="247">
        <v>1047.8</v>
      </c>
      <c r="Q69" s="247"/>
      <c r="R69" s="247">
        <v>1012.8</v>
      </c>
      <c r="S69" s="248">
        <v>1016.6</v>
      </c>
      <c r="T69" s="247">
        <v>1020</v>
      </c>
      <c r="U69" s="248">
        <v>1022.6</v>
      </c>
      <c r="V69" s="248">
        <v>1025.0999999999999</v>
      </c>
      <c r="W69" s="5">
        <v>36</v>
      </c>
    </row>
    <row r="70" spans="1:23">
      <c r="A70" s="27"/>
      <c r="B70" s="28"/>
      <c r="C70" s="27"/>
      <c r="D70" s="27"/>
      <c r="G70" s="27"/>
      <c r="H70" s="27"/>
      <c r="I70" s="5">
        <v>37</v>
      </c>
      <c r="J70" s="248">
        <v>993.3</v>
      </c>
      <c r="K70" s="248"/>
      <c r="L70" s="247">
        <v>1021.8</v>
      </c>
      <c r="M70" s="248">
        <v>1028.7</v>
      </c>
      <c r="N70" s="247">
        <v>1034.3</v>
      </c>
      <c r="O70" s="248">
        <v>1041.9000000000001</v>
      </c>
      <c r="P70" s="247">
        <v>1047.3</v>
      </c>
      <c r="Q70" s="247"/>
      <c r="R70" s="247">
        <v>1012.3</v>
      </c>
      <c r="S70" s="248">
        <v>1016.1</v>
      </c>
      <c r="T70" s="247">
        <v>1019.3</v>
      </c>
      <c r="U70" s="248">
        <v>1022</v>
      </c>
      <c r="V70" s="248">
        <v>1024.5</v>
      </c>
      <c r="W70" s="5">
        <v>37</v>
      </c>
    </row>
    <row r="71" spans="1:23">
      <c r="A71" s="27"/>
      <c r="B71" s="28"/>
      <c r="C71" s="27"/>
      <c r="D71" s="27"/>
      <c r="G71" s="27"/>
      <c r="H71" s="27"/>
      <c r="I71" s="5">
        <v>38</v>
      </c>
      <c r="J71" s="248">
        <v>992.9</v>
      </c>
      <c r="K71" s="248"/>
      <c r="L71" s="247">
        <v>1021.4</v>
      </c>
      <c r="M71" s="248">
        <v>1028.3</v>
      </c>
      <c r="N71" s="247">
        <v>1033.9000000000001</v>
      </c>
      <c r="O71" s="248">
        <v>1041.5</v>
      </c>
      <c r="P71" s="247">
        <v>1046.8</v>
      </c>
      <c r="Q71" s="247"/>
      <c r="R71" s="247">
        <v>1011.7</v>
      </c>
      <c r="S71" s="248">
        <v>1015.5</v>
      </c>
      <c r="T71" s="247">
        <v>1018.7</v>
      </c>
      <c r="U71" s="248">
        <v>1021.4</v>
      </c>
      <c r="V71" s="248">
        <v>1023.8</v>
      </c>
      <c r="W71" s="5">
        <v>38</v>
      </c>
    </row>
    <row r="72" spans="1:23">
      <c r="A72" s="27"/>
      <c r="B72" s="28"/>
      <c r="C72" s="27"/>
      <c r="D72" s="27"/>
      <c r="G72" s="27"/>
      <c r="H72" s="27"/>
      <c r="I72" s="5">
        <v>39</v>
      </c>
      <c r="J72" s="248">
        <v>992.6</v>
      </c>
      <c r="K72" s="248"/>
      <c r="L72" s="247">
        <v>1021.1</v>
      </c>
      <c r="M72" s="248">
        <v>1028</v>
      </c>
      <c r="N72" s="247">
        <v>1033.5</v>
      </c>
      <c r="O72" s="248">
        <v>1041</v>
      </c>
      <c r="P72" s="247">
        <v>1046.2</v>
      </c>
      <c r="Q72" s="247"/>
      <c r="R72" s="247">
        <v>1011.2</v>
      </c>
      <c r="S72" s="248">
        <v>1014.9</v>
      </c>
      <c r="T72" s="247">
        <v>1018.1</v>
      </c>
      <c r="U72" s="248">
        <v>1020.7</v>
      </c>
      <c r="V72" s="248">
        <v>1023.2</v>
      </c>
      <c r="W72" s="5">
        <v>39</v>
      </c>
    </row>
    <row r="73" spans="1:23">
      <c r="A73" s="27"/>
      <c r="B73" s="28"/>
      <c r="C73" s="27"/>
      <c r="D73" s="27"/>
      <c r="G73" s="27"/>
      <c r="H73" s="27"/>
      <c r="I73" s="5">
        <v>40</v>
      </c>
      <c r="J73" s="248">
        <v>992.2</v>
      </c>
      <c r="K73" s="248"/>
      <c r="L73" s="247">
        <v>1020.7</v>
      </c>
      <c r="M73" s="248">
        <v>1027.5999999999999</v>
      </c>
      <c r="N73" s="247">
        <v>1033.0999999999999</v>
      </c>
      <c r="O73" s="248">
        <v>1040.5</v>
      </c>
      <c r="P73" s="247">
        <v>1045.7</v>
      </c>
      <c r="Q73" s="247"/>
      <c r="R73" s="247">
        <v>1010.6</v>
      </c>
      <c r="S73" s="248">
        <v>1014.3</v>
      </c>
      <c r="T73" s="247">
        <v>1017.5</v>
      </c>
      <c r="U73" s="248">
        <v>1020.1</v>
      </c>
      <c r="V73" s="248">
        <v>1022.5</v>
      </c>
      <c r="W73" s="5">
        <v>40</v>
      </c>
    </row>
    <row r="74" spans="1:23">
      <c r="A74" s="27"/>
      <c r="B74" s="28"/>
      <c r="C74" s="27"/>
      <c r="D74" s="27"/>
      <c r="G74" s="27"/>
      <c r="H74" s="27"/>
      <c r="I74" s="5">
        <v>41</v>
      </c>
      <c r="J74" s="248">
        <v>991.8</v>
      </c>
      <c r="K74" s="248"/>
      <c r="L74" s="247">
        <v>1020.2</v>
      </c>
      <c r="M74" s="248">
        <v>1027</v>
      </c>
      <c r="N74" s="247">
        <v>1032.5999999999999</v>
      </c>
      <c r="O74" s="248">
        <v>1039.9000000000001</v>
      </c>
      <c r="P74" s="247">
        <v>1045.0999999999999</v>
      </c>
      <c r="Q74" s="247"/>
      <c r="R74" s="247">
        <v>1010</v>
      </c>
      <c r="S74" s="248">
        <v>1013.7</v>
      </c>
      <c r="T74" s="247">
        <v>1016.9</v>
      </c>
      <c r="U74" s="248">
        <v>1019.4</v>
      </c>
      <c r="V74" s="248">
        <v>1021.8</v>
      </c>
      <c r="W74" s="5">
        <v>41</v>
      </c>
    </row>
    <row r="75" spans="1:23">
      <c r="I75" s="5">
        <v>42</v>
      </c>
      <c r="J75" s="248">
        <v>991.4</v>
      </c>
      <c r="K75" s="248"/>
      <c r="L75" s="247">
        <v>1019.6</v>
      </c>
      <c r="M75" s="248">
        <v>1026.5</v>
      </c>
      <c r="N75" s="247">
        <v>1032</v>
      </c>
      <c r="O75" s="248">
        <v>1039.3</v>
      </c>
      <c r="P75" s="247">
        <v>1044.5</v>
      </c>
      <c r="Q75" s="247"/>
      <c r="R75" s="247">
        <v>1009.5</v>
      </c>
      <c r="S75" s="248">
        <v>1013.1</v>
      </c>
      <c r="T75" s="247">
        <v>1016.2</v>
      </c>
      <c r="U75" s="248">
        <v>1018.8</v>
      </c>
      <c r="V75" s="248">
        <v>1021.1</v>
      </c>
      <c r="W75" s="5">
        <v>42</v>
      </c>
    </row>
    <row r="76" spans="1:23">
      <c r="B76" s="27">
        <v>1</v>
      </c>
      <c r="C76" s="27" t="s">
        <v>125</v>
      </c>
      <c r="D76" s="27" t="s">
        <v>126</v>
      </c>
      <c r="E76" s="27"/>
      <c r="F76" s="27" t="s">
        <v>128</v>
      </c>
      <c r="G76" s="27" t="s">
        <v>143</v>
      </c>
      <c r="I76" s="5">
        <v>43</v>
      </c>
      <c r="J76" s="248">
        <v>991</v>
      </c>
      <c r="K76" s="248"/>
      <c r="L76" s="247">
        <v>1019.1</v>
      </c>
      <c r="M76" s="248">
        <v>1025.9000000000001</v>
      </c>
      <c r="N76" s="247">
        <v>1031.4000000000001</v>
      </c>
      <c r="O76" s="248">
        <v>1038.7</v>
      </c>
      <c r="P76" s="247">
        <v>1043.9000000000001</v>
      </c>
      <c r="Q76" s="247"/>
      <c r="R76" s="247">
        <v>1008.9</v>
      </c>
      <c r="S76" s="248">
        <v>1012.5</v>
      </c>
      <c r="T76" s="247">
        <v>1015.6</v>
      </c>
      <c r="U76" s="248">
        <v>1018.1</v>
      </c>
      <c r="V76" s="248">
        <v>1020.5</v>
      </c>
      <c r="W76" s="5">
        <v>43</v>
      </c>
    </row>
    <row r="77" spans="1:23">
      <c r="A77" s="27">
        <v>1</v>
      </c>
      <c r="B77" s="28" t="s">
        <v>208</v>
      </c>
      <c r="C77" s="28" t="s">
        <v>208</v>
      </c>
      <c r="D77" s="28" t="s">
        <v>208</v>
      </c>
      <c r="E77" s="28" t="s">
        <v>208</v>
      </c>
      <c r="F77" s="28" t="s">
        <v>208</v>
      </c>
      <c r="G77" s="28" t="s">
        <v>208</v>
      </c>
      <c r="I77" s="5">
        <v>44</v>
      </c>
      <c r="J77" s="248">
        <v>990.6</v>
      </c>
      <c r="K77" s="248"/>
      <c r="L77" s="247">
        <v>1018.6</v>
      </c>
      <c r="M77" s="248">
        <v>1025.4000000000001</v>
      </c>
      <c r="N77" s="247">
        <v>1030.9000000000001</v>
      </c>
      <c r="O77" s="248">
        <v>1038.0999999999999</v>
      </c>
      <c r="P77" s="247">
        <v>1043.3</v>
      </c>
      <c r="Q77" s="247"/>
      <c r="R77" s="247">
        <v>1008.3</v>
      </c>
      <c r="S77" s="248">
        <v>1011.9</v>
      </c>
      <c r="T77" s="247">
        <v>1014.9</v>
      </c>
      <c r="U77" s="248">
        <v>1017.4</v>
      </c>
      <c r="V77" s="248">
        <v>1019.8</v>
      </c>
      <c r="W77" s="5">
        <v>44</v>
      </c>
    </row>
    <row r="78" spans="1:23">
      <c r="A78" s="27">
        <v>2</v>
      </c>
      <c r="B78" s="28" t="s">
        <v>174</v>
      </c>
      <c r="C78" s="27">
        <v>8</v>
      </c>
      <c r="D78" s="27">
        <v>10</v>
      </c>
      <c r="E78" s="27"/>
      <c r="F78" s="29">
        <v>7142020</v>
      </c>
      <c r="G78" s="27">
        <v>3.9</v>
      </c>
      <c r="I78" s="5">
        <v>45</v>
      </c>
      <c r="J78" s="248">
        <v>990.2</v>
      </c>
      <c r="K78" s="248"/>
      <c r="L78" s="247">
        <v>1018</v>
      </c>
      <c r="M78" s="248">
        <v>1024.8</v>
      </c>
      <c r="N78" s="247">
        <v>1030.3</v>
      </c>
      <c r="O78" s="248">
        <v>1037.5</v>
      </c>
      <c r="P78" s="247">
        <v>1042.7</v>
      </c>
      <c r="Q78" s="247"/>
      <c r="R78" s="247">
        <v>1007.7</v>
      </c>
      <c r="S78" s="248">
        <v>1011.3</v>
      </c>
      <c r="T78" s="247">
        <v>1014.3</v>
      </c>
      <c r="U78" s="248">
        <v>1016.8</v>
      </c>
      <c r="V78" s="248">
        <v>1019.1</v>
      </c>
      <c r="W78" s="5">
        <v>45</v>
      </c>
    </row>
    <row r="79" spans="1:23">
      <c r="A79" s="27">
        <v>3</v>
      </c>
      <c r="B79" s="28" t="s">
        <v>175</v>
      </c>
      <c r="C79" s="27">
        <v>12</v>
      </c>
      <c r="D79" s="27">
        <v>10</v>
      </c>
      <c r="E79" s="27"/>
      <c r="F79" s="29">
        <v>7142021</v>
      </c>
      <c r="G79" s="27">
        <v>5.0999999999999996</v>
      </c>
      <c r="I79" s="5">
        <v>46</v>
      </c>
      <c r="J79" s="248">
        <v>989.8</v>
      </c>
      <c r="K79" s="248"/>
      <c r="L79" s="247">
        <v>1017.5</v>
      </c>
      <c r="M79" s="248">
        <v>1024.3</v>
      </c>
      <c r="N79" s="247">
        <v>1029.7</v>
      </c>
      <c r="O79" s="248">
        <v>1036.9000000000001</v>
      </c>
      <c r="P79" s="247">
        <v>1042.0999999999999</v>
      </c>
      <c r="Q79" s="247"/>
      <c r="R79" s="247">
        <v>1007.1</v>
      </c>
      <c r="S79" s="248">
        <v>1010.6</v>
      </c>
      <c r="T79" s="247">
        <v>1013.6</v>
      </c>
      <c r="U79" s="248">
        <v>1016.1</v>
      </c>
      <c r="V79" s="248">
        <v>1018.4</v>
      </c>
      <c r="W79" s="5">
        <v>46</v>
      </c>
    </row>
    <row r="80" spans="1:23">
      <c r="A80" s="27">
        <v>4</v>
      </c>
      <c r="B80" s="28" t="s">
        <v>176</v>
      </c>
      <c r="C80" s="27">
        <v>18</v>
      </c>
      <c r="D80" s="27">
        <v>10</v>
      </c>
      <c r="E80" s="27"/>
      <c r="F80" s="29">
        <v>7142022</v>
      </c>
      <c r="G80" s="27">
        <v>6.3</v>
      </c>
      <c r="I80" s="5">
        <v>47</v>
      </c>
      <c r="J80" s="248">
        <v>989.4</v>
      </c>
      <c r="K80" s="248"/>
      <c r="L80" s="247">
        <v>1017</v>
      </c>
      <c r="M80" s="248">
        <v>1023.7</v>
      </c>
      <c r="N80" s="247">
        <v>1029.2</v>
      </c>
      <c r="O80" s="248">
        <v>1036.3</v>
      </c>
      <c r="P80" s="247">
        <v>1041.4000000000001</v>
      </c>
      <c r="Q80" s="247"/>
      <c r="R80" s="247">
        <v>1006.5</v>
      </c>
      <c r="S80" s="248">
        <v>1010</v>
      </c>
      <c r="T80" s="247">
        <v>1013</v>
      </c>
      <c r="U80" s="248">
        <v>1015.4</v>
      </c>
      <c r="V80" s="248">
        <v>1017.7</v>
      </c>
      <c r="W80" s="5">
        <v>47</v>
      </c>
    </row>
    <row r="81" spans="1:23">
      <c r="A81" s="27">
        <v>5</v>
      </c>
      <c r="B81" s="28" t="s">
        <v>177</v>
      </c>
      <c r="C81" s="27">
        <v>25</v>
      </c>
      <c r="D81" s="27">
        <v>10</v>
      </c>
      <c r="E81" s="27"/>
      <c r="F81" s="29">
        <v>7142023</v>
      </c>
      <c r="G81" s="27">
        <v>8.1</v>
      </c>
      <c r="I81" s="5">
        <v>48</v>
      </c>
      <c r="J81" s="248">
        <v>988.9</v>
      </c>
      <c r="K81" s="248"/>
      <c r="L81" s="247">
        <v>1016.4</v>
      </c>
      <c r="M81" s="248">
        <v>1023.2</v>
      </c>
      <c r="N81" s="247">
        <v>1028.5999999999999</v>
      </c>
      <c r="O81" s="248">
        <v>1035.7</v>
      </c>
      <c r="P81" s="247">
        <v>1040.8</v>
      </c>
      <c r="Q81" s="247"/>
      <c r="R81" s="247">
        <v>1006</v>
      </c>
      <c r="S81" s="248">
        <v>1009.4</v>
      </c>
      <c r="T81" s="247">
        <v>1012.3</v>
      </c>
      <c r="U81" s="248">
        <v>1014.7</v>
      </c>
      <c r="V81" s="248">
        <v>1017</v>
      </c>
      <c r="W81" s="5">
        <v>48</v>
      </c>
    </row>
    <row r="82" spans="1:23">
      <c r="A82" s="27">
        <v>6</v>
      </c>
      <c r="B82" s="28" t="s">
        <v>178</v>
      </c>
      <c r="C82" s="27">
        <v>35</v>
      </c>
      <c r="D82" s="27">
        <v>10</v>
      </c>
      <c r="E82" s="27"/>
      <c r="F82" s="29">
        <v>7142024</v>
      </c>
      <c r="G82" s="27">
        <v>10</v>
      </c>
      <c r="I82" s="5">
        <v>49</v>
      </c>
      <c r="J82" s="248">
        <v>988.5</v>
      </c>
      <c r="K82" s="248"/>
      <c r="L82" s="247">
        <v>1015.9</v>
      </c>
      <c r="M82" s="248">
        <v>1022.6</v>
      </c>
      <c r="N82" s="247">
        <v>1028</v>
      </c>
      <c r="O82" s="248">
        <v>1035.0999999999999</v>
      </c>
      <c r="P82" s="247">
        <v>1040.2</v>
      </c>
      <c r="Q82" s="247"/>
      <c r="R82" s="247">
        <v>1005.4</v>
      </c>
      <c r="S82" s="248">
        <v>1008.8</v>
      </c>
      <c r="T82" s="247">
        <v>1011.7</v>
      </c>
      <c r="U82" s="248">
        <v>1014.1</v>
      </c>
      <c r="V82" s="248">
        <v>1016.3</v>
      </c>
      <c r="W82" s="5">
        <v>49</v>
      </c>
    </row>
    <row r="83" spans="1:23">
      <c r="A83" s="27">
        <v>7</v>
      </c>
      <c r="B83" s="28" t="s">
        <v>179</v>
      </c>
      <c r="C83" s="27">
        <v>50</v>
      </c>
      <c r="D83" s="27">
        <v>10</v>
      </c>
      <c r="E83" s="27"/>
      <c r="F83" s="29">
        <v>7142025</v>
      </c>
      <c r="G83" s="27">
        <v>12.2</v>
      </c>
      <c r="I83" s="5">
        <v>50</v>
      </c>
      <c r="J83" s="248">
        <v>988</v>
      </c>
      <c r="K83" s="248"/>
      <c r="L83" s="247">
        <v>1015.4</v>
      </c>
      <c r="M83" s="248">
        <v>1022.1</v>
      </c>
      <c r="N83" s="247">
        <v>1027.4000000000001</v>
      </c>
      <c r="O83" s="248">
        <v>1034.5</v>
      </c>
      <c r="P83" s="247">
        <v>1039.5999999999999</v>
      </c>
      <c r="Q83" s="247"/>
      <c r="R83" s="247">
        <v>1004.8</v>
      </c>
      <c r="S83" s="248">
        <v>1008.2</v>
      </c>
      <c r="T83" s="247">
        <v>1011.1</v>
      </c>
      <c r="U83" s="248">
        <v>1013.4</v>
      </c>
      <c r="V83" s="248">
        <v>1015.7</v>
      </c>
      <c r="W83" s="5">
        <v>50</v>
      </c>
    </row>
    <row r="84" spans="1:23">
      <c r="A84" s="27">
        <v>8</v>
      </c>
      <c r="B84" s="28" t="s">
        <v>180</v>
      </c>
      <c r="C84" s="27">
        <v>80</v>
      </c>
      <c r="D84" s="27">
        <v>10</v>
      </c>
      <c r="E84" s="27"/>
      <c r="F84" s="29">
        <v>7142026</v>
      </c>
      <c r="G84" s="27">
        <v>16.399999999999999</v>
      </c>
      <c r="I84" s="5">
        <v>51</v>
      </c>
      <c r="J84" s="248">
        <v>987.6</v>
      </c>
      <c r="K84" s="248"/>
      <c r="L84" s="247">
        <v>1014.8</v>
      </c>
      <c r="M84" s="248">
        <v>1021.5</v>
      </c>
      <c r="N84" s="247">
        <v>1026.8</v>
      </c>
      <c r="O84" s="248">
        <v>1033.9000000000001</v>
      </c>
      <c r="P84" s="247">
        <v>1039</v>
      </c>
      <c r="Q84" s="247"/>
      <c r="R84" s="247">
        <v>1004.2</v>
      </c>
      <c r="S84" s="248">
        <v>1007.5</v>
      </c>
      <c r="T84" s="247">
        <v>1010.4</v>
      </c>
      <c r="U84" s="248">
        <v>1012.7</v>
      </c>
      <c r="V84" s="248">
        <v>1014.9</v>
      </c>
      <c r="W84" s="5">
        <v>51</v>
      </c>
    </row>
    <row r="85" spans="1:23">
      <c r="A85" s="27">
        <v>9</v>
      </c>
      <c r="B85" s="28" t="s">
        <v>181</v>
      </c>
      <c r="C85" s="27">
        <v>140</v>
      </c>
      <c r="D85" s="27">
        <v>6</v>
      </c>
      <c r="E85" s="27"/>
      <c r="F85" s="29">
        <v>7141002</v>
      </c>
      <c r="G85" s="27">
        <v>25</v>
      </c>
      <c r="I85" s="5">
        <v>52</v>
      </c>
      <c r="J85" s="248">
        <v>987.1</v>
      </c>
      <c r="K85" s="248"/>
      <c r="L85" s="247">
        <v>1014.2</v>
      </c>
      <c r="M85" s="248">
        <v>1020.9</v>
      </c>
      <c r="N85" s="247">
        <v>1026.2</v>
      </c>
      <c r="O85" s="248">
        <v>1033.3</v>
      </c>
      <c r="P85" s="247">
        <v>1038.3</v>
      </c>
      <c r="Q85" s="247"/>
      <c r="R85" s="247">
        <v>1003.6</v>
      </c>
      <c r="S85" s="248">
        <v>1006.9</v>
      </c>
      <c r="T85" s="247">
        <v>1009.7</v>
      </c>
      <c r="U85" s="248">
        <v>1012</v>
      </c>
      <c r="V85" s="248">
        <v>1014.2</v>
      </c>
      <c r="W85" s="5">
        <v>52</v>
      </c>
    </row>
    <row r="86" spans="1:23">
      <c r="A86" s="27">
        <v>10</v>
      </c>
      <c r="B86" s="28" t="s">
        <v>182</v>
      </c>
      <c r="C86" s="27">
        <v>200</v>
      </c>
      <c r="D86" s="27">
        <v>6</v>
      </c>
      <c r="E86" s="27"/>
      <c r="F86" s="29">
        <v>7141003</v>
      </c>
      <c r="G86" s="27">
        <v>30</v>
      </c>
      <c r="I86" s="5">
        <v>53</v>
      </c>
      <c r="J86" s="248">
        <v>986.6</v>
      </c>
      <c r="K86" s="248"/>
      <c r="L86" s="247">
        <v>1013.6</v>
      </c>
      <c r="M86" s="248">
        <v>1020.3</v>
      </c>
      <c r="N86" s="247">
        <v>1025.5999999999999</v>
      </c>
      <c r="O86" s="248">
        <v>1032.7</v>
      </c>
      <c r="P86" s="247">
        <v>1037.7</v>
      </c>
      <c r="Q86" s="247"/>
      <c r="R86" s="247">
        <v>1002.9</v>
      </c>
      <c r="S86" s="248">
        <v>1006.2</v>
      </c>
      <c r="T86" s="247">
        <v>1009</v>
      </c>
      <c r="U86" s="248">
        <v>1011.3</v>
      </c>
      <c r="V86" s="248">
        <v>1013.5</v>
      </c>
      <c r="W86" s="5">
        <v>53</v>
      </c>
    </row>
    <row r="87" spans="1:23">
      <c r="A87" s="27">
        <v>11</v>
      </c>
      <c r="B87" s="28" t="s">
        <v>183</v>
      </c>
      <c r="C87" s="27">
        <v>300</v>
      </c>
      <c r="D87" s="27">
        <v>6</v>
      </c>
      <c r="E87" s="27"/>
      <c r="F87" s="29">
        <v>7141004</v>
      </c>
      <c r="G87" s="27">
        <v>35</v>
      </c>
      <c r="I87" s="5">
        <v>54</v>
      </c>
      <c r="J87" s="248">
        <v>986.2</v>
      </c>
      <c r="K87" s="248"/>
      <c r="L87" s="247">
        <v>1013.1</v>
      </c>
      <c r="M87" s="248">
        <v>1019.7</v>
      </c>
      <c r="N87" s="247">
        <v>1025</v>
      </c>
      <c r="O87" s="248">
        <v>1032</v>
      </c>
      <c r="P87" s="247">
        <v>1037</v>
      </c>
      <c r="Q87" s="247"/>
      <c r="R87" s="247">
        <v>1002.3</v>
      </c>
      <c r="S87" s="248">
        <v>1005.6</v>
      </c>
      <c r="T87" s="247">
        <v>1008.4</v>
      </c>
      <c r="U87" s="248">
        <v>1010.6</v>
      </c>
      <c r="V87" s="248">
        <v>1012.8</v>
      </c>
      <c r="W87" s="5">
        <v>54</v>
      </c>
    </row>
    <row r="88" spans="1:23">
      <c r="A88" s="27">
        <v>12</v>
      </c>
      <c r="B88" s="28" t="s">
        <v>184</v>
      </c>
      <c r="C88" s="27">
        <v>400</v>
      </c>
      <c r="D88" s="27">
        <v>6</v>
      </c>
      <c r="E88" s="27"/>
      <c r="F88" s="29">
        <v>7141005</v>
      </c>
      <c r="G88" s="27">
        <v>55</v>
      </c>
      <c r="I88" s="5">
        <v>55</v>
      </c>
      <c r="J88" s="248">
        <v>985.7</v>
      </c>
      <c r="K88" s="248"/>
      <c r="L88" s="247">
        <v>1012.5</v>
      </c>
      <c r="M88" s="248">
        <v>1019.1</v>
      </c>
      <c r="N88" s="247">
        <v>1024.4000000000001</v>
      </c>
      <c r="O88" s="248">
        <v>1031.4000000000001</v>
      </c>
      <c r="P88" s="247">
        <v>1036.4000000000001</v>
      </c>
      <c r="Q88" s="247"/>
      <c r="R88" s="247">
        <v>1001.7</v>
      </c>
      <c r="S88" s="248">
        <v>1005</v>
      </c>
      <c r="T88" s="247">
        <v>1007.7</v>
      </c>
      <c r="U88" s="248">
        <v>1009.9</v>
      </c>
      <c r="V88" s="248">
        <v>1012.1</v>
      </c>
      <c r="W88" s="5">
        <v>55</v>
      </c>
    </row>
    <row r="89" spans="1:23">
      <c r="A89" s="27">
        <v>13</v>
      </c>
      <c r="B89" s="28" t="s">
        <v>185</v>
      </c>
      <c r="C89" s="27">
        <v>500</v>
      </c>
      <c r="D89" s="27">
        <v>6</v>
      </c>
      <c r="E89" s="27"/>
      <c r="F89" s="29">
        <v>7141006</v>
      </c>
      <c r="G89" s="27">
        <v>61</v>
      </c>
      <c r="I89" s="5">
        <v>56</v>
      </c>
      <c r="J89" s="248">
        <v>985.2</v>
      </c>
      <c r="K89" s="248"/>
      <c r="L89" s="247">
        <v>1011.9</v>
      </c>
      <c r="M89" s="248">
        <v>1018.5</v>
      </c>
      <c r="N89" s="247">
        <v>1023.8</v>
      </c>
      <c r="O89" s="248">
        <v>1030.8</v>
      </c>
      <c r="P89" s="247">
        <v>1035.7</v>
      </c>
      <c r="Q89" s="247"/>
      <c r="R89" s="247">
        <v>1001.1</v>
      </c>
      <c r="S89" s="248">
        <v>1004.3</v>
      </c>
      <c r="T89" s="247">
        <v>1007</v>
      </c>
      <c r="U89" s="248">
        <v>1009.3</v>
      </c>
      <c r="V89" s="248">
        <v>1011.4</v>
      </c>
      <c r="W89" s="5">
        <v>56</v>
      </c>
    </row>
    <row r="90" spans="1:23">
      <c r="A90" s="27">
        <v>14</v>
      </c>
      <c r="B90" s="28" t="s">
        <v>186</v>
      </c>
      <c r="C90" s="27">
        <v>600</v>
      </c>
      <c r="D90" s="27">
        <v>6</v>
      </c>
      <c r="E90" s="27"/>
      <c r="F90" s="29">
        <v>7141007</v>
      </c>
      <c r="G90" s="27">
        <v>67</v>
      </c>
      <c r="I90" s="5">
        <v>57</v>
      </c>
      <c r="J90" s="248">
        <v>984.7</v>
      </c>
      <c r="K90" s="248"/>
      <c r="L90" s="247">
        <v>1011.3</v>
      </c>
      <c r="M90" s="248">
        <v>1017.9</v>
      </c>
      <c r="N90" s="247">
        <v>1023.2</v>
      </c>
      <c r="O90" s="248">
        <v>1030.0999999999999</v>
      </c>
      <c r="P90" s="247">
        <v>1035.0999999999999</v>
      </c>
      <c r="Q90" s="247"/>
      <c r="R90" s="247">
        <v>1000.5</v>
      </c>
      <c r="S90" s="248">
        <v>1003.7</v>
      </c>
      <c r="T90" s="247">
        <v>1006.4</v>
      </c>
      <c r="U90" s="248">
        <v>1008.6</v>
      </c>
      <c r="V90" s="248">
        <v>1010.7</v>
      </c>
      <c r="W90" s="5">
        <v>57</v>
      </c>
    </row>
    <row r="91" spans="1:23">
      <c r="A91" s="27">
        <v>15</v>
      </c>
      <c r="B91" s="28" t="s">
        <v>187</v>
      </c>
      <c r="C91" s="27">
        <v>200</v>
      </c>
      <c r="D91" s="27">
        <v>10</v>
      </c>
      <c r="E91" s="27"/>
      <c r="F91" s="27">
        <v>7142003</v>
      </c>
      <c r="G91" s="27">
        <v>50</v>
      </c>
      <c r="I91" s="5">
        <v>58</v>
      </c>
      <c r="J91" s="248">
        <v>984.2</v>
      </c>
      <c r="K91" s="248"/>
      <c r="L91" s="247">
        <v>1010.8</v>
      </c>
      <c r="M91" s="248">
        <v>1017.3</v>
      </c>
      <c r="N91" s="247">
        <v>1022.5</v>
      </c>
      <c r="O91" s="248">
        <v>1029.5</v>
      </c>
      <c r="P91" s="247">
        <v>1034.4000000000001</v>
      </c>
      <c r="Q91" s="247"/>
      <c r="R91" s="247">
        <v>999.8</v>
      </c>
      <c r="S91" s="248">
        <v>1003</v>
      </c>
      <c r="T91" s="247">
        <v>1005.7</v>
      </c>
      <c r="U91" s="248">
        <v>1007.9</v>
      </c>
      <c r="V91" s="248">
        <v>1009.9</v>
      </c>
      <c r="W91" s="5">
        <v>58</v>
      </c>
    </row>
    <row r="92" spans="1:23">
      <c r="A92" s="27">
        <v>16</v>
      </c>
      <c r="B92" s="28" t="s">
        <v>188</v>
      </c>
      <c r="C92" s="27">
        <v>300</v>
      </c>
      <c r="D92" s="27">
        <v>10</v>
      </c>
      <c r="E92" s="27"/>
      <c r="F92" s="27">
        <v>7142004</v>
      </c>
      <c r="G92" s="27">
        <v>55</v>
      </c>
      <c r="I92" s="5">
        <v>59</v>
      </c>
      <c r="J92" s="248">
        <v>983.7</v>
      </c>
      <c r="K92" s="248"/>
      <c r="L92" s="247">
        <v>1010.2</v>
      </c>
      <c r="M92" s="248">
        <v>1016.7</v>
      </c>
      <c r="N92" s="247">
        <v>1021.9</v>
      </c>
      <c r="O92" s="248">
        <v>1028.9000000000001</v>
      </c>
      <c r="P92" s="247">
        <v>1033.8</v>
      </c>
      <c r="Q92" s="247"/>
      <c r="R92" s="247">
        <v>999.2</v>
      </c>
      <c r="S92" s="248">
        <v>1002.4</v>
      </c>
      <c r="T92" s="247">
        <v>1005</v>
      </c>
      <c r="U92" s="248">
        <v>1007.2</v>
      </c>
      <c r="V92" s="248">
        <v>1009.2</v>
      </c>
      <c r="W92" s="5">
        <v>59</v>
      </c>
    </row>
    <row r="93" spans="1:23">
      <c r="A93" s="27">
        <v>17</v>
      </c>
      <c r="B93" s="28" t="s">
        <v>189</v>
      </c>
      <c r="C93" s="27">
        <v>500</v>
      </c>
      <c r="D93" s="27">
        <v>10</v>
      </c>
      <c r="E93" s="27"/>
      <c r="F93" s="27">
        <v>7142006</v>
      </c>
      <c r="G93" s="27">
        <v>83</v>
      </c>
      <c r="I93" s="5">
        <v>60</v>
      </c>
      <c r="J93" s="248">
        <v>983.2</v>
      </c>
      <c r="K93" s="248"/>
      <c r="L93" s="247">
        <v>1009.6</v>
      </c>
      <c r="M93" s="248">
        <v>1016.1</v>
      </c>
      <c r="N93" s="247">
        <v>1021.3</v>
      </c>
      <c r="O93" s="248">
        <v>1028.3</v>
      </c>
      <c r="P93" s="247">
        <v>1033.0999999999999</v>
      </c>
      <c r="Q93" s="247"/>
      <c r="R93" s="247">
        <v>998.6</v>
      </c>
      <c r="S93" s="248">
        <v>1001.7</v>
      </c>
      <c r="T93" s="247">
        <v>1004.4</v>
      </c>
      <c r="U93" s="248">
        <v>1006.5</v>
      </c>
      <c r="V93" s="248">
        <v>1008.5</v>
      </c>
      <c r="W93" s="5">
        <v>60</v>
      </c>
    </row>
    <row r="94" spans="1:23">
      <c r="A94" s="27">
        <v>18</v>
      </c>
      <c r="B94" s="28" t="s">
        <v>168</v>
      </c>
      <c r="C94" s="27">
        <v>700</v>
      </c>
      <c r="D94" s="27">
        <v>6</v>
      </c>
      <c r="E94" s="27"/>
      <c r="F94" s="27">
        <v>7141008</v>
      </c>
      <c r="G94" s="27">
        <v>200</v>
      </c>
      <c r="I94" s="5">
        <v>61</v>
      </c>
      <c r="J94" s="248">
        <v>982.7</v>
      </c>
      <c r="K94" s="248"/>
      <c r="L94" s="247">
        <v>1009</v>
      </c>
      <c r="M94" s="248">
        <v>1015.4</v>
      </c>
      <c r="N94" s="247">
        <v>1020.7</v>
      </c>
      <c r="O94" s="248">
        <v>1027.5999999999999</v>
      </c>
      <c r="P94" s="247">
        <v>1032.5</v>
      </c>
      <c r="Q94" s="247"/>
      <c r="R94" s="247">
        <v>997.9</v>
      </c>
      <c r="S94" s="248">
        <v>1001</v>
      </c>
      <c r="T94" s="247">
        <v>1003.6</v>
      </c>
      <c r="U94" s="248">
        <v>1005.7</v>
      </c>
      <c r="V94" s="248">
        <v>1007.7</v>
      </c>
      <c r="W94" s="5">
        <v>61</v>
      </c>
    </row>
    <row r="95" spans="1:23">
      <c r="A95" s="27">
        <v>19</v>
      </c>
      <c r="B95" s="28" t="s">
        <v>190</v>
      </c>
      <c r="C95" s="27">
        <v>1000</v>
      </c>
      <c r="D95" s="27">
        <v>6</v>
      </c>
      <c r="E95" s="27"/>
      <c r="F95" s="27">
        <v>7141009</v>
      </c>
      <c r="G95" s="27">
        <v>280</v>
      </c>
      <c r="I95" s="5">
        <v>62</v>
      </c>
      <c r="J95" s="248">
        <v>982.2</v>
      </c>
      <c r="K95" s="248"/>
      <c r="L95" s="247">
        <v>1008.4</v>
      </c>
      <c r="M95" s="248">
        <v>1014.8</v>
      </c>
      <c r="N95" s="247">
        <v>1020</v>
      </c>
      <c r="O95" s="248">
        <v>1026.9000000000001</v>
      </c>
      <c r="P95" s="247">
        <v>1031.8</v>
      </c>
      <c r="Q95" s="247"/>
      <c r="R95" s="247">
        <v>997.3</v>
      </c>
      <c r="S95" s="248">
        <v>1000.3</v>
      </c>
      <c r="T95" s="247">
        <v>1002.9</v>
      </c>
      <c r="U95" s="248">
        <v>1005</v>
      </c>
      <c r="V95" s="248">
        <v>1007</v>
      </c>
      <c r="W95" s="5">
        <v>62</v>
      </c>
    </row>
    <row r="96" spans="1:23">
      <c r="A96" s="27">
        <v>20</v>
      </c>
      <c r="B96" s="28" t="s">
        <v>191</v>
      </c>
      <c r="C96" s="27">
        <v>1500</v>
      </c>
      <c r="D96" s="27">
        <v>6</v>
      </c>
      <c r="E96" s="27"/>
      <c r="F96" s="27">
        <v>7141010</v>
      </c>
      <c r="G96" s="27">
        <v>385</v>
      </c>
      <c r="I96" s="5">
        <v>63</v>
      </c>
      <c r="J96" s="248">
        <v>981.6</v>
      </c>
      <c r="K96" s="248"/>
      <c r="L96" s="247">
        <v>1007.8</v>
      </c>
      <c r="M96" s="248">
        <v>1014.2</v>
      </c>
      <c r="N96" s="247">
        <v>1019.4</v>
      </c>
      <c r="O96" s="248">
        <v>1026.2</v>
      </c>
      <c r="P96" s="247">
        <v>1031.0999999999999</v>
      </c>
      <c r="Q96" s="247"/>
      <c r="R96" s="247">
        <v>996.6</v>
      </c>
      <c r="S96" s="248">
        <v>999.6</v>
      </c>
      <c r="T96" s="247">
        <v>1002.2</v>
      </c>
      <c r="U96" s="248">
        <v>1004.3</v>
      </c>
      <c r="V96" s="248">
        <v>1006.2</v>
      </c>
      <c r="W96" s="5">
        <v>63</v>
      </c>
    </row>
    <row r="97" spans="1:23">
      <c r="A97" s="27">
        <v>21</v>
      </c>
      <c r="B97" s="28" t="s">
        <v>192</v>
      </c>
      <c r="C97" s="27">
        <v>2000</v>
      </c>
      <c r="D97" s="27">
        <v>6</v>
      </c>
      <c r="E97" s="27"/>
      <c r="F97" s="27">
        <v>7141015</v>
      </c>
      <c r="G97" s="27">
        <v>655</v>
      </c>
      <c r="I97" s="5">
        <v>64</v>
      </c>
      <c r="J97" s="248">
        <v>981.1</v>
      </c>
      <c r="K97" s="248"/>
      <c r="L97" s="247">
        <v>1007.2</v>
      </c>
      <c r="M97" s="248">
        <v>1013.5</v>
      </c>
      <c r="N97" s="247">
        <v>1018.7</v>
      </c>
      <c r="O97" s="248">
        <v>1025.5999999999999</v>
      </c>
      <c r="P97" s="247">
        <v>1030.4000000000001</v>
      </c>
      <c r="Q97" s="247"/>
      <c r="R97" s="247">
        <v>995.9</v>
      </c>
      <c r="S97" s="248">
        <v>998.9</v>
      </c>
      <c r="T97" s="247">
        <v>1001.5</v>
      </c>
      <c r="U97" s="248">
        <v>1003.5</v>
      </c>
      <c r="V97" s="248">
        <v>1005.5</v>
      </c>
      <c r="W97" s="5">
        <v>64</v>
      </c>
    </row>
    <row r="98" spans="1:23">
      <c r="A98" s="27">
        <v>22</v>
      </c>
      <c r="B98" s="28" t="s">
        <v>193</v>
      </c>
      <c r="C98" s="27">
        <v>3000</v>
      </c>
      <c r="D98" s="27">
        <v>6</v>
      </c>
      <c r="E98" s="27"/>
      <c r="F98" s="27">
        <v>7141012</v>
      </c>
      <c r="G98" s="27">
        <v>810</v>
      </c>
      <c r="I98" s="5">
        <v>65</v>
      </c>
      <c r="J98" s="248">
        <v>980.5</v>
      </c>
      <c r="K98" s="248"/>
      <c r="L98" s="247">
        <v>1006.5</v>
      </c>
      <c r="M98" s="248">
        <v>1012.9</v>
      </c>
      <c r="N98" s="247">
        <v>1018</v>
      </c>
      <c r="O98" s="248">
        <v>1024.9000000000001</v>
      </c>
      <c r="P98" s="247">
        <v>1029.7</v>
      </c>
      <c r="Q98" s="247"/>
      <c r="R98" s="247">
        <v>995.3</v>
      </c>
      <c r="S98" s="248">
        <v>998.3</v>
      </c>
      <c r="T98" s="247">
        <v>1000.8</v>
      </c>
      <c r="U98" s="248">
        <v>1002.8</v>
      </c>
      <c r="V98" s="248">
        <v>1004.7</v>
      </c>
      <c r="W98" s="5">
        <v>65</v>
      </c>
    </row>
    <row r="99" spans="1:23">
      <c r="A99" s="27">
        <v>23</v>
      </c>
      <c r="B99" s="28" t="s">
        <v>194</v>
      </c>
      <c r="C99" s="27">
        <v>4000</v>
      </c>
      <c r="D99" s="27">
        <v>6</v>
      </c>
      <c r="E99" s="27"/>
      <c r="F99" s="27">
        <v>7141013</v>
      </c>
      <c r="G99" s="27">
        <v>920</v>
      </c>
      <c r="I99" s="5">
        <v>66</v>
      </c>
      <c r="J99" s="248">
        <v>980</v>
      </c>
      <c r="K99" s="248"/>
      <c r="L99" s="247">
        <v>1005.9</v>
      </c>
      <c r="M99" s="248">
        <v>1012.3</v>
      </c>
      <c r="N99" s="247">
        <v>1017.4</v>
      </c>
      <c r="O99" s="248">
        <v>1024.2</v>
      </c>
      <c r="P99" s="247">
        <v>1029</v>
      </c>
      <c r="Q99" s="247"/>
      <c r="R99" s="247">
        <v>994.6</v>
      </c>
      <c r="S99" s="248">
        <v>997.6</v>
      </c>
      <c r="T99" s="247">
        <v>1000</v>
      </c>
      <c r="U99" s="248">
        <v>1002.1</v>
      </c>
      <c r="V99" s="248">
        <v>1004</v>
      </c>
      <c r="W99" s="5">
        <v>66</v>
      </c>
    </row>
    <row r="100" spans="1:23">
      <c r="A100" s="27">
        <v>24</v>
      </c>
      <c r="B100" s="28" t="s">
        <v>195</v>
      </c>
      <c r="C100" s="27">
        <v>5000</v>
      </c>
      <c r="D100" s="27">
        <v>6</v>
      </c>
      <c r="E100" s="27"/>
      <c r="F100" s="27">
        <v>7141014</v>
      </c>
      <c r="G100" s="27">
        <v>1015</v>
      </c>
      <c r="I100" s="5">
        <v>67</v>
      </c>
      <c r="J100" s="248">
        <v>979.4</v>
      </c>
      <c r="K100" s="248"/>
      <c r="L100" s="247">
        <v>1005.3</v>
      </c>
      <c r="M100" s="248">
        <v>1011.6</v>
      </c>
      <c r="N100" s="247">
        <v>1016.7</v>
      </c>
      <c r="O100" s="248">
        <v>1023.5</v>
      </c>
      <c r="P100" s="247">
        <v>1028.4000000000001</v>
      </c>
      <c r="Q100" s="247"/>
      <c r="R100" s="247">
        <v>993.9</v>
      </c>
      <c r="S100" s="248">
        <v>996.9</v>
      </c>
      <c r="T100" s="247">
        <v>999.3</v>
      </c>
      <c r="U100" s="248">
        <v>1001.3</v>
      </c>
      <c r="V100" s="248">
        <v>1003.2</v>
      </c>
      <c r="W100" s="5">
        <v>67</v>
      </c>
    </row>
    <row r="101" spans="1:23">
      <c r="A101" s="27">
        <v>25</v>
      </c>
      <c r="B101" s="28" t="s">
        <v>169</v>
      </c>
      <c r="C101" s="27">
        <v>300</v>
      </c>
      <c r="D101" s="27">
        <v>10</v>
      </c>
      <c r="E101" s="27"/>
      <c r="F101" s="27">
        <v>7142008</v>
      </c>
      <c r="G101" s="27">
        <v>170</v>
      </c>
      <c r="I101" s="5">
        <v>68</v>
      </c>
      <c r="J101" s="248">
        <v>978.9</v>
      </c>
      <c r="K101" s="248"/>
      <c r="L101" s="247">
        <v>1004.7</v>
      </c>
      <c r="M101" s="248">
        <v>1011</v>
      </c>
      <c r="N101" s="247">
        <v>1016.1</v>
      </c>
      <c r="O101" s="248">
        <v>1022.9</v>
      </c>
      <c r="P101" s="247">
        <v>1027.7</v>
      </c>
      <c r="Q101" s="247"/>
      <c r="R101" s="247">
        <v>993.3</v>
      </c>
      <c r="S101" s="248">
        <v>996.2</v>
      </c>
      <c r="T101" s="247">
        <v>998.6</v>
      </c>
      <c r="U101" s="248">
        <v>1000.6</v>
      </c>
      <c r="V101" s="248">
        <v>1002.5</v>
      </c>
      <c r="W101" s="5">
        <v>68</v>
      </c>
    </row>
    <row r="102" spans="1:23">
      <c r="A102" s="27">
        <v>26</v>
      </c>
      <c r="B102" s="28" t="s">
        <v>170</v>
      </c>
      <c r="C102" s="27">
        <v>500</v>
      </c>
      <c r="D102" s="27">
        <v>10</v>
      </c>
      <c r="E102" s="27"/>
      <c r="F102" s="27">
        <v>7142009</v>
      </c>
      <c r="G102" s="27">
        <v>225</v>
      </c>
      <c r="I102" s="5">
        <v>69</v>
      </c>
      <c r="J102" s="248">
        <v>978.3</v>
      </c>
      <c r="K102" s="248"/>
      <c r="L102" s="247">
        <v>1004.1</v>
      </c>
      <c r="M102" s="248">
        <v>1010.4</v>
      </c>
      <c r="N102" s="247">
        <v>1015.4</v>
      </c>
      <c r="O102" s="248">
        <v>1022.2</v>
      </c>
      <c r="P102" s="247">
        <v>1027</v>
      </c>
      <c r="Q102" s="247"/>
      <c r="R102" s="247">
        <v>992.6</v>
      </c>
      <c r="S102" s="248">
        <v>995.5</v>
      </c>
      <c r="T102" s="247">
        <v>997.9</v>
      </c>
      <c r="U102" s="248">
        <v>999.8</v>
      </c>
      <c r="V102" s="248">
        <v>1001.7</v>
      </c>
      <c r="W102" s="5">
        <v>69</v>
      </c>
    </row>
    <row r="103" spans="1:23">
      <c r="A103" s="27">
        <v>27</v>
      </c>
      <c r="B103" s="28" t="s">
        <v>167</v>
      </c>
      <c r="C103" s="27">
        <v>700</v>
      </c>
      <c r="D103" s="27">
        <v>10</v>
      </c>
      <c r="E103" s="27"/>
      <c r="F103" s="27">
        <v>7142010</v>
      </c>
      <c r="G103" s="27">
        <v>240</v>
      </c>
      <c r="I103" s="5">
        <v>70</v>
      </c>
      <c r="J103" s="248">
        <v>977.8</v>
      </c>
      <c r="K103" s="248"/>
      <c r="L103" s="247">
        <v>1003.5</v>
      </c>
      <c r="M103" s="248">
        <v>1009.7</v>
      </c>
      <c r="N103" s="247">
        <v>1014.8</v>
      </c>
      <c r="O103" s="248">
        <v>1021.5</v>
      </c>
      <c r="P103" s="247">
        <v>1026.3</v>
      </c>
      <c r="Q103" s="247"/>
      <c r="R103" s="247">
        <v>991.9</v>
      </c>
      <c r="S103" s="248">
        <v>994.8</v>
      </c>
      <c r="T103" s="247">
        <v>997.1</v>
      </c>
      <c r="U103" s="248">
        <v>999.1</v>
      </c>
      <c r="V103" s="248">
        <v>1000.9</v>
      </c>
      <c r="W103" s="5">
        <v>70</v>
      </c>
    </row>
    <row r="104" spans="1:23">
      <c r="A104" s="27">
        <v>28</v>
      </c>
      <c r="B104" s="28" t="s">
        <v>202</v>
      </c>
      <c r="C104" s="27">
        <v>1000</v>
      </c>
      <c r="D104" s="27">
        <v>16</v>
      </c>
      <c r="E104" s="27"/>
      <c r="F104" s="27">
        <v>7142011</v>
      </c>
      <c r="G104" s="27">
        <v>330</v>
      </c>
      <c r="I104" s="5">
        <v>71</v>
      </c>
      <c r="J104" s="248">
        <v>977.2</v>
      </c>
      <c r="K104" s="248"/>
      <c r="L104" s="247">
        <v>1002.8</v>
      </c>
      <c r="M104" s="248">
        <v>1009</v>
      </c>
      <c r="N104" s="247">
        <v>1014.1</v>
      </c>
      <c r="O104" s="248">
        <v>1020.8</v>
      </c>
      <c r="P104" s="247">
        <v>1025.5999999999999</v>
      </c>
      <c r="Q104" s="247"/>
      <c r="R104" s="247">
        <v>991.2</v>
      </c>
      <c r="S104" s="248">
        <v>994.1</v>
      </c>
      <c r="T104" s="247">
        <v>996.4</v>
      </c>
      <c r="U104" s="248">
        <v>998.3</v>
      </c>
      <c r="V104" s="248">
        <v>1000.2</v>
      </c>
      <c r="W104" s="5">
        <v>71</v>
      </c>
    </row>
    <row r="105" spans="1:23">
      <c r="A105" s="27">
        <v>29</v>
      </c>
      <c r="B105" s="28" t="s">
        <v>203</v>
      </c>
      <c r="C105" s="27">
        <v>1500</v>
      </c>
      <c r="D105" s="27">
        <v>16</v>
      </c>
      <c r="E105" s="27"/>
      <c r="F105" s="27">
        <v>7142012</v>
      </c>
      <c r="G105" s="27">
        <v>445</v>
      </c>
      <c r="I105" s="5">
        <v>72</v>
      </c>
      <c r="J105" s="248">
        <v>976.6</v>
      </c>
      <c r="K105" s="248"/>
      <c r="L105" s="247">
        <v>1002.1</v>
      </c>
      <c r="M105" s="248">
        <v>1008.4</v>
      </c>
      <c r="N105" s="247">
        <v>1013.4</v>
      </c>
      <c r="O105" s="248">
        <v>1020.1</v>
      </c>
      <c r="P105" s="247">
        <v>1024.9000000000001</v>
      </c>
      <c r="Q105" s="247"/>
      <c r="R105" s="247">
        <v>990.5</v>
      </c>
      <c r="S105" s="248">
        <v>993.3</v>
      </c>
      <c r="T105" s="247">
        <v>995.7</v>
      </c>
      <c r="U105" s="248">
        <v>997.6</v>
      </c>
      <c r="V105" s="248">
        <v>999.4</v>
      </c>
      <c r="W105" s="5">
        <v>72</v>
      </c>
    </row>
    <row r="106" spans="1:23">
      <c r="A106" s="27">
        <v>30</v>
      </c>
      <c r="B106" s="28" t="s">
        <v>204</v>
      </c>
      <c r="C106" s="27">
        <v>2000</v>
      </c>
      <c r="D106" s="27">
        <v>16</v>
      </c>
      <c r="E106" s="27"/>
      <c r="F106" s="27">
        <v>7142017</v>
      </c>
      <c r="G106" s="27">
        <v>735</v>
      </c>
      <c r="I106" s="5">
        <v>73</v>
      </c>
      <c r="J106" s="248">
        <v>976</v>
      </c>
      <c r="K106" s="248"/>
      <c r="L106" s="247">
        <v>1001.5</v>
      </c>
      <c r="M106" s="248">
        <v>1007.7</v>
      </c>
      <c r="N106" s="247">
        <v>1012.7</v>
      </c>
      <c r="O106" s="248">
        <v>1019.4</v>
      </c>
      <c r="P106" s="247">
        <v>1024.2</v>
      </c>
      <c r="Q106" s="247"/>
      <c r="R106" s="247">
        <v>989.8</v>
      </c>
      <c r="S106" s="248">
        <v>992.6</v>
      </c>
      <c r="T106" s="247">
        <v>994.9</v>
      </c>
      <c r="U106" s="248">
        <v>996.8</v>
      </c>
      <c r="V106" s="248">
        <v>998.6</v>
      </c>
      <c r="W106" s="5">
        <v>73</v>
      </c>
    </row>
    <row r="107" spans="1:23">
      <c r="A107" s="27">
        <v>31</v>
      </c>
      <c r="B107" s="28" t="s">
        <v>205</v>
      </c>
      <c r="C107" s="27">
        <v>3000</v>
      </c>
      <c r="D107" s="27">
        <v>16</v>
      </c>
      <c r="E107" s="27"/>
      <c r="F107" s="27">
        <v>7142014</v>
      </c>
      <c r="G107" s="27">
        <v>890</v>
      </c>
      <c r="I107" s="5">
        <v>74</v>
      </c>
      <c r="J107" s="248">
        <v>975.4</v>
      </c>
      <c r="K107" s="248"/>
      <c r="L107" s="247">
        <v>1000.8</v>
      </c>
      <c r="M107" s="248">
        <v>1007</v>
      </c>
      <c r="N107" s="247">
        <v>1012</v>
      </c>
      <c r="O107" s="248">
        <v>1018.7</v>
      </c>
      <c r="P107" s="247">
        <v>1023.4</v>
      </c>
      <c r="Q107" s="247"/>
      <c r="R107" s="247">
        <v>989.1</v>
      </c>
      <c r="S107" s="248">
        <v>991.9</v>
      </c>
      <c r="T107" s="247">
        <v>994.2</v>
      </c>
      <c r="U107" s="248">
        <v>996.1</v>
      </c>
      <c r="V107" s="248">
        <v>997.8</v>
      </c>
      <c r="W107" s="5">
        <v>74</v>
      </c>
    </row>
    <row r="108" spans="1:23">
      <c r="A108" s="27">
        <v>32</v>
      </c>
      <c r="B108" s="28" t="s">
        <v>206</v>
      </c>
      <c r="C108" s="27">
        <v>4000</v>
      </c>
      <c r="D108" s="27">
        <v>16</v>
      </c>
      <c r="E108" s="27"/>
      <c r="F108" s="27">
        <v>7142015</v>
      </c>
      <c r="G108" s="27">
        <v>1030</v>
      </c>
      <c r="I108" s="5">
        <v>75</v>
      </c>
      <c r="J108" s="248">
        <v>974.8</v>
      </c>
      <c r="K108" s="248"/>
      <c r="L108" s="247">
        <v>1000.1</v>
      </c>
      <c r="M108" s="248">
        <v>1006.3</v>
      </c>
      <c r="N108" s="247">
        <v>1011.3</v>
      </c>
      <c r="O108" s="248">
        <v>1018</v>
      </c>
      <c r="P108" s="247">
        <v>1022.7</v>
      </c>
      <c r="Q108" s="247"/>
      <c r="R108" s="247">
        <v>988.4</v>
      </c>
      <c r="S108" s="248">
        <v>991.2</v>
      </c>
      <c r="T108" s="247">
        <v>993.4</v>
      </c>
      <c r="U108" s="248">
        <v>995.3</v>
      </c>
      <c r="V108" s="248">
        <v>997</v>
      </c>
      <c r="W108" s="5">
        <v>75</v>
      </c>
    </row>
    <row r="109" spans="1:23">
      <c r="A109" s="27">
        <v>33</v>
      </c>
      <c r="B109" s="28" t="s">
        <v>207</v>
      </c>
      <c r="C109" s="27">
        <v>5000</v>
      </c>
      <c r="D109" s="27">
        <v>16</v>
      </c>
      <c r="E109" s="27"/>
      <c r="F109" s="27">
        <v>7142016</v>
      </c>
      <c r="G109" s="27">
        <v>1145</v>
      </c>
      <c r="I109" s="5">
        <v>76</v>
      </c>
      <c r="J109" s="248">
        <v>974.2</v>
      </c>
      <c r="K109" s="248"/>
      <c r="L109" s="247">
        <v>999.5</v>
      </c>
      <c r="M109" s="248">
        <v>1005.7</v>
      </c>
      <c r="N109" s="247">
        <v>1010.7</v>
      </c>
      <c r="O109" s="248">
        <v>1017.3</v>
      </c>
      <c r="P109" s="247">
        <v>1022</v>
      </c>
      <c r="Q109" s="247"/>
      <c r="R109" s="247">
        <v>987.7</v>
      </c>
      <c r="S109" s="248">
        <v>990.4</v>
      </c>
      <c r="T109" s="247">
        <v>992.7</v>
      </c>
      <c r="U109" s="248">
        <v>994.5</v>
      </c>
      <c r="V109" s="248">
        <v>996.3</v>
      </c>
      <c r="W109" s="5">
        <v>76</v>
      </c>
    </row>
    <row r="110" spans="1:23">
      <c r="A110" s="27">
        <v>34</v>
      </c>
      <c r="B110" s="28" t="s">
        <v>171</v>
      </c>
      <c r="C110" s="27">
        <v>300</v>
      </c>
      <c r="D110" s="27">
        <v>16</v>
      </c>
      <c r="E110" s="27"/>
      <c r="F110" s="27">
        <v>7143000</v>
      </c>
      <c r="G110" s="27">
        <v>190</v>
      </c>
      <c r="I110" s="5">
        <v>77</v>
      </c>
      <c r="J110" s="248">
        <v>973.6</v>
      </c>
      <c r="K110" s="248"/>
      <c r="L110" s="247">
        <v>998.8</v>
      </c>
      <c r="M110" s="248">
        <v>1005</v>
      </c>
      <c r="N110" s="247">
        <v>1010</v>
      </c>
      <c r="O110" s="248">
        <v>1016.6</v>
      </c>
      <c r="P110" s="247">
        <v>1021.3</v>
      </c>
      <c r="Q110" s="247"/>
      <c r="R110" s="247">
        <v>987</v>
      </c>
      <c r="S110" s="248">
        <v>989.7</v>
      </c>
      <c r="T110" s="247">
        <v>992</v>
      </c>
      <c r="U110" s="248">
        <v>993.8</v>
      </c>
      <c r="V110" s="248">
        <v>995.5</v>
      </c>
      <c r="W110" s="5">
        <v>77</v>
      </c>
    </row>
    <row r="111" spans="1:23">
      <c r="A111" s="27">
        <v>35</v>
      </c>
      <c r="B111" s="28" t="s">
        <v>172</v>
      </c>
      <c r="C111" s="27">
        <v>500</v>
      </c>
      <c r="D111" s="27">
        <v>16</v>
      </c>
      <c r="E111" s="27"/>
      <c r="F111" s="27">
        <v>7143001</v>
      </c>
      <c r="G111" s="27">
        <v>255</v>
      </c>
      <c r="I111" s="5">
        <v>78</v>
      </c>
      <c r="J111" s="248">
        <v>973</v>
      </c>
      <c r="K111" s="248"/>
      <c r="L111" s="247">
        <v>998.1</v>
      </c>
      <c r="M111" s="248">
        <v>1004.3</v>
      </c>
      <c r="N111" s="247">
        <v>1009.3</v>
      </c>
      <c r="O111" s="248">
        <v>1015.9</v>
      </c>
      <c r="P111" s="247">
        <v>1020.6</v>
      </c>
      <c r="Q111" s="247"/>
      <c r="R111" s="247">
        <v>986.3</v>
      </c>
      <c r="S111" s="248">
        <v>989</v>
      </c>
      <c r="T111" s="247">
        <v>991.2</v>
      </c>
      <c r="U111" s="248">
        <v>993</v>
      </c>
      <c r="V111" s="248">
        <v>994.7</v>
      </c>
      <c r="W111" s="5">
        <v>78</v>
      </c>
    </row>
    <row r="112" spans="1:23">
      <c r="A112" s="27">
        <v>36</v>
      </c>
      <c r="B112" s="28" t="s">
        <v>173</v>
      </c>
      <c r="C112" s="27">
        <v>700</v>
      </c>
      <c r="D112" s="27">
        <v>16</v>
      </c>
      <c r="E112" s="27"/>
      <c r="F112" s="27">
        <v>7143002</v>
      </c>
      <c r="G112" s="27">
        <v>280</v>
      </c>
      <c r="I112" s="5">
        <v>79</v>
      </c>
      <c r="J112" s="248">
        <v>972.4</v>
      </c>
      <c r="K112" s="248"/>
      <c r="L112" s="247">
        <v>997.5</v>
      </c>
      <c r="M112" s="248">
        <v>1003.6</v>
      </c>
      <c r="N112" s="247">
        <v>1008.6</v>
      </c>
      <c r="O112" s="248">
        <v>1015.2</v>
      </c>
      <c r="P112" s="247">
        <v>1019.9</v>
      </c>
      <c r="Q112" s="247"/>
      <c r="R112" s="247">
        <v>985.6</v>
      </c>
      <c r="S112" s="248">
        <v>988.3</v>
      </c>
      <c r="T112" s="247">
        <v>990.5</v>
      </c>
      <c r="U112" s="248">
        <v>992.2</v>
      </c>
      <c r="V112" s="248">
        <v>993.9</v>
      </c>
      <c r="W112" s="5">
        <v>79</v>
      </c>
    </row>
    <row r="113" spans="1:23">
      <c r="A113" s="27">
        <v>37</v>
      </c>
      <c r="B113" s="28" t="s">
        <v>196</v>
      </c>
      <c r="C113" s="27">
        <v>1000</v>
      </c>
      <c r="D113" s="27">
        <v>16</v>
      </c>
      <c r="E113" s="27"/>
      <c r="F113" s="27">
        <v>7143003</v>
      </c>
      <c r="G113" s="27">
        <v>385</v>
      </c>
      <c r="I113" s="5">
        <v>80</v>
      </c>
      <c r="J113" s="248">
        <v>971.8</v>
      </c>
      <c r="K113" s="248"/>
      <c r="L113" s="247">
        <v>996.8</v>
      </c>
      <c r="M113" s="248">
        <v>1003</v>
      </c>
      <c r="N113" s="247">
        <v>1007.9</v>
      </c>
      <c r="O113" s="248">
        <v>1014.5</v>
      </c>
      <c r="P113" s="247">
        <v>1019.2</v>
      </c>
      <c r="Q113" s="247"/>
      <c r="R113" s="247">
        <v>984.9</v>
      </c>
      <c r="S113" s="248">
        <v>987.5</v>
      </c>
      <c r="T113" s="247">
        <v>989.7</v>
      </c>
      <c r="U113" s="248">
        <v>991.5</v>
      </c>
      <c r="V113" s="248">
        <v>993.1</v>
      </c>
      <c r="W113" s="5">
        <v>80</v>
      </c>
    </row>
    <row r="114" spans="1:23">
      <c r="A114" s="27">
        <v>38</v>
      </c>
      <c r="B114" s="28" t="s">
        <v>197</v>
      </c>
      <c r="C114" s="27">
        <v>1500</v>
      </c>
      <c r="D114" s="27">
        <v>16</v>
      </c>
      <c r="E114" s="27"/>
      <c r="F114" s="27">
        <v>7143004</v>
      </c>
      <c r="G114" s="27">
        <v>510</v>
      </c>
      <c r="I114" s="5">
        <v>81</v>
      </c>
      <c r="J114" s="248">
        <v>971.2</v>
      </c>
      <c r="K114" s="248"/>
      <c r="L114" s="247">
        <v>996.1</v>
      </c>
      <c r="M114" s="248">
        <v>1002.2</v>
      </c>
      <c r="N114" s="247">
        <v>1007.2</v>
      </c>
      <c r="O114" s="248">
        <v>1013.7</v>
      </c>
      <c r="P114" s="247">
        <v>1018.4</v>
      </c>
      <c r="Q114" s="247"/>
      <c r="R114" s="247">
        <v>984.2</v>
      </c>
      <c r="S114" s="248">
        <v>986.8</v>
      </c>
      <c r="T114" s="247">
        <v>988.9</v>
      </c>
      <c r="U114" s="248">
        <v>990.7</v>
      </c>
      <c r="V114" s="248">
        <v>992.3</v>
      </c>
      <c r="W114" s="5">
        <v>81</v>
      </c>
    </row>
    <row r="115" spans="1:23">
      <c r="A115" s="27">
        <v>39</v>
      </c>
      <c r="B115" s="28" t="s">
        <v>198</v>
      </c>
      <c r="C115" s="27">
        <v>2000</v>
      </c>
      <c r="D115" s="27">
        <v>16</v>
      </c>
      <c r="E115" s="27"/>
      <c r="F115" s="27">
        <v>7143012</v>
      </c>
      <c r="G115" s="27">
        <v>820</v>
      </c>
      <c r="I115" s="5">
        <v>82</v>
      </c>
      <c r="J115" s="248">
        <v>970.5</v>
      </c>
      <c r="K115" s="248"/>
      <c r="L115" s="247">
        <v>995.4</v>
      </c>
      <c r="M115" s="248">
        <v>1001.5</v>
      </c>
      <c r="N115" s="247">
        <v>1006.4</v>
      </c>
      <c r="O115" s="248">
        <v>1013</v>
      </c>
      <c r="P115" s="247">
        <v>1017.7</v>
      </c>
      <c r="Q115" s="247"/>
      <c r="R115" s="247">
        <v>983.5</v>
      </c>
      <c r="S115" s="248">
        <v>986</v>
      </c>
      <c r="T115" s="247">
        <v>988.1</v>
      </c>
      <c r="U115" s="248">
        <v>989.9</v>
      </c>
      <c r="V115" s="248">
        <v>991.5</v>
      </c>
      <c r="W115" s="5">
        <v>82</v>
      </c>
    </row>
    <row r="116" spans="1:23">
      <c r="A116" s="27">
        <v>40</v>
      </c>
      <c r="B116" s="28" t="s">
        <v>199</v>
      </c>
      <c r="C116" s="27">
        <v>3000</v>
      </c>
      <c r="D116" s="27">
        <v>16</v>
      </c>
      <c r="E116" s="27"/>
      <c r="F116" s="27">
        <v>7143006</v>
      </c>
      <c r="G116" s="27">
        <v>995</v>
      </c>
      <c r="I116" s="5">
        <v>83</v>
      </c>
      <c r="J116" s="248">
        <v>969.9</v>
      </c>
      <c r="K116" s="248"/>
      <c r="L116" s="247">
        <v>994.7</v>
      </c>
      <c r="M116" s="248">
        <v>1000.8</v>
      </c>
      <c r="N116" s="247">
        <v>1005.7</v>
      </c>
      <c r="O116" s="248">
        <v>1012.3</v>
      </c>
      <c r="P116" s="247">
        <v>1016.9</v>
      </c>
      <c r="Q116" s="247"/>
      <c r="R116" s="247">
        <v>982.7</v>
      </c>
      <c r="S116" s="248">
        <v>985.2</v>
      </c>
      <c r="T116" s="247">
        <v>987.4</v>
      </c>
      <c r="U116" s="248">
        <v>989.1</v>
      </c>
      <c r="V116" s="248">
        <v>990.7</v>
      </c>
      <c r="W116" s="5">
        <v>83</v>
      </c>
    </row>
    <row r="117" spans="1:23">
      <c r="A117" s="27">
        <v>41</v>
      </c>
      <c r="B117" s="28" t="s">
        <v>200</v>
      </c>
      <c r="C117" s="27">
        <v>4000</v>
      </c>
      <c r="D117" s="27">
        <v>16</v>
      </c>
      <c r="E117" s="27"/>
      <c r="F117" s="27">
        <v>7143007</v>
      </c>
      <c r="G117" s="27">
        <v>1145</v>
      </c>
      <c r="I117" s="5">
        <v>84</v>
      </c>
      <c r="J117" s="248">
        <v>969.3</v>
      </c>
      <c r="K117" s="248"/>
      <c r="L117" s="247">
        <v>994</v>
      </c>
      <c r="M117" s="248">
        <v>1000.1</v>
      </c>
      <c r="N117" s="247">
        <v>1005</v>
      </c>
      <c r="O117" s="248">
        <v>1011.5</v>
      </c>
      <c r="P117" s="247">
        <v>1016.2</v>
      </c>
      <c r="Q117" s="247"/>
      <c r="R117" s="247">
        <v>982</v>
      </c>
      <c r="S117" s="248">
        <v>984.5</v>
      </c>
      <c r="T117" s="247">
        <v>986.6</v>
      </c>
      <c r="U117" s="248">
        <v>988.3</v>
      </c>
      <c r="V117" s="248">
        <v>989.9</v>
      </c>
      <c r="W117" s="5">
        <v>84</v>
      </c>
    </row>
    <row r="118" spans="1:23">
      <c r="A118" s="27">
        <v>42</v>
      </c>
      <c r="B118" s="28" t="s">
        <v>201</v>
      </c>
      <c r="C118" s="27">
        <v>5000</v>
      </c>
      <c r="D118" s="27">
        <v>16</v>
      </c>
      <c r="E118" s="27"/>
      <c r="F118" s="27">
        <v>7143008</v>
      </c>
      <c r="G118" s="27">
        <v>1280</v>
      </c>
      <c r="I118" s="5">
        <v>85</v>
      </c>
      <c r="J118" s="248">
        <v>968.6</v>
      </c>
      <c r="K118" s="248"/>
      <c r="L118" s="247">
        <v>993.3</v>
      </c>
      <c r="M118" s="248">
        <v>999.4</v>
      </c>
      <c r="N118" s="247">
        <v>1004.3</v>
      </c>
      <c r="O118" s="248">
        <v>1010.8</v>
      </c>
      <c r="P118" s="247">
        <v>1015.5</v>
      </c>
      <c r="Q118" s="247"/>
      <c r="R118" s="247">
        <v>981.2</v>
      </c>
      <c r="S118" s="248">
        <v>983.7</v>
      </c>
      <c r="T118" s="247">
        <v>985.8</v>
      </c>
      <c r="U118" s="248">
        <v>987.5</v>
      </c>
      <c r="V118" s="248">
        <v>989</v>
      </c>
      <c r="W118" s="5">
        <v>85</v>
      </c>
    </row>
    <row r="119" spans="1:23">
      <c r="B119" s="28"/>
      <c r="I119" s="5">
        <v>86</v>
      </c>
      <c r="J119" s="248">
        <v>968</v>
      </c>
      <c r="K119" s="248"/>
      <c r="L119" s="247">
        <v>992.6</v>
      </c>
      <c r="M119" s="248">
        <v>998.6</v>
      </c>
      <c r="N119" s="247">
        <v>1003.5</v>
      </c>
      <c r="O119" s="248">
        <v>1010.1</v>
      </c>
      <c r="P119" s="247">
        <v>1014.7</v>
      </c>
      <c r="Q119" s="247"/>
      <c r="R119" s="247">
        <v>980.5</v>
      </c>
      <c r="S119" s="248">
        <v>982.9</v>
      </c>
      <c r="T119" s="247">
        <v>985</v>
      </c>
      <c r="U119" s="248">
        <v>986.6</v>
      </c>
      <c r="V119" s="248">
        <v>988.2</v>
      </c>
      <c r="W119" s="5">
        <v>86</v>
      </c>
    </row>
    <row r="120" spans="1:23">
      <c r="B120" s="28"/>
      <c r="E120" s="9" t="s">
        <v>4</v>
      </c>
      <c r="F120" s="3" t="str">
        <f>VLOOKUP(B76,A77:G118,3,0)</f>
        <v>nie dotyczy</v>
      </c>
      <c r="I120" s="5">
        <v>87</v>
      </c>
      <c r="J120" s="248">
        <v>967.3</v>
      </c>
      <c r="K120" s="248"/>
      <c r="L120" s="247">
        <v>991.9</v>
      </c>
      <c r="M120" s="248">
        <v>997.9</v>
      </c>
      <c r="N120" s="247">
        <v>1002.8</v>
      </c>
      <c r="O120" s="248">
        <v>1009.3</v>
      </c>
      <c r="P120" s="247">
        <v>1014</v>
      </c>
      <c r="Q120" s="247"/>
      <c r="R120" s="247">
        <v>979.8</v>
      </c>
      <c r="S120" s="248">
        <v>982.2</v>
      </c>
      <c r="T120" s="247">
        <v>984.2</v>
      </c>
      <c r="U120" s="248">
        <v>985.8</v>
      </c>
      <c r="V120" s="248">
        <v>987.4</v>
      </c>
      <c r="W120" s="5">
        <v>87</v>
      </c>
    </row>
    <row r="121" spans="1:23">
      <c r="B121" s="28"/>
      <c r="E121" s="9" t="s">
        <v>138</v>
      </c>
      <c r="F121" s="3" t="str">
        <f>VLOOKUP(B76,A77:G118,4,0)</f>
        <v>nie dotyczy</v>
      </c>
      <c r="I121" s="5">
        <v>88</v>
      </c>
      <c r="J121" s="248">
        <v>966.6</v>
      </c>
      <c r="K121" s="248"/>
      <c r="L121" s="247">
        <v>991.2</v>
      </c>
      <c r="M121" s="248">
        <v>997.2</v>
      </c>
      <c r="N121" s="247">
        <v>1002.1</v>
      </c>
      <c r="O121" s="248">
        <v>1008.6</v>
      </c>
      <c r="P121" s="247">
        <v>1013.2</v>
      </c>
      <c r="Q121" s="247"/>
      <c r="R121" s="247">
        <v>979</v>
      </c>
      <c r="S121" s="248">
        <v>981.4</v>
      </c>
      <c r="T121" s="247">
        <v>983.4</v>
      </c>
      <c r="U121" s="248">
        <v>985</v>
      </c>
      <c r="V121" s="248">
        <v>986.6</v>
      </c>
      <c r="W121" s="5">
        <v>88</v>
      </c>
    </row>
    <row r="122" spans="1:23">
      <c r="B122" s="28"/>
      <c r="E122" s="9" t="s">
        <v>144</v>
      </c>
      <c r="F122" s="3" t="str">
        <f>VLOOKUP(B76,A77:G118,7,0)</f>
        <v>nie dotyczy</v>
      </c>
      <c r="I122" s="5">
        <v>89</v>
      </c>
      <c r="J122" s="248">
        <v>966</v>
      </c>
      <c r="K122" s="248"/>
      <c r="L122" s="247">
        <v>990.5</v>
      </c>
      <c r="M122" s="248">
        <v>996.5</v>
      </c>
      <c r="N122" s="247">
        <v>1001.3</v>
      </c>
      <c r="O122" s="248">
        <v>1007.9</v>
      </c>
      <c r="P122" s="247">
        <v>1012.5</v>
      </c>
      <c r="Q122" s="247"/>
      <c r="R122" s="247">
        <v>978.3</v>
      </c>
      <c r="S122" s="248">
        <v>980.7</v>
      </c>
      <c r="T122" s="247">
        <v>982.6</v>
      </c>
      <c r="U122" s="248">
        <v>984.2</v>
      </c>
      <c r="V122" s="248">
        <v>985.8</v>
      </c>
      <c r="W122" s="5">
        <v>89</v>
      </c>
    </row>
    <row r="123" spans="1:23">
      <c r="B123" s="28"/>
      <c r="E123" s="9" t="s">
        <v>224</v>
      </c>
      <c r="F123" s="9" t="str">
        <f>VLOOKUP(B76,A77:G118,2,0)</f>
        <v>nie dotyczy</v>
      </c>
      <c r="I123" s="5">
        <v>90</v>
      </c>
      <c r="J123" s="248">
        <v>965.3</v>
      </c>
      <c r="K123" s="248"/>
      <c r="L123" s="247">
        <v>989.8</v>
      </c>
      <c r="M123" s="248">
        <v>995.7</v>
      </c>
      <c r="N123" s="247">
        <v>1000.6</v>
      </c>
      <c r="O123" s="248">
        <v>1007.1</v>
      </c>
      <c r="P123" s="247">
        <v>1011.7</v>
      </c>
      <c r="Q123" s="247"/>
      <c r="R123" s="247">
        <v>977.5</v>
      </c>
      <c r="S123" s="248">
        <v>979.9</v>
      </c>
      <c r="T123" s="247">
        <v>981.8</v>
      </c>
      <c r="U123" s="248">
        <v>983.4</v>
      </c>
      <c r="V123" s="248">
        <v>985</v>
      </c>
      <c r="W123" s="5">
        <v>90</v>
      </c>
    </row>
    <row r="124" spans="1:23">
      <c r="B124" s="28"/>
      <c r="C124" s="32"/>
      <c r="E124" s="9" t="s">
        <v>225</v>
      </c>
      <c r="F124" s="3" t="str">
        <f>VLOOKUP(B76,A77:G118,6,0)</f>
        <v>nie dotyczy</v>
      </c>
      <c r="I124" s="5">
        <v>91</v>
      </c>
      <c r="J124" s="248">
        <v>964.6</v>
      </c>
      <c r="K124" s="248"/>
      <c r="L124" s="247">
        <v>989</v>
      </c>
      <c r="M124" s="248">
        <v>995</v>
      </c>
      <c r="N124" s="247">
        <v>999.8</v>
      </c>
      <c r="O124" s="248">
        <v>1006.4</v>
      </c>
      <c r="P124" s="247">
        <v>1011</v>
      </c>
      <c r="Q124" s="247"/>
      <c r="R124" s="247">
        <v>976.8</v>
      </c>
      <c r="S124" s="248">
        <v>979.1</v>
      </c>
      <c r="T124" s="247">
        <v>981</v>
      </c>
      <c r="U124" s="248">
        <v>982.6</v>
      </c>
      <c r="V124" s="248">
        <v>984.1</v>
      </c>
      <c r="W124" s="5">
        <v>91</v>
      </c>
    </row>
    <row r="125" spans="1:23">
      <c r="B125" s="28"/>
      <c r="C125" s="32"/>
      <c r="I125" s="5">
        <v>92</v>
      </c>
      <c r="J125" s="248">
        <v>964</v>
      </c>
      <c r="K125" s="248"/>
      <c r="L125" s="247">
        <v>988.3</v>
      </c>
      <c r="M125" s="248">
        <v>994.2</v>
      </c>
      <c r="N125" s="247">
        <v>999.1</v>
      </c>
      <c r="O125" s="248">
        <v>1005.6</v>
      </c>
      <c r="P125" s="247">
        <v>1010.2</v>
      </c>
      <c r="Q125" s="247"/>
      <c r="R125" s="247">
        <v>976</v>
      </c>
      <c r="S125" s="248">
        <v>978.3</v>
      </c>
      <c r="T125" s="247">
        <v>980.2</v>
      </c>
      <c r="U125" s="248">
        <v>981.8</v>
      </c>
      <c r="V125" s="248">
        <v>983.3</v>
      </c>
      <c r="W125" s="5">
        <v>92</v>
      </c>
    </row>
    <row r="126" spans="1:23">
      <c r="I126" s="5">
        <v>93</v>
      </c>
      <c r="J126" s="248">
        <v>963.3</v>
      </c>
      <c r="K126" s="248"/>
      <c r="L126" s="247">
        <v>987.5</v>
      </c>
      <c r="M126" s="248">
        <v>993.5</v>
      </c>
      <c r="N126" s="247">
        <v>998.3</v>
      </c>
      <c r="O126" s="248">
        <v>1004.8</v>
      </c>
      <c r="P126" s="247">
        <v>1009.4</v>
      </c>
      <c r="Q126" s="247"/>
      <c r="R126" s="247">
        <v>975.2</v>
      </c>
      <c r="S126" s="248">
        <v>977.5</v>
      </c>
      <c r="T126" s="247">
        <v>979.4</v>
      </c>
      <c r="U126" s="248">
        <v>980.9</v>
      </c>
      <c r="V126" s="248">
        <v>982.4</v>
      </c>
      <c r="W126" s="5">
        <v>93</v>
      </c>
    </row>
    <row r="127" spans="1:23">
      <c r="I127" s="5">
        <v>94</v>
      </c>
      <c r="J127" s="248">
        <v>962.6</v>
      </c>
      <c r="K127" s="248"/>
      <c r="L127" s="247">
        <v>986.8</v>
      </c>
      <c r="M127" s="248">
        <v>992.7</v>
      </c>
      <c r="N127" s="247">
        <v>997.6</v>
      </c>
      <c r="O127" s="248">
        <v>1004</v>
      </c>
      <c r="P127" s="247">
        <v>1008.6</v>
      </c>
      <c r="Q127" s="247"/>
      <c r="R127" s="247">
        <v>974.4</v>
      </c>
      <c r="S127" s="248">
        <v>976.7</v>
      </c>
      <c r="T127" s="247">
        <v>978.6</v>
      </c>
      <c r="U127" s="248">
        <v>980.1</v>
      </c>
      <c r="V127" s="248">
        <v>981.6</v>
      </c>
      <c r="W127" s="5">
        <v>94</v>
      </c>
    </row>
    <row r="128" spans="1:23">
      <c r="I128" s="5">
        <v>95</v>
      </c>
      <c r="J128" s="248">
        <v>961.9</v>
      </c>
      <c r="K128" s="248"/>
      <c r="L128" s="247">
        <v>986</v>
      </c>
      <c r="M128" s="248">
        <v>992</v>
      </c>
      <c r="N128" s="247">
        <v>996.8</v>
      </c>
      <c r="O128" s="248">
        <v>1003.3</v>
      </c>
      <c r="P128" s="247">
        <v>1007.8</v>
      </c>
      <c r="Q128" s="247"/>
      <c r="R128" s="247">
        <v>973.6</v>
      </c>
      <c r="S128" s="248">
        <v>975.9</v>
      </c>
      <c r="T128" s="247">
        <v>977.8</v>
      </c>
      <c r="U128" s="248">
        <v>979.3</v>
      </c>
      <c r="V128" s="248">
        <v>980.7</v>
      </c>
      <c r="W128" s="5">
        <v>95</v>
      </c>
    </row>
    <row r="129" spans="1:23">
      <c r="I129" s="5">
        <v>96</v>
      </c>
      <c r="J129" s="248">
        <v>961.2</v>
      </c>
      <c r="K129" s="248"/>
      <c r="L129" s="247">
        <v>985.3</v>
      </c>
      <c r="M129" s="248">
        <v>991.2</v>
      </c>
      <c r="N129" s="247">
        <v>996</v>
      </c>
      <c r="O129" s="248">
        <v>1002.5</v>
      </c>
      <c r="P129" s="247">
        <v>1007.1</v>
      </c>
      <c r="Q129" s="247"/>
      <c r="R129" s="247">
        <v>972.8</v>
      </c>
      <c r="S129" s="248">
        <v>975.1</v>
      </c>
      <c r="T129" s="247">
        <v>976.9</v>
      </c>
      <c r="U129" s="248">
        <v>978.4</v>
      </c>
      <c r="V129" s="248">
        <v>979.8</v>
      </c>
      <c r="W129" s="5">
        <v>96</v>
      </c>
    </row>
    <row r="130" spans="1:23">
      <c r="E130" s="9" t="s">
        <v>4</v>
      </c>
      <c r="F130" s="3">
        <f>VLOOKUP(B133,A134:F158,3,0)</f>
        <v>1500</v>
      </c>
      <c r="I130" s="5">
        <v>97</v>
      </c>
      <c r="J130" s="248">
        <v>960.5</v>
      </c>
      <c r="K130" s="248"/>
      <c r="L130" s="247">
        <v>984.5</v>
      </c>
      <c r="M130" s="248">
        <v>990.5</v>
      </c>
      <c r="N130" s="247">
        <v>995.3</v>
      </c>
      <c r="O130" s="248">
        <v>1001.7</v>
      </c>
      <c r="P130" s="247">
        <v>1006.3</v>
      </c>
      <c r="Q130" s="247"/>
      <c r="R130" s="247">
        <v>972.1</v>
      </c>
      <c r="S130" s="248">
        <v>974.3</v>
      </c>
      <c r="T130" s="247">
        <v>976.1</v>
      </c>
      <c r="U130" s="248">
        <v>977.6</v>
      </c>
      <c r="V130" s="248">
        <v>979</v>
      </c>
      <c r="W130" s="5">
        <v>97</v>
      </c>
    </row>
    <row r="131" spans="1:23">
      <c r="E131" s="9" t="s">
        <v>138</v>
      </c>
      <c r="F131" s="3">
        <f>VLOOKUP(B133,A134:F158,4,0)</f>
        <v>2</v>
      </c>
      <c r="I131" s="5">
        <v>98</v>
      </c>
      <c r="J131" s="248">
        <v>959.8</v>
      </c>
      <c r="K131" s="248"/>
      <c r="L131" s="247">
        <v>983.8</v>
      </c>
      <c r="M131" s="248">
        <v>989.7</v>
      </c>
      <c r="N131" s="247">
        <v>994.5</v>
      </c>
      <c r="O131" s="248">
        <v>1000.9</v>
      </c>
      <c r="P131" s="247">
        <v>1005.5</v>
      </c>
      <c r="Q131" s="247"/>
      <c r="R131" s="247">
        <v>971.3</v>
      </c>
      <c r="S131" s="248">
        <v>973.5</v>
      </c>
      <c r="T131" s="247">
        <v>975.3</v>
      </c>
      <c r="U131" s="248">
        <v>976.8</v>
      </c>
      <c r="V131" s="248">
        <v>978.1</v>
      </c>
      <c r="W131" s="5">
        <v>98</v>
      </c>
    </row>
    <row r="132" spans="1:23">
      <c r="E132" s="9" t="s">
        <v>144</v>
      </c>
      <c r="F132" s="3">
        <f>VLOOKUP(B133,A134:G158,7,0)</f>
        <v>360</v>
      </c>
      <c r="I132" s="5">
        <v>99</v>
      </c>
      <c r="J132" s="248">
        <v>959.1</v>
      </c>
      <c r="K132" s="248"/>
      <c r="L132" s="247">
        <v>983</v>
      </c>
      <c r="M132" s="248">
        <v>988.9</v>
      </c>
      <c r="N132" s="247">
        <v>993.7</v>
      </c>
      <c r="O132" s="248">
        <v>1000.2</v>
      </c>
      <c r="P132" s="247">
        <v>1004.7</v>
      </c>
      <c r="Q132" s="247"/>
      <c r="R132" s="247">
        <v>970.5</v>
      </c>
      <c r="S132" s="248">
        <v>972.7</v>
      </c>
      <c r="T132" s="247">
        <v>974.5</v>
      </c>
      <c r="U132" s="248">
        <v>975.9</v>
      </c>
      <c r="V132" s="248">
        <v>977.3</v>
      </c>
      <c r="W132" s="5">
        <v>99</v>
      </c>
    </row>
    <row r="133" spans="1:23">
      <c r="B133" s="27">
        <v>9</v>
      </c>
      <c r="C133" s="27"/>
      <c r="D133" s="27"/>
      <c r="E133" s="27"/>
      <c r="F133" s="27"/>
      <c r="I133" s="5">
        <v>100</v>
      </c>
      <c r="J133" s="248">
        <v>958.3</v>
      </c>
      <c r="K133" s="248"/>
      <c r="L133" s="247">
        <v>982.3</v>
      </c>
      <c r="M133" s="248">
        <v>988.2</v>
      </c>
      <c r="N133" s="247">
        <v>993</v>
      </c>
      <c r="O133" s="248">
        <v>999.4</v>
      </c>
      <c r="P133" s="247">
        <v>1003.9</v>
      </c>
      <c r="Q133" s="247"/>
      <c r="R133" s="247">
        <v>969.7</v>
      </c>
      <c r="S133" s="248">
        <v>971.9</v>
      </c>
      <c r="T133" s="247">
        <v>973.7</v>
      </c>
      <c r="U133" s="248">
        <v>975.1</v>
      </c>
      <c r="V133" s="248">
        <v>976.4</v>
      </c>
      <c r="W133" s="5">
        <v>100</v>
      </c>
    </row>
    <row r="134" spans="1:23">
      <c r="A134" s="27">
        <v>1</v>
      </c>
      <c r="B134" s="27"/>
      <c r="C134" s="27"/>
      <c r="D134" s="27">
        <v>16</v>
      </c>
      <c r="E134" s="27"/>
      <c r="F134" s="27"/>
      <c r="G134" s="27"/>
      <c r="I134" s="5">
        <v>101</v>
      </c>
      <c r="J134" s="248">
        <v>957.6</v>
      </c>
      <c r="K134" s="248"/>
      <c r="L134" s="247">
        <v>981.5</v>
      </c>
      <c r="M134" s="248">
        <v>987.4</v>
      </c>
      <c r="N134" s="247">
        <v>992.2</v>
      </c>
      <c r="O134" s="248">
        <v>998.6</v>
      </c>
      <c r="P134" s="247">
        <v>1003.1</v>
      </c>
      <c r="Q134" s="247"/>
      <c r="R134" s="247">
        <v>968.9</v>
      </c>
      <c r="S134" s="248">
        <v>971</v>
      </c>
      <c r="T134" s="247">
        <v>972.8</v>
      </c>
      <c r="U134" s="248">
        <v>974.2</v>
      </c>
      <c r="V134" s="248">
        <v>975.6</v>
      </c>
      <c r="W134" s="5">
        <v>101</v>
      </c>
    </row>
    <row r="135" spans="1:23">
      <c r="A135" s="27">
        <v>2</v>
      </c>
      <c r="B135" s="28" t="s">
        <v>623</v>
      </c>
      <c r="C135" s="27">
        <v>200</v>
      </c>
      <c r="D135" s="27">
        <v>2</v>
      </c>
      <c r="E135" s="27"/>
      <c r="F135" s="29">
        <v>7132000</v>
      </c>
      <c r="G135" s="27">
        <v>36</v>
      </c>
      <c r="I135" s="5">
        <v>102</v>
      </c>
      <c r="J135" s="248">
        <v>956.8</v>
      </c>
      <c r="K135" s="248"/>
      <c r="L135" s="247">
        <v>980.7</v>
      </c>
      <c r="M135" s="248">
        <v>986.6</v>
      </c>
      <c r="N135" s="247">
        <v>991.4</v>
      </c>
      <c r="O135" s="248">
        <v>997.8</v>
      </c>
      <c r="P135" s="247">
        <v>1002.3</v>
      </c>
      <c r="Q135" s="247"/>
      <c r="R135" s="247">
        <v>968.1</v>
      </c>
      <c r="S135" s="248">
        <v>970.2</v>
      </c>
      <c r="T135" s="247">
        <v>972</v>
      </c>
      <c r="U135" s="248">
        <v>973.4</v>
      </c>
      <c r="V135" s="248">
        <v>974.7</v>
      </c>
      <c r="W135" s="5">
        <v>102</v>
      </c>
    </row>
    <row r="136" spans="1:23">
      <c r="A136" s="27">
        <v>3</v>
      </c>
      <c r="B136" s="28" t="s">
        <v>624</v>
      </c>
      <c r="C136" s="27">
        <v>300</v>
      </c>
      <c r="D136" s="27">
        <v>2</v>
      </c>
      <c r="E136" s="27"/>
      <c r="F136" s="29">
        <v>7132001</v>
      </c>
      <c r="G136" s="27">
        <v>44</v>
      </c>
      <c r="I136" s="5">
        <v>103</v>
      </c>
      <c r="J136" s="248">
        <v>956.1</v>
      </c>
      <c r="K136" s="248"/>
      <c r="L136" s="247">
        <v>979.9</v>
      </c>
      <c r="M136" s="248">
        <v>985.8</v>
      </c>
      <c r="N136" s="247">
        <v>990.6</v>
      </c>
      <c r="O136" s="248">
        <v>997</v>
      </c>
      <c r="P136" s="247">
        <v>1001.5</v>
      </c>
      <c r="Q136" s="247"/>
      <c r="R136" s="247">
        <v>967.2</v>
      </c>
      <c r="S136" s="248">
        <v>969.3</v>
      </c>
      <c r="T136" s="247">
        <v>971.1</v>
      </c>
      <c r="U136" s="248">
        <v>972.5</v>
      </c>
      <c r="V136" s="248">
        <v>973.8</v>
      </c>
      <c r="W136" s="5">
        <v>103</v>
      </c>
    </row>
    <row r="137" spans="1:23">
      <c r="A137" s="27">
        <v>4</v>
      </c>
      <c r="B137" s="28" t="s">
        <v>625</v>
      </c>
      <c r="C137" s="27">
        <v>400</v>
      </c>
      <c r="D137" s="27">
        <v>2</v>
      </c>
      <c r="E137" s="27"/>
      <c r="F137" s="29">
        <v>7132002</v>
      </c>
      <c r="G137" s="27">
        <v>62</v>
      </c>
      <c r="I137" s="5">
        <v>104</v>
      </c>
      <c r="J137" s="248">
        <v>955.4</v>
      </c>
      <c r="K137" s="248"/>
      <c r="L137" s="247">
        <v>979.1</v>
      </c>
      <c r="M137" s="248">
        <v>985</v>
      </c>
      <c r="N137" s="247">
        <v>989.8</v>
      </c>
      <c r="O137" s="248">
        <v>996.2</v>
      </c>
      <c r="P137" s="247">
        <v>1000.7</v>
      </c>
      <c r="Q137" s="247"/>
      <c r="R137" s="247">
        <v>966.4</v>
      </c>
      <c r="S137" s="248">
        <v>968.5</v>
      </c>
      <c r="T137" s="247">
        <v>970.2</v>
      </c>
      <c r="U137" s="248">
        <v>971.6</v>
      </c>
      <c r="V137" s="248">
        <v>972.9</v>
      </c>
      <c r="W137" s="5">
        <v>104</v>
      </c>
    </row>
    <row r="138" spans="1:23">
      <c r="A138" s="27">
        <v>5</v>
      </c>
      <c r="B138" s="28" t="s">
        <v>626</v>
      </c>
      <c r="C138" s="27">
        <v>500</v>
      </c>
      <c r="D138" s="27">
        <v>2</v>
      </c>
      <c r="E138" s="27"/>
      <c r="F138" s="29">
        <v>7132003</v>
      </c>
      <c r="G138" s="27">
        <v>71</v>
      </c>
      <c r="I138" s="5">
        <v>105</v>
      </c>
      <c r="J138" s="248">
        <v>954.6</v>
      </c>
      <c r="K138" s="248"/>
      <c r="L138" s="247">
        <v>978.3</v>
      </c>
      <c r="M138" s="248">
        <v>984.2</v>
      </c>
      <c r="N138" s="247">
        <v>989</v>
      </c>
      <c r="O138" s="248">
        <v>995.4</v>
      </c>
      <c r="P138" s="247">
        <v>999.9</v>
      </c>
      <c r="Q138" s="247"/>
      <c r="R138" s="247">
        <v>965.6</v>
      </c>
      <c r="S138" s="248">
        <v>967.6</v>
      </c>
      <c r="T138" s="247">
        <v>969.4</v>
      </c>
      <c r="U138" s="248">
        <v>970.7</v>
      </c>
      <c r="V138" s="248">
        <v>972</v>
      </c>
      <c r="W138" s="5">
        <v>105</v>
      </c>
    </row>
    <row r="139" spans="1:23">
      <c r="A139" s="27">
        <v>6</v>
      </c>
      <c r="B139" s="28" t="s">
        <v>627</v>
      </c>
      <c r="C139" s="27">
        <v>600</v>
      </c>
      <c r="D139" s="27">
        <v>2</v>
      </c>
      <c r="E139" s="27"/>
      <c r="F139" s="29">
        <v>7132004</v>
      </c>
      <c r="G139" s="27">
        <v>78</v>
      </c>
      <c r="I139" s="5">
        <v>106</v>
      </c>
      <c r="J139" s="248">
        <v>953.9</v>
      </c>
      <c r="K139" s="248"/>
      <c r="L139" s="247">
        <v>977.6</v>
      </c>
      <c r="M139" s="248">
        <v>983.4</v>
      </c>
      <c r="N139" s="247">
        <v>988.2</v>
      </c>
      <c r="O139" s="248">
        <v>994.6</v>
      </c>
      <c r="P139" s="247">
        <v>999.1</v>
      </c>
      <c r="Q139" s="247"/>
      <c r="R139" s="247">
        <v>964.8</v>
      </c>
      <c r="S139" s="248">
        <v>966.8</v>
      </c>
      <c r="T139" s="247">
        <v>968.5</v>
      </c>
      <c r="U139" s="248">
        <v>969.9</v>
      </c>
      <c r="V139" s="248">
        <v>971.1</v>
      </c>
      <c r="W139" s="5">
        <v>106</v>
      </c>
    </row>
    <row r="140" spans="1:23">
      <c r="A140" s="27">
        <v>7</v>
      </c>
      <c r="B140" s="28" t="s">
        <v>628</v>
      </c>
      <c r="C140" s="27">
        <v>800</v>
      </c>
      <c r="D140" s="27">
        <v>2</v>
      </c>
      <c r="E140" s="27"/>
      <c r="F140" s="29">
        <v>7132005</v>
      </c>
      <c r="G140" s="27">
        <v>99</v>
      </c>
      <c r="I140" s="5">
        <v>107</v>
      </c>
      <c r="J140" s="248">
        <v>953.2</v>
      </c>
      <c r="K140" s="248"/>
      <c r="L140" s="247">
        <v>976.8</v>
      </c>
      <c r="M140" s="248">
        <v>982.6</v>
      </c>
      <c r="N140" s="247">
        <v>987.4</v>
      </c>
      <c r="O140" s="248">
        <v>993.8</v>
      </c>
      <c r="P140" s="247">
        <v>998.3</v>
      </c>
      <c r="Q140" s="247"/>
      <c r="R140" s="247">
        <v>963.9</v>
      </c>
      <c r="S140" s="248">
        <v>966</v>
      </c>
      <c r="T140" s="247">
        <v>967.6</v>
      </c>
      <c r="U140" s="248">
        <v>969</v>
      </c>
      <c r="V140" s="248">
        <v>970.3</v>
      </c>
      <c r="W140" s="5">
        <v>107</v>
      </c>
    </row>
    <row r="141" spans="1:23">
      <c r="A141" s="27">
        <v>8</v>
      </c>
      <c r="B141" s="28" t="s">
        <v>629</v>
      </c>
      <c r="C141" s="27">
        <v>1000</v>
      </c>
      <c r="D141" s="27">
        <v>2</v>
      </c>
      <c r="E141" s="27"/>
      <c r="F141" s="29">
        <v>7132006</v>
      </c>
      <c r="G141" s="27">
        <v>280</v>
      </c>
      <c r="I141" s="5">
        <v>108</v>
      </c>
      <c r="J141" s="248">
        <v>952.5</v>
      </c>
      <c r="K141" s="248"/>
      <c r="L141" s="247">
        <v>976</v>
      </c>
      <c r="M141" s="248">
        <v>981.8</v>
      </c>
      <c r="N141" s="247">
        <v>986.6</v>
      </c>
      <c r="O141" s="248">
        <v>993</v>
      </c>
      <c r="P141" s="247">
        <v>997.5</v>
      </c>
      <c r="Q141" s="247"/>
      <c r="R141" s="247">
        <v>963.1</v>
      </c>
      <c r="S141" s="248">
        <v>965.1</v>
      </c>
      <c r="T141" s="247">
        <v>966.8</v>
      </c>
      <c r="U141" s="248">
        <v>968.1</v>
      </c>
      <c r="V141" s="248">
        <v>969.4</v>
      </c>
      <c r="W141" s="5">
        <v>108</v>
      </c>
    </row>
    <row r="142" spans="1:23">
      <c r="A142" s="27">
        <v>9</v>
      </c>
      <c r="B142" s="28" t="s">
        <v>630</v>
      </c>
      <c r="C142" s="27">
        <v>1500</v>
      </c>
      <c r="D142" s="27">
        <v>2</v>
      </c>
      <c r="E142" s="27"/>
      <c r="F142" s="29">
        <v>7132007</v>
      </c>
      <c r="G142" s="27">
        <v>360</v>
      </c>
      <c r="I142" s="5">
        <v>109</v>
      </c>
      <c r="J142" s="248">
        <v>951.7</v>
      </c>
      <c r="K142" s="248"/>
      <c r="L142" s="247">
        <v>975.2</v>
      </c>
      <c r="M142" s="248">
        <v>981</v>
      </c>
      <c r="N142" s="247">
        <v>985.8</v>
      </c>
      <c r="O142" s="248">
        <v>992.1</v>
      </c>
      <c r="P142" s="247">
        <v>996.6</v>
      </c>
      <c r="Q142" s="247"/>
      <c r="R142" s="247">
        <v>962.3</v>
      </c>
      <c r="S142" s="248">
        <v>964.3</v>
      </c>
      <c r="T142" s="247">
        <v>965.9</v>
      </c>
      <c r="U142" s="248">
        <v>967.2</v>
      </c>
      <c r="V142" s="248">
        <v>968.5</v>
      </c>
      <c r="W142" s="5">
        <v>109</v>
      </c>
    </row>
    <row r="143" spans="1:23">
      <c r="A143" s="27">
        <v>10</v>
      </c>
      <c r="B143" s="28" t="s">
        <v>631</v>
      </c>
      <c r="C143" s="27">
        <v>2000</v>
      </c>
      <c r="D143" s="27">
        <v>2</v>
      </c>
      <c r="E143" s="27"/>
      <c r="F143" s="29">
        <v>7132012</v>
      </c>
      <c r="G143" s="27">
        <v>640</v>
      </c>
      <c r="I143" s="5">
        <v>110</v>
      </c>
      <c r="J143" s="248">
        <v>951</v>
      </c>
      <c r="K143" s="248"/>
      <c r="L143" s="247">
        <v>974.4</v>
      </c>
      <c r="M143" s="248">
        <v>980.2</v>
      </c>
      <c r="N143" s="247">
        <v>985</v>
      </c>
      <c r="O143" s="248">
        <v>991.3</v>
      </c>
      <c r="P143" s="247">
        <v>995.8</v>
      </c>
      <c r="Q143" s="247"/>
      <c r="R143" s="247">
        <v>961.5</v>
      </c>
      <c r="S143" s="248">
        <v>963.4</v>
      </c>
      <c r="T143" s="247">
        <v>965.1</v>
      </c>
      <c r="U143" s="248">
        <v>966.4</v>
      </c>
      <c r="V143" s="248">
        <v>967.6</v>
      </c>
      <c r="W143" s="5">
        <v>110</v>
      </c>
    </row>
    <row r="144" spans="1:23">
      <c r="A144" s="27">
        <v>11</v>
      </c>
      <c r="B144" s="28" t="s">
        <v>632</v>
      </c>
      <c r="C144" s="27">
        <v>3000</v>
      </c>
      <c r="D144" s="27">
        <v>2</v>
      </c>
      <c r="E144" s="27"/>
      <c r="F144" s="29">
        <v>7132009</v>
      </c>
      <c r="G144" s="27">
        <v>800</v>
      </c>
      <c r="I144" s="5">
        <v>111</v>
      </c>
      <c r="J144" s="248">
        <v>950.2</v>
      </c>
      <c r="K144" s="248"/>
      <c r="L144" s="247">
        <v>973.6</v>
      </c>
      <c r="M144" s="248">
        <v>979.4</v>
      </c>
      <c r="N144" s="247">
        <v>984.1</v>
      </c>
      <c r="O144" s="248">
        <v>990.5</v>
      </c>
      <c r="P144" s="247">
        <v>995</v>
      </c>
      <c r="Q144" s="247"/>
      <c r="R144" s="247">
        <v>960.6</v>
      </c>
      <c r="S144" s="248">
        <v>962.5</v>
      </c>
      <c r="T144" s="247">
        <v>964.2</v>
      </c>
      <c r="U144" s="248">
        <v>965.5</v>
      </c>
      <c r="V144" s="248">
        <v>966.7</v>
      </c>
      <c r="W144" s="5">
        <v>111</v>
      </c>
    </row>
    <row r="145" spans="1:31">
      <c r="A145" s="27">
        <v>12</v>
      </c>
      <c r="B145" s="28" t="s">
        <v>633</v>
      </c>
      <c r="C145" s="27">
        <v>4000</v>
      </c>
      <c r="D145" s="27">
        <v>2</v>
      </c>
      <c r="E145" s="27"/>
      <c r="F145" s="29">
        <v>7132010</v>
      </c>
      <c r="G145" s="27">
        <v>910</v>
      </c>
      <c r="I145" s="5">
        <v>112</v>
      </c>
      <c r="J145" s="248">
        <v>949.4</v>
      </c>
      <c r="K145" s="248"/>
      <c r="L145" s="247">
        <v>972.8</v>
      </c>
      <c r="M145" s="248">
        <v>978.6</v>
      </c>
      <c r="N145" s="247">
        <v>983.3</v>
      </c>
      <c r="O145" s="248">
        <v>989.7</v>
      </c>
      <c r="P145" s="247">
        <v>994.2</v>
      </c>
      <c r="Q145" s="247"/>
      <c r="R145" s="247">
        <v>959.7</v>
      </c>
      <c r="S145" s="248">
        <v>961.7</v>
      </c>
      <c r="T145" s="247">
        <v>963.3</v>
      </c>
      <c r="U145" s="248">
        <v>964.6</v>
      </c>
      <c r="V145" s="248">
        <v>965.8</v>
      </c>
      <c r="W145" s="5">
        <v>112</v>
      </c>
    </row>
    <row r="146" spans="1:31">
      <c r="A146" s="27">
        <v>13</v>
      </c>
      <c r="B146" s="28" t="s">
        <v>634</v>
      </c>
      <c r="C146" s="27">
        <v>5000</v>
      </c>
      <c r="D146" s="27">
        <v>2</v>
      </c>
      <c r="E146" s="27"/>
      <c r="F146" s="29">
        <v>7132011</v>
      </c>
      <c r="G146" s="27">
        <v>1010</v>
      </c>
      <c r="I146" s="5">
        <v>113</v>
      </c>
      <c r="J146" s="248">
        <v>948.6</v>
      </c>
      <c r="K146" s="248"/>
      <c r="L146" s="247">
        <v>971.9</v>
      </c>
      <c r="M146" s="248">
        <v>977.8</v>
      </c>
      <c r="N146" s="247">
        <v>982.5</v>
      </c>
      <c r="O146" s="248">
        <v>988.8</v>
      </c>
      <c r="P146" s="247">
        <v>993.3</v>
      </c>
      <c r="Q146" s="247"/>
      <c r="R146" s="247">
        <v>958.9</v>
      </c>
      <c r="S146" s="248">
        <v>960.8</v>
      </c>
      <c r="T146" s="247">
        <v>962.4</v>
      </c>
      <c r="U146" s="248">
        <v>963.7</v>
      </c>
      <c r="V146" s="248">
        <v>964.9</v>
      </c>
      <c r="W146" s="5">
        <v>113</v>
      </c>
    </row>
    <row r="147" spans="1:31">
      <c r="A147" s="27"/>
      <c r="B147" s="28"/>
      <c r="C147" s="27"/>
      <c r="D147" s="27"/>
      <c r="E147" s="27"/>
      <c r="F147" s="29"/>
      <c r="G147" s="27"/>
      <c r="I147" s="5">
        <v>114</v>
      </c>
      <c r="J147" s="248">
        <v>947.8</v>
      </c>
      <c r="K147" s="248"/>
      <c r="L147" s="247">
        <v>971.1</v>
      </c>
      <c r="M147" s="248">
        <v>976.9</v>
      </c>
      <c r="N147" s="247">
        <v>981.7</v>
      </c>
      <c r="O147" s="248">
        <v>988</v>
      </c>
      <c r="P147" s="247">
        <v>992.5</v>
      </c>
      <c r="Q147" s="247"/>
      <c r="R147" s="247">
        <v>958</v>
      </c>
      <c r="S147" s="248">
        <v>959.9</v>
      </c>
      <c r="T147" s="247">
        <v>961.5</v>
      </c>
      <c r="U147" s="248">
        <v>962.8</v>
      </c>
      <c r="V147" s="248">
        <v>964</v>
      </c>
      <c r="W147" s="5">
        <v>114</v>
      </c>
    </row>
    <row r="148" spans="1:31">
      <c r="A148" s="27"/>
      <c r="B148" s="28"/>
      <c r="C148" s="27"/>
      <c r="D148" s="27"/>
      <c r="E148" s="27"/>
      <c r="F148" s="29"/>
      <c r="G148" s="27"/>
      <c r="I148" s="5">
        <v>115</v>
      </c>
      <c r="J148" s="248">
        <v>947</v>
      </c>
      <c r="K148" s="248"/>
      <c r="L148" s="247">
        <v>970.3</v>
      </c>
      <c r="M148" s="248">
        <v>976.1</v>
      </c>
      <c r="N148" s="247">
        <v>980.8</v>
      </c>
      <c r="O148" s="248">
        <v>987.1</v>
      </c>
      <c r="P148" s="247">
        <v>991.6</v>
      </c>
      <c r="Q148" s="247"/>
      <c r="R148" s="247">
        <v>957.1</v>
      </c>
      <c r="S148" s="248">
        <v>959</v>
      </c>
      <c r="T148" s="247">
        <v>960.6</v>
      </c>
      <c r="U148" s="248">
        <v>961.9</v>
      </c>
      <c r="V148" s="248">
        <v>963</v>
      </c>
      <c r="W148" s="5">
        <v>115</v>
      </c>
    </row>
    <row r="149" spans="1:31">
      <c r="A149" s="27"/>
      <c r="B149" s="28"/>
      <c r="C149" s="27"/>
      <c r="D149" s="27"/>
      <c r="E149" s="27"/>
      <c r="F149" s="29"/>
      <c r="G149" s="27"/>
      <c r="I149" s="5">
        <v>116</v>
      </c>
      <c r="J149" s="248">
        <v>946.3</v>
      </c>
      <c r="K149" s="248"/>
      <c r="L149" s="247">
        <v>969.5</v>
      </c>
      <c r="M149" s="248">
        <v>975.3</v>
      </c>
      <c r="N149" s="247">
        <v>980</v>
      </c>
      <c r="O149" s="248">
        <v>986.3</v>
      </c>
      <c r="P149" s="247">
        <v>990.8</v>
      </c>
      <c r="Q149" s="247"/>
      <c r="R149" s="247">
        <v>956.3</v>
      </c>
      <c r="S149" s="248">
        <v>958.1</v>
      </c>
      <c r="T149" s="247">
        <v>959.7</v>
      </c>
      <c r="U149" s="248">
        <v>961</v>
      </c>
      <c r="V149" s="248">
        <v>962.1</v>
      </c>
      <c r="W149" s="5">
        <v>116</v>
      </c>
    </row>
    <row r="150" spans="1:31">
      <c r="A150" s="27"/>
      <c r="B150" s="28"/>
      <c r="C150" s="27"/>
      <c r="D150" s="27"/>
      <c r="E150" s="27"/>
      <c r="F150" s="27"/>
      <c r="G150" s="27"/>
      <c r="I150" s="5">
        <v>117</v>
      </c>
      <c r="J150" s="248">
        <v>945.5</v>
      </c>
      <c r="K150" s="248"/>
      <c r="L150" s="247">
        <v>968.7</v>
      </c>
      <c r="M150" s="248">
        <v>974.4</v>
      </c>
      <c r="N150" s="247">
        <v>979.2</v>
      </c>
      <c r="O150" s="248">
        <v>985.5</v>
      </c>
      <c r="P150" s="247">
        <v>990</v>
      </c>
      <c r="Q150" s="247"/>
      <c r="R150" s="247">
        <v>955.4</v>
      </c>
      <c r="S150" s="248">
        <v>957.3</v>
      </c>
      <c r="T150" s="247">
        <v>958.8</v>
      </c>
      <c r="U150" s="248">
        <v>960.1</v>
      </c>
      <c r="V150" s="248">
        <v>961.2</v>
      </c>
      <c r="W150" s="5">
        <v>117</v>
      </c>
    </row>
    <row r="151" spans="1:31">
      <c r="A151" s="27"/>
      <c r="B151" s="28"/>
      <c r="C151" s="27"/>
      <c r="D151" s="27"/>
      <c r="E151" s="27"/>
      <c r="F151" s="27"/>
      <c r="G151" s="27"/>
      <c r="I151" s="5">
        <v>118</v>
      </c>
      <c r="J151" s="248">
        <v>944.7</v>
      </c>
      <c r="K151" s="248"/>
      <c r="L151" s="247">
        <v>967.9</v>
      </c>
      <c r="M151" s="248">
        <v>973.6</v>
      </c>
      <c r="N151" s="247">
        <v>978.3</v>
      </c>
      <c r="O151" s="248">
        <v>984.6</v>
      </c>
      <c r="P151" s="247">
        <v>989.1</v>
      </c>
      <c r="Q151" s="247"/>
      <c r="R151" s="247">
        <v>954.5</v>
      </c>
      <c r="S151" s="248">
        <v>956.4</v>
      </c>
      <c r="T151" s="247">
        <v>957.9</v>
      </c>
      <c r="U151" s="248">
        <v>959.2</v>
      </c>
      <c r="V151" s="248">
        <v>960.3</v>
      </c>
      <c r="W151" s="5">
        <v>118</v>
      </c>
    </row>
    <row r="152" spans="1:31">
      <c r="A152" s="27"/>
      <c r="B152" s="28"/>
      <c r="C152" s="27"/>
      <c r="D152" s="27"/>
      <c r="E152" s="27"/>
      <c r="F152" s="27"/>
      <c r="G152" s="27"/>
      <c r="I152" s="5">
        <v>119</v>
      </c>
      <c r="J152" s="248">
        <v>943.9</v>
      </c>
      <c r="K152" s="248"/>
      <c r="L152" s="247">
        <v>967</v>
      </c>
      <c r="M152" s="248">
        <v>972.8</v>
      </c>
      <c r="N152" s="247">
        <v>977.5</v>
      </c>
      <c r="O152" s="248">
        <v>983.8</v>
      </c>
      <c r="P152" s="247">
        <v>988.3</v>
      </c>
      <c r="Q152" s="247"/>
      <c r="R152" s="247">
        <v>953.7</v>
      </c>
      <c r="S152" s="248">
        <v>955.5</v>
      </c>
      <c r="T152" s="247">
        <v>957.1</v>
      </c>
      <c r="U152" s="248">
        <v>958.3</v>
      </c>
      <c r="V152" s="248">
        <v>959.4</v>
      </c>
      <c r="W152" s="5">
        <v>119</v>
      </c>
    </row>
    <row r="153" spans="1:31">
      <c r="A153" s="27"/>
      <c r="B153" s="28"/>
      <c r="C153" s="27"/>
      <c r="D153" s="27"/>
      <c r="E153" s="27"/>
      <c r="F153" s="27"/>
      <c r="G153" s="27"/>
      <c r="I153" s="5">
        <v>120</v>
      </c>
      <c r="J153" s="248">
        <v>943.1</v>
      </c>
      <c r="K153" s="248"/>
      <c r="L153" s="247">
        <v>966.2</v>
      </c>
      <c r="M153" s="248">
        <v>972</v>
      </c>
      <c r="N153" s="247">
        <v>976.7</v>
      </c>
      <c r="O153" s="248">
        <v>982.9</v>
      </c>
      <c r="P153" s="247">
        <v>987.4</v>
      </c>
      <c r="Q153" s="247"/>
      <c r="R153" s="247">
        <v>952.8</v>
      </c>
      <c r="S153" s="248">
        <v>954.6</v>
      </c>
      <c r="T153" s="247">
        <v>956.2</v>
      </c>
      <c r="U153" s="248">
        <v>957.4</v>
      </c>
      <c r="V153" s="248">
        <v>958.5</v>
      </c>
      <c r="W153" s="5">
        <v>120</v>
      </c>
    </row>
    <row r="154" spans="1:31">
      <c r="A154" s="27"/>
      <c r="B154" s="28"/>
      <c r="C154" s="27"/>
      <c r="D154" s="27"/>
      <c r="E154" s="27"/>
      <c r="F154" s="27"/>
      <c r="G154" s="27"/>
      <c r="I154" s="5"/>
      <c r="J154" s="11"/>
      <c r="K154" s="11"/>
      <c r="L154" s="14"/>
      <c r="M154" s="11"/>
      <c r="N154" s="14"/>
      <c r="O154" s="11"/>
      <c r="P154" s="14"/>
      <c r="Q154" s="14"/>
      <c r="R154" s="11"/>
      <c r="S154" s="14"/>
      <c r="T154" s="11"/>
      <c r="U154" s="14"/>
      <c r="V154" s="11"/>
      <c r="W154" s="8"/>
    </row>
    <row r="155" spans="1:31">
      <c r="A155" s="27"/>
      <c r="B155" s="28"/>
      <c r="C155" s="27"/>
      <c r="D155" s="27"/>
      <c r="E155" s="27"/>
      <c r="F155" s="27"/>
      <c r="G155" s="27"/>
      <c r="I155" s="5"/>
      <c r="J155" s="11"/>
      <c r="K155" s="11"/>
      <c r="L155" s="14"/>
      <c r="M155" s="11"/>
      <c r="N155" s="14"/>
      <c r="O155" s="11"/>
      <c r="P155" s="14"/>
      <c r="Q155" s="14"/>
      <c r="R155" s="11"/>
      <c r="S155" s="14"/>
      <c r="T155" s="11"/>
      <c r="U155" s="14"/>
      <c r="V155" s="11"/>
      <c r="W155" s="8"/>
    </row>
    <row r="156" spans="1:31">
      <c r="A156" s="27"/>
      <c r="B156" s="28"/>
      <c r="C156" s="27"/>
      <c r="D156" s="27"/>
      <c r="E156" s="27"/>
      <c r="F156" s="27"/>
      <c r="G156" s="27"/>
    </row>
    <row r="157" spans="1:31">
      <c r="A157" s="27"/>
      <c r="B157" s="28"/>
      <c r="C157" s="27"/>
      <c r="D157" s="27"/>
      <c r="E157" s="27"/>
      <c r="F157" s="27"/>
      <c r="G157" s="27"/>
      <c r="J157" s="497" t="s">
        <v>31</v>
      </c>
      <c r="K157" s="497"/>
      <c r="L157" s="497"/>
      <c r="M157" s="497"/>
      <c r="N157" s="497"/>
      <c r="O157" s="497"/>
      <c r="P157" s="497"/>
      <c r="Q157" s="497"/>
      <c r="R157" s="497"/>
      <c r="S157" s="497"/>
      <c r="T157" s="497"/>
      <c r="U157" s="497"/>
      <c r="V157" s="497"/>
    </row>
    <row r="158" spans="1:31">
      <c r="A158" s="27"/>
      <c r="B158" s="28"/>
      <c r="C158" s="27"/>
      <c r="D158" s="27"/>
      <c r="E158" s="27"/>
      <c r="F158" s="27"/>
      <c r="G158" s="27"/>
      <c r="I158" s="3" t="s">
        <v>30</v>
      </c>
      <c r="J158" s="4">
        <v>0</v>
      </c>
      <c r="K158" s="4"/>
      <c r="L158" s="4">
        <v>5</v>
      </c>
      <c r="M158" s="4">
        <v>10</v>
      </c>
      <c r="N158" s="4">
        <v>15</v>
      </c>
      <c r="O158" s="4">
        <v>20</v>
      </c>
      <c r="P158" s="4">
        <v>25</v>
      </c>
      <c r="Q158" s="4"/>
      <c r="R158" s="4">
        <v>30</v>
      </c>
      <c r="S158" s="4">
        <v>35</v>
      </c>
      <c r="T158" s="4">
        <v>40</v>
      </c>
      <c r="U158" s="4">
        <v>45</v>
      </c>
      <c r="V158" s="4">
        <v>50</v>
      </c>
    </row>
    <row r="159" spans="1:31">
      <c r="I159" s="5">
        <v>100</v>
      </c>
      <c r="J159" s="21">
        <v>0</v>
      </c>
      <c r="K159" s="21"/>
      <c r="L159" s="21">
        <v>0</v>
      </c>
      <c r="M159" s="21">
        <v>0</v>
      </c>
      <c r="N159" s="21">
        <v>0</v>
      </c>
      <c r="O159" s="21">
        <v>0</v>
      </c>
      <c r="P159" s="21">
        <v>0</v>
      </c>
      <c r="Q159" s="21"/>
      <c r="R159" s="21">
        <v>0</v>
      </c>
      <c r="S159" s="21">
        <v>0</v>
      </c>
      <c r="T159" s="21">
        <v>0</v>
      </c>
      <c r="U159" s="21">
        <v>0</v>
      </c>
      <c r="V159" s="21">
        <v>0</v>
      </c>
      <c r="W159" s="23"/>
    </row>
    <row r="160" spans="1:31">
      <c r="I160" s="5">
        <v>101</v>
      </c>
      <c r="J160" s="22">
        <f t="shared" ref="J160:V160" si="0">(J159+J162)/2</f>
        <v>0.05</v>
      </c>
      <c r="K160" s="22"/>
      <c r="L160" s="22">
        <f t="shared" si="0"/>
        <v>4.7500000000000001E-2</v>
      </c>
      <c r="M160" s="22">
        <f t="shared" si="0"/>
        <v>4.6249999999999999E-2</v>
      </c>
      <c r="N160" s="22">
        <f t="shared" si="0"/>
        <v>4.3749999999999997E-2</v>
      </c>
      <c r="O160" s="22">
        <f t="shared" si="0"/>
        <v>4.1250000000000002E-2</v>
      </c>
      <c r="P160" s="22">
        <f t="shared" si="0"/>
        <v>0.04</v>
      </c>
      <c r="Q160" s="22"/>
      <c r="R160" s="22">
        <f t="shared" si="0"/>
        <v>3.7499999999999999E-2</v>
      </c>
      <c r="S160" s="22">
        <f t="shared" si="0"/>
        <v>3.125E-2</v>
      </c>
      <c r="T160" s="22">
        <f t="shared" si="0"/>
        <v>2.5000000000000001E-2</v>
      </c>
      <c r="U160" s="22">
        <f t="shared" si="0"/>
        <v>1.8749999999999999E-2</v>
      </c>
      <c r="V160" s="22">
        <f t="shared" si="0"/>
        <v>1.2500000000000001E-2</v>
      </c>
      <c r="W160" s="24"/>
      <c r="X160" s="17"/>
      <c r="Y160" s="17"/>
      <c r="Z160" s="17"/>
      <c r="AA160" s="17"/>
      <c r="AB160" s="17"/>
      <c r="AC160" s="17"/>
      <c r="AD160" s="17"/>
      <c r="AE160" s="17"/>
    </row>
    <row r="161" spans="1:46">
      <c r="B161" s="27">
        <v>23</v>
      </c>
      <c r="I161" s="5">
        <v>102</v>
      </c>
      <c r="J161" s="22">
        <f t="shared" ref="J161:V161" si="1">(J160+J162)/2</f>
        <v>7.5000000000000011E-2</v>
      </c>
      <c r="K161" s="22"/>
      <c r="L161" s="22">
        <f t="shared" si="1"/>
        <v>7.1250000000000008E-2</v>
      </c>
      <c r="M161" s="22">
        <f t="shared" si="1"/>
        <v>6.9374999999999992E-2</v>
      </c>
      <c r="N161" s="22">
        <f t="shared" si="1"/>
        <v>6.5624999999999989E-2</v>
      </c>
      <c r="O161" s="22">
        <f t="shared" si="1"/>
        <v>6.1874999999999999E-2</v>
      </c>
      <c r="P161" s="22">
        <f t="shared" si="1"/>
        <v>0.06</v>
      </c>
      <c r="Q161" s="22"/>
      <c r="R161" s="22">
        <f t="shared" si="1"/>
        <v>5.6249999999999994E-2</v>
      </c>
      <c r="S161" s="22">
        <f t="shared" si="1"/>
        <v>4.6875E-2</v>
      </c>
      <c r="T161" s="22">
        <f t="shared" si="1"/>
        <v>3.7500000000000006E-2</v>
      </c>
      <c r="U161" s="22">
        <f t="shared" si="1"/>
        <v>2.8124999999999997E-2</v>
      </c>
      <c r="V161" s="22">
        <f t="shared" si="1"/>
        <v>1.8750000000000003E-2</v>
      </c>
      <c r="W161" s="25"/>
      <c r="X161" s="18"/>
      <c r="Y161" s="18"/>
      <c r="Z161" s="18"/>
      <c r="AA161" s="18"/>
      <c r="AB161" s="18"/>
      <c r="AC161" s="18"/>
      <c r="AD161" s="18"/>
      <c r="AE161" s="19"/>
    </row>
    <row r="162" spans="1:46">
      <c r="I162" s="5">
        <v>103</v>
      </c>
      <c r="J162" s="22">
        <f t="shared" ref="J162:V162" si="2">(J159+J164)/2</f>
        <v>0.1</v>
      </c>
      <c r="K162" s="22"/>
      <c r="L162" s="22">
        <f t="shared" si="2"/>
        <v>9.5000000000000001E-2</v>
      </c>
      <c r="M162" s="22">
        <f t="shared" si="2"/>
        <v>9.2499999999999999E-2</v>
      </c>
      <c r="N162" s="22">
        <f t="shared" si="2"/>
        <v>8.7499999999999994E-2</v>
      </c>
      <c r="O162" s="22">
        <f t="shared" si="2"/>
        <v>8.2500000000000004E-2</v>
      </c>
      <c r="P162" s="22">
        <f t="shared" si="2"/>
        <v>0.08</v>
      </c>
      <c r="Q162" s="22"/>
      <c r="R162" s="22">
        <f t="shared" si="2"/>
        <v>7.4999999999999997E-2</v>
      </c>
      <c r="S162" s="22">
        <f t="shared" si="2"/>
        <v>6.25E-2</v>
      </c>
      <c r="T162" s="22">
        <f t="shared" si="2"/>
        <v>0.05</v>
      </c>
      <c r="U162" s="22">
        <f t="shared" si="2"/>
        <v>3.7499999999999999E-2</v>
      </c>
      <c r="V162" s="22">
        <f t="shared" si="2"/>
        <v>2.5000000000000001E-2</v>
      </c>
      <c r="W162" s="23"/>
      <c r="Z162" s="16" t="s">
        <v>48</v>
      </c>
      <c r="AA162" s="16" t="s">
        <v>49</v>
      </c>
      <c r="AB162" s="17">
        <v>20</v>
      </c>
      <c r="AC162" s="17">
        <v>30</v>
      </c>
      <c r="AD162" s="17">
        <v>40</v>
      </c>
      <c r="AE162" s="17">
        <v>50</v>
      </c>
      <c r="AF162" s="17">
        <v>60</v>
      </c>
      <c r="AG162" s="17">
        <v>70</v>
      </c>
      <c r="AH162" s="17">
        <v>80</v>
      </c>
      <c r="AI162" s="17">
        <v>90</v>
      </c>
      <c r="AJ162" s="17">
        <v>100</v>
      </c>
      <c r="AK162" s="17">
        <v>110</v>
      </c>
      <c r="AL162" s="17">
        <v>120</v>
      </c>
      <c r="AM162" s="17">
        <v>130</v>
      </c>
      <c r="AN162" s="17">
        <v>140</v>
      </c>
      <c r="AO162" s="17">
        <v>150</v>
      </c>
      <c r="AP162" s="17">
        <v>160</v>
      </c>
      <c r="AQ162" s="17">
        <v>170</v>
      </c>
      <c r="AR162" s="17">
        <v>180</v>
      </c>
      <c r="AS162" s="17">
        <v>190</v>
      </c>
      <c r="AT162" s="17">
        <v>200</v>
      </c>
    </row>
    <row r="163" spans="1:46">
      <c r="A163" s="27">
        <v>1</v>
      </c>
      <c r="B163" s="27" t="s">
        <v>958</v>
      </c>
      <c r="C163" s="27"/>
      <c r="D163" s="27"/>
      <c r="F163" s="32">
        <v>8111500</v>
      </c>
      <c r="I163" s="5">
        <v>104</v>
      </c>
      <c r="J163" s="22">
        <f t="shared" ref="J163:V163" si="3">(J162+J164)/2</f>
        <v>0.15000000000000002</v>
      </c>
      <c r="K163" s="22"/>
      <c r="L163" s="22">
        <f t="shared" si="3"/>
        <v>0.14250000000000002</v>
      </c>
      <c r="M163" s="22">
        <f t="shared" si="3"/>
        <v>0.13874999999999998</v>
      </c>
      <c r="N163" s="22">
        <f t="shared" si="3"/>
        <v>0.13124999999999998</v>
      </c>
      <c r="O163" s="22">
        <f t="shared" si="3"/>
        <v>0.12375</v>
      </c>
      <c r="P163" s="22">
        <f t="shared" si="3"/>
        <v>0.12</v>
      </c>
      <c r="Q163" s="22"/>
      <c r="R163" s="22">
        <f t="shared" si="3"/>
        <v>0.11249999999999999</v>
      </c>
      <c r="S163" s="22">
        <f t="shared" si="3"/>
        <v>9.375E-2</v>
      </c>
      <c r="T163" s="22">
        <f t="shared" si="3"/>
        <v>7.5000000000000011E-2</v>
      </c>
      <c r="U163" s="22">
        <f t="shared" si="3"/>
        <v>5.6249999999999994E-2</v>
      </c>
      <c r="V163" s="22">
        <f t="shared" si="3"/>
        <v>3.7500000000000006E-2</v>
      </c>
      <c r="W163" s="23"/>
      <c r="Z163" s="16" t="s">
        <v>51</v>
      </c>
      <c r="AA163" s="16" t="s">
        <v>3</v>
      </c>
      <c r="AB163" s="18">
        <v>0</v>
      </c>
      <c r="AC163" s="18">
        <v>0</v>
      </c>
      <c r="AD163" s="18">
        <v>0</v>
      </c>
      <c r="AE163" s="18">
        <v>0</v>
      </c>
      <c r="AF163" s="18">
        <v>0</v>
      </c>
      <c r="AG163" s="18">
        <v>0</v>
      </c>
      <c r="AH163" s="18">
        <v>0</v>
      </c>
      <c r="AI163" s="18">
        <v>0</v>
      </c>
      <c r="AJ163" s="18">
        <v>0</v>
      </c>
      <c r="AK163" s="18">
        <v>0.4</v>
      </c>
      <c r="AL163" s="18">
        <v>1.03</v>
      </c>
      <c r="AM163" s="18">
        <v>1.75</v>
      </c>
      <c r="AN163" s="18">
        <v>2.69</v>
      </c>
      <c r="AO163" s="18">
        <v>3.85</v>
      </c>
      <c r="AP163" s="18">
        <v>5.3</v>
      </c>
      <c r="AQ163" s="18">
        <v>7.08</v>
      </c>
      <c r="AR163" s="18">
        <v>9.25</v>
      </c>
      <c r="AS163" s="18">
        <v>11.8</v>
      </c>
      <c r="AT163" s="19">
        <v>14.5</v>
      </c>
    </row>
    <row r="164" spans="1:46">
      <c r="A164" s="27">
        <v>2</v>
      </c>
      <c r="B164" s="27" t="s">
        <v>959</v>
      </c>
      <c r="C164" s="27"/>
      <c r="D164" s="27"/>
      <c r="F164" s="32">
        <v>8111501</v>
      </c>
      <c r="I164" s="5">
        <v>105</v>
      </c>
      <c r="J164" s="22">
        <f t="shared" ref="J164:V164" si="4">(J159+J169)/2</f>
        <v>0.2</v>
      </c>
      <c r="K164" s="22"/>
      <c r="L164" s="22">
        <f t="shared" si="4"/>
        <v>0.19</v>
      </c>
      <c r="M164" s="22">
        <f t="shared" si="4"/>
        <v>0.185</v>
      </c>
      <c r="N164" s="22">
        <f t="shared" si="4"/>
        <v>0.17499999999999999</v>
      </c>
      <c r="O164" s="22">
        <f t="shared" si="4"/>
        <v>0.16500000000000001</v>
      </c>
      <c r="P164" s="22">
        <f t="shared" si="4"/>
        <v>0.16</v>
      </c>
      <c r="Q164" s="22"/>
      <c r="R164" s="22">
        <f t="shared" si="4"/>
        <v>0.15</v>
      </c>
      <c r="S164" s="22">
        <f t="shared" si="4"/>
        <v>0.125</v>
      </c>
      <c r="T164" s="22">
        <f t="shared" si="4"/>
        <v>0.1</v>
      </c>
      <c r="U164" s="22">
        <f t="shared" si="4"/>
        <v>7.4999999999999997E-2</v>
      </c>
      <c r="V164" s="22">
        <f t="shared" si="4"/>
        <v>0.05</v>
      </c>
      <c r="W164" s="23"/>
      <c r="Z164" s="16" t="s">
        <v>48</v>
      </c>
      <c r="AA164" s="16" t="s">
        <v>49</v>
      </c>
      <c r="AB164" s="17">
        <v>20</v>
      </c>
      <c r="AC164" s="17">
        <v>30</v>
      </c>
      <c r="AD164" s="17">
        <v>40</v>
      </c>
      <c r="AE164" s="17">
        <v>50</v>
      </c>
      <c r="AF164" s="17">
        <v>60</v>
      </c>
      <c r="AG164" s="17">
        <v>70</v>
      </c>
      <c r="AH164" s="17">
        <v>80</v>
      </c>
      <c r="AI164" s="17">
        <v>90</v>
      </c>
      <c r="AJ164" s="17">
        <v>100</v>
      </c>
      <c r="AK164" s="17">
        <v>110</v>
      </c>
      <c r="AL164" s="17">
        <v>120</v>
      </c>
      <c r="AM164" s="17">
        <v>130</v>
      </c>
      <c r="AN164" s="17">
        <v>140</v>
      </c>
      <c r="AO164" s="17">
        <v>150</v>
      </c>
      <c r="AP164" s="17">
        <v>160</v>
      </c>
      <c r="AQ164" s="17">
        <v>170</v>
      </c>
      <c r="AR164" s="17">
        <v>180</v>
      </c>
      <c r="AS164" s="17">
        <v>190</v>
      </c>
      <c r="AT164" s="17">
        <v>200</v>
      </c>
    </row>
    <row r="165" spans="1:46">
      <c r="A165" s="27">
        <v>3</v>
      </c>
      <c r="B165" s="27" t="s">
        <v>960</v>
      </c>
      <c r="C165" s="27"/>
      <c r="D165" s="27"/>
      <c r="F165" s="32">
        <v>8111502</v>
      </c>
      <c r="I165" s="5">
        <v>106</v>
      </c>
      <c r="J165" s="22">
        <f t="shared" ref="J165:V165" si="5">(J164+J166)/2</f>
        <v>0.23750000000000002</v>
      </c>
      <c r="K165" s="22"/>
      <c r="L165" s="22">
        <f t="shared" si="5"/>
        <v>0.22562499999999999</v>
      </c>
      <c r="M165" s="22">
        <f t="shared" si="5"/>
        <v>0.21968750000000001</v>
      </c>
      <c r="N165" s="22">
        <f t="shared" si="5"/>
        <v>0.20781249999999998</v>
      </c>
      <c r="O165" s="22">
        <f t="shared" si="5"/>
        <v>0.19593749999999999</v>
      </c>
      <c r="P165" s="22">
        <f t="shared" si="5"/>
        <v>0.19</v>
      </c>
      <c r="Q165" s="22"/>
      <c r="R165" s="22">
        <f t="shared" si="5"/>
        <v>0.17812499999999998</v>
      </c>
      <c r="S165" s="22">
        <f t="shared" si="5"/>
        <v>0.1484375</v>
      </c>
      <c r="T165" s="22">
        <f t="shared" si="5"/>
        <v>0.11875000000000001</v>
      </c>
      <c r="U165" s="22">
        <f t="shared" si="5"/>
        <v>8.9062499999999989E-2</v>
      </c>
      <c r="V165" s="22">
        <f t="shared" si="5"/>
        <v>5.9375000000000004E-2</v>
      </c>
      <c r="W165" s="23"/>
      <c r="Z165" s="16" t="s">
        <v>52</v>
      </c>
      <c r="AA165" s="16"/>
      <c r="AB165" s="496" t="s">
        <v>53</v>
      </c>
      <c r="AC165" s="496"/>
      <c r="AD165" s="496"/>
      <c r="AE165" s="496"/>
      <c r="AF165" s="496"/>
      <c r="AG165" s="496"/>
      <c r="AH165" s="20">
        <v>6.8999999999999999E-3</v>
      </c>
      <c r="AI165" s="20">
        <v>1.43E-2</v>
      </c>
      <c r="AJ165" s="20">
        <v>2.2100000000000002E-2</v>
      </c>
      <c r="AK165" s="20">
        <v>3.04E-2</v>
      </c>
      <c r="AL165" s="20">
        <v>3.7650000000000003E-2</v>
      </c>
      <c r="AM165" s="20">
        <v>4.9430000000000002E-2</v>
      </c>
      <c r="AN165" s="20">
        <v>5.5320000000000001E-2</v>
      </c>
      <c r="AO165" s="20">
        <v>6.1210000000000001E-2</v>
      </c>
      <c r="AP165" s="20">
        <v>6.7100000000000007E-2</v>
      </c>
      <c r="AQ165" s="20">
        <v>7.2989999999999999E-2</v>
      </c>
      <c r="AR165" s="20">
        <v>7.8880000000000006E-2</v>
      </c>
      <c r="AS165" s="20">
        <v>8.4769999999999998E-2</v>
      </c>
      <c r="AT165" s="20">
        <v>9.0660000000000004E-2</v>
      </c>
    </row>
    <row r="166" spans="1:46">
      <c r="A166" s="27">
        <v>4</v>
      </c>
      <c r="B166" s="27" t="s">
        <v>961</v>
      </c>
      <c r="C166" s="27"/>
      <c r="D166" s="27"/>
      <c r="F166" s="32">
        <v>8111503</v>
      </c>
      <c r="I166" s="5">
        <v>107</v>
      </c>
      <c r="J166" s="22">
        <f t="shared" ref="J166:V166" si="6">(J164+J168)/2</f>
        <v>0.27500000000000002</v>
      </c>
      <c r="K166" s="22"/>
      <c r="L166" s="22">
        <f t="shared" si="6"/>
        <v>0.26124999999999998</v>
      </c>
      <c r="M166" s="22">
        <f t="shared" si="6"/>
        <v>0.25437500000000002</v>
      </c>
      <c r="N166" s="22">
        <f t="shared" si="6"/>
        <v>0.24062499999999998</v>
      </c>
      <c r="O166" s="22">
        <f t="shared" si="6"/>
        <v>0.22687499999999999</v>
      </c>
      <c r="P166" s="22">
        <f t="shared" si="6"/>
        <v>0.22000000000000003</v>
      </c>
      <c r="Q166" s="22"/>
      <c r="R166" s="22">
        <f t="shared" si="6"/>
        <v>0.20624999999999999</v>
      </c>
      <c r="S166" s="22">
        <f t="shared" si="6"/>
        <v>0.171875</v>
      </c>
      <c r="T166" s="22">
        <f t="shared" si="6"/>
        <v>0.13750000000000001</v>
      </c>
      <c r="U166" s="22">
        <f t="shared" si="6"/>
        <v>0.10312499999999999</v>
      </c>
      <c r="V166" s="22">
        <f t="shared" si="6"/>
        <v>6.8750000000000006E-2</v>
      </c>
      <c r="W166" s="23"/>
      <c r="Z166" s="16"/>
      <c r="AA166" s="16"/>
      <c r="AB166" s="18"/>
      <c r="AC166" s="18"/>
      <c r="AD166" s="18"/>
      <c r="AE166" s="18"/>
      <c r="AF166" s="18"/>
      <c r="AG166" s="18"/>
      <c r="AH166" s="18"/>
      <c r="AI166" s="18"/>
      <c r="AJ166" s="18"/>
      <c r="AK166" s="18"/>
      <c r="AL166" s="18"/>
      <c r="AM166" s="18"/>
      <c r="AN166" s="18"/>
      <c r="AO166" s="18"/>
      <c r="AP166" s="18"/>
      <c r="AQ166" s="18"/>
      <c r="AR166" s="18"/>
      <c r="AS166" s="18"/>
      <c r="AT166" s="18"/>
    </row>
    <row r="167" spans="1:46">
      <c r="A167" s="27">
        <v>5</v>
      </c>
      <c r="B167" s="27" t="s">
        <v>987</v>
      </c>
      <c r="F167" s="32">
        <v>8111504</v>
      </c>
      <c r="I167" s="5">
        <v>108</v>
      </c>
      <c r="J167" s="22">
        <f t="shared" ref="J167:V167" si="7">(J164+J169)/2</f>
        <v>0.30000000000000004</v>
      </c>
      <c r="K167" s="22"/>
      <c r="L167" s="22">
        <f t="shared" si="7"/>
        <v>0.28500000000000003</v>
      </c>
      <c r="M167" s="22">
        <f t="shared" si="7"/>
        <v>0.27749999999999997</v>
      </c>
      <c r="N167" s="22">
        <f t="shared" si="7"/>
        <v>0.26249999999999996</v>
      </c>
      <c r="O167" s="22">
        <f t="shared" si="7"/>
        <v>0.2475</v>
      </c>
      <c r="P167" s="22">
        <f t="shared" si="7"/>
        <v>0.24</v>
      </c>
      <c r="Q167" s="22"/>
      <c r="R167" s="22">
        <f t="shared" si="7"/>
        <v>0.22499999999999998</v>
      </c>
      <c r="S167" s="22">
        <f t="shared" si="7"/>
        <v>0.1875</v>
      </c>
      <c r="T167" s="22">
        <f t="shared" si="7"/>
        <v>0.15000000000000002</v>
      </c>
      <c r="U167" s="22">
        <f t="shared" si="7"/>
        <v>0.11249999999999999</v>
      </c>
      <c r="V167" s="22">
        <f t="shared" si="7"/>
        <v>7.5000000000000011E-2</v>
      </c>
      <c r="W167" s="23"/>
      <c r="Z167" s="16" t="s">
        <v>48</v>
      </c>
      <c r="AA167" s="16" t="s">
        <v>49</v>
      </c>
      <c r="AB167" s="17">
        <v>20</v>
      </c>
      <c r="AC167" s="17">
        <v>30</v>
      </c>
      <c r="AD167" s="17">
        <v>40</v>
      </c>
      <c r="AE167" s="17">
        <v>50</v>
      </c>
      <c r="AF167" s="17">
        <v>60</v>
      </c>
      <c r="AG167" s="17">
        <v>70</v>
      </c>
      <c r="AH167" s="17">
        <v>80</v>
      </c>
      <c r="AI167" s="17">
        <v>90</v>
      </c>
      <c r="AJ167" s="17">
        <v>100</v>
      </c>
      <c r="AK167" s="17">
        <v>110</v>
      </c>
      <c r="AL167" s="17">
        <v>120</v>
      </c>
      <c r="AM167" s="17">
        <v>130</v>
      </c>
      <c r="AN167" s="17">
        <v>140</v>
      </c>
      <c r="AO167" s="17">
        <v>150</v>
      </c>
      <c r="AP167" s="17">
        <v>160</v>
      </c>
      <c r="AQ167" s="17">
        <v>170</v>
      </c>
      <c r="AR167" s="17">
        <v>180</v>
      </c>
      <c r="AS167" s="17">
        <v>190</v>
      </c>
      <c r="AT167" s="17">
        <v>200</v>
      </c>
    </row>
    <row r="168" spans="1:46">
      <c r="A168" s="27">
        <v>6</v>
      </c>
      <c r="B168" s="27" t="s">
        <v>962</v>
      </c>
      <c r="C168" s="27"/>
      <c r="D168" s="27"/>
      <c r="F168" s="32">
        <v>8111510</v>
      </c>
      <c r="I168" s="5">
        <v>109</v>
      </c>
      <c r="J168" s="22">
        <f t="shared" ref="J168:V168" si="8">(J167+J169)/2</f>
        <v>0.35000000000000003</v>
      </c>
      <c r="K168" s="22"/>
      <c r="L168" s="22">
        <f t="shared" si="8"/>
        <v>0.33250000000000002</v>
      </c>
      <c r="M168" s="22">
        <f t="shared" si="8"/>
        <v>0.32374999999999998</v>
      </c>
      <c r="N168" s="22">
        <f t="shared" si="8"/>
        <v>0.30624999999999997</v>
      </c>
      <c r="O168" s="22">
        <f t="shared" si="8"/>
        <v>0.28875000000000001</v>
      </c>
      <c r="P168" s="22">
        <f t="shared" si="8"/>
        <v>0.28000000000000003</v>
      </c>
      <c r="Q168" s="22"/>
      <c r="R168" s="22">
        <f t="shared" si="8"/>
        <v>0.26249999999999996</v>
      </c>
      <c r="S168" s="22">
        <f t="shared" si="8"/>
        <v>0.21875</v>
      </c>
      <c r="T168" s="22">
        <f t="shared" si="8"/>
        <v>0.17500000000000002</v>
      </c>
      <c r="U168" s="22">
        <f t="shared" si="8"/>
        <v>0.13124999999999998</v>
      </c>
      <c r="V168" s="22">
        <f t="shared" si="8"/>
        <v>8.7500000000000008E-2</v>
      </c>
      <c r="W168" s="23"/>
      <c r="Z168" s="16" t="s">
        <v>50</v>
      </c>
      <c r="AA168" s="16" t="s">
        <v>54</v>
      </c>
      <c r="AB168" s="18">
        <v>2.3900000000000001E-2</v>
      </c>
      <c r="AC168" s="18">
        <v>2.3900000000000001E-2</v>
      </c>
      <c r="AD168" s="18">
        <v>2.3900000000000001E-2</v>
      </c>
      <c r="AE168" s="18">
        <v>0.03</v>
      </c>
      <c r="AF168" s="18">
        <v>3.6400000000000002E-2</v>
      </c>
      <c r="AG168" s="18">
        <v>4.3099999999999999E-2</v>
      </c>
      <c r="AH168" s="18">
        <v>5.0200000000000002E-2</v>
      </c>
      <c r="AI168" s="18">
        <v>5.7599999999999998E-2</v>
      </c>
      <c r="AJ168" s="18">
        <v>6.5299999999999997E-2</v>
      </c>
      <c r="AK168" s="18">
        <v>7.3400000000000007E-2</v>
      </c>
      <c r="AL168" s="18"/>
      <c r="AM168" s="18"/>
      <c r="AN168" s="18">
        <v>7.3400000000000007E-2</v>
      </c>
      <c r="AO168" s="18"/>
      <c r="AP168" s="18"/>
      <c r="AQ168" s="18">
        <v>7.3400000000000007E-2</v>
      </c>
      <c r="AR168" s="18"/>
      <c r="AS168" s="18"/>
      <c r="AT168" s="19">
        <v>7.3400000000000007E-2</v>
      </c>
    </row>
    <row r="169" spans="1:46">
      <c r="A169" s="27">
        <v>7</v>
      </c>
      <c r="B169" s="27" t="s">
        <v>963</v>
      </c>
      <c r="C169" s="27"/>
      <c r="D169" s="27"/>
      <c r="F169" s="32">
        <v>8111511</v>
      </c>
      <c r="I169" s="5">
        <v>110</v>
      </c>
      <c r="J169" s="21">
        <v>0.4</v>
      </c>
      <c r="K169" s="21"/>
      <c r="L169" s="22">
        <v>0.38</v>
      </c>
      <c r="M169" s="22">
        <v>0.37</v>
      </c>
      <c r="N169" s="22">
        <v>0.35</v>
      </c>
      <c r="O169" s="22">
        <v>0.33</v>
      </c>
      <c r="P169" s="22">
        <v>0.32</v>
      </c>
      <c r="Q169" s="22"/>
      <c r="R169" s="22">
        <v>0.3</v>
      </c>
      <c r="S169" s="22">
        <v>0.25</v>
      </c>
      <c r="T169" s="22">
        <v>0.2</v>
      </c>
      <c r="U169" s="22">
        <v>0.15</v>
      </c>
      <c r="V169" s="22">
        <v>0.1</v>
      </c>
      <c r="W169" s="23"/>
      <c r="Z169" s="16" t="s">
        <v>48</v>
      </c>
      <c r="AA169" s="16" t="s">
        <v>49</v>
      </c>
      <c r="AB169" s="17">
        <v>20</v>
      </c>
      <c r="AC169" s="17">
        <v>30</v>
      </c>
      <c r="AD169" s="17">
        <v>40</v>
      </c>
      <c r="AE169" s="17">
        <v>50</v>
      </c>
      <c r="AF169" s="17">
        <v>60</v>
      </c>
      <c r="AG169" s="17">
        <v>70</v>
      </c>
      <c r="AH169" s="17">
        <v>80</v>
      </c>
      <c r="AI169" s="17">
        <v>90</v>
      </c>
      <c r="AJ169" s="17">
        <v>100</v>
      </c>
      <c r="AK169" s="17">
        <v>110</v>
      </c>
      <c r="AL169" s="17">
        <v>120</v>
      </c>
      <c r="AM169" s="17">
        <v>130</v>
      </c>
      <c r="AN169" s="17">
        <v>140</v>
      </c>
      <c r="AO169" s="17">
        <v>150</v>
      </c>
      <c r="AP169" s="17">
        <v>160</v>
      </c>
      <c r="AQ169" s="17">
        <v>170</v>
      </c>
      <c r="AR169" s="17">
        <v>180</v>
      </c>
      <c r="AS169" s="17">
        <v>190</v>
      </c>
      <c r="AT169" s="17">
        <v>200</v>
      </c>
    </row>
    <row r="170" spans="1:46">
      <c r="A170" s="27">
        <v>8</v>
      </c>
      <c r="B170" s="27" t="s">
        <v>964</v>
      </c>
      <c r="C170" s="27"/>
      <c r="D170" s="27"/>
      <c r="F170" s="32">
        <v>8111512</v>
      </c>
      <c r="I170" s="5">
        <v>111</v>
      </c>
      <c r="J170" s="22">
        <f t="shared" ref="J170:V170" si="9">(J169+J172)/2</f>
        <v>0.47875000000000006</v>
      </c>
      <c r="K170" s="22"/>
      <c r="L170" s="22">
        <f t="shared" si="9"/>
        <v>0.45875000000000005</v>
      </c>
      <c r="M170" s="22">
        <f t="shared" si="9"/>
        <v>0.44749999999999995</v>
      </c>
      <c r="N170" s="22">
        <f t="shared" si="9"/>
        <v>0.42749999999999994</v>
      </c>
      <c r="O170" s="22">
        <f t="shared" si="9"/>
        <v>0.40749999999999997</v>
      </c>
      <c r="P170" s="22">
        <f t="shared" si="9"/>
        <v>0.39624999999999999</v>
      </c>
      <c r="Q170" s="22"/>
      <c r="R170" s="22">
        <f t="shared" si="9"/>
        <v>0.37624999999999997</v>
      </c>
      <c r="S170" s="22">
        <f t="shared" si="9"/>
        <v>0.32999999999999996</v>
      </c>
      <c r="T170" s="22">
        <f t="shared" si="9"/>
        <v>0.28374999999999995</v>
      </c>
      <c r="U170" s="22">
        <f t="shared" si="9"/>
        <v>0.23749999999999999</v>
      </c>
      <c r="V170" s="22">
        <f t="shared" si="9"/>
        <v>0.19124999999999998</v>
      </c>
      <c r="W170" s="23"/>
      <c r="Z170" s="16" t="s">
        <v>55</v>
      </c>
      <c r="AA170" s="16" t="s">
        <v>56</v>
      </c>
      <c r="AB170" s="18">
        <v>0</v>
      </c>
      <c r="AC170" s="18">
        <v>0</v>
      </c>
      <c r="AD170" s="18">
        <v>0</v>
      </c>
      <c r="AE170" s="18">
        <v>0</v>
      </c>
      <c r="AF170" s="18">
        <v>0</v>
      </c>
      <c r="AG170" s="18">
        <v>0</v>
      </c>
      <c r="AH170" s="18">
        <v>0</v>
      </c>
      <c r="AI170" s="18">
        <v>0</v>
      </c>
      <c r="AJ170" s="18">
        <v>0</v>
      </c>
      <c r="AK170" s="18">
        <v>0.2</v>
      </c>
      <c r="AL170" s="18"/>
      <c r="AM170" s="18"/>
      <c r="AN170" s="18">
        <v>0.2</v>
      </c>
      <c r="AO170" s="18"/>
      <c r="AP170" s="18"/>
      <c r="AQ170" s="18">
        <v>0.2</v>
      </c>
      <c r="AR170" s="18"/>
      <c r="AS170" s="18"/>
      <c r="AT170" s="19">
        <v>0.2</v>
      </c>
    </row>
    <row r="171" spans="1:46">
      <c r="A171" s="27">
        <v>9</v>
      </c>
      <c r="B171" s="27" t="s">
        <v>965</v>
      </c>
      <c r="C171" s="27"/>
      <c r="D171" s="27"/>
      <c r="F171" s="32">
        <v>8111513</v>
      </c>
      <c r="I171" s="5">
        <v>112</v>
      </c>
      <c r="J171" s="22">
        <f t="shared" ref="J171:V171" si="10">(J170+J172)/2</f>
        <v>0.51812500000000006</v>
      </c>
      <c r="K171" s="22"/>
      <c r="L171" s="22">
        <f t="shared" si="10"/>
        <v>0.49812500000000004</v>
      </c>
      <c r="M171" s="22">
        <f t="shared" si="10"/>
        <v>0.48624999999999996</v>
      </c>
      <c r="N171" s="22">
        <f t="shared" si="10"/>
        <v>0.46624999999999994</v>
      </c>
      <c r="O171" s="22">
        <f t="shared" si="10"/>
        <v>0.44624999999999998</v>
      </c>
      <c r="P171" s="22">
        <f t="shared" si="10"/>
        <v>0.43437500000000001</v>
      </c>
      <c r="Q171" s="22"/>
      <c r="R171" s="22">
        <f t="shared" si="10"/>
        <v>0.41437499999999999</v>
      </c>
      <c r="S171" s="22">
        <f t="shared" si="10"/>
        <v>0.37</v>
      </c>
      <c r="T171" s="22">
        <f t="shared" si="10"/>
        <v>0.32562499999999994</v>
      </c>
      <c r="U171" s="22">
        <f t="shared" si="10"/>
        <v>0.28125</v>
      </c>
      <c r="V171" s="22">
        <f t="shared" si="10"/>
        <v>0.23687499999999997</v>
      </c>
      <c r="W171" s="23"/>
    </row>
    <row r="172" spans="1:46">
      <c r="A172" s="27">
        <v>10</v>
      </c>
      <c r="B172" s="27" t="s">
        <v>966</v>
      </c>
      <c r="C172" s="27"/>
      <c r="D172" s="27"/>
      <c r="F172" s="32">
        <v>8111514</v>
      </c>
      <c r="I172" s="5">
        <v>113</v>
      </c>
      <c r="J172" s="22">
        <f t="shared" ref="J172:V172" si="11">(J169+J174)/2</f>
        <v>0.55750000000000011</v>
      </c>
      <c r="K172" s="22"/>
      <c r="L172" s="22">
        <f t="shared" si="11"/>
        <v>0.53750000000000009</v>
      </c>
      <c r="M172" s="22">
        <f t="shared" si="11"/>
        <v>0.52499999999999991</v>
      </c>
      <c r="N172" s="22">
        <f t="shared" si="11"/>
        <v>0.50499999999999989</v>
      </c>
      <c r="O172" s="22">
        <f t="shared" si="11"/>
        <v>0.48499999999999999</v>
      </c>
      <c r="P172" s="22">
        <f t="shared" si="11"/>
        <v>0.47250000000000003</v>
      </c>
      <c r="Q172" s="22"/>
      <c r="R172" s="22">
        <f t="shared" si="11"/>
        <v>0.45250000000000001</v>
      </c>
      <c r="S172" s="22">
        <f t="shared" si="11"/>
        <v>0.41</v>
      </c>
      <c r="T172" s="22">
        <f t="shared" si="11"/>
        <v>0.36749999999999994</v>
      </c>
      <c r="U172" s="22">
        <f t="shared" si="11"/>
        <v>0.32499999999999996</v>
      </c>
      <c r="V172" s="22">
        <f t="shared" si="11"/>
        <v>0.28249999999999997</v>
      </c>
      <c r="W172" s="23"/>
    </row>
    <row r="173" spans="1:46">
      <c r="A173" s="27">
        <v>11</v>
      </c>
      <c r="B173" s="27" t="s">
        <v>967</v>
      </c>
      <c r="C173" s="27"/>
      <c r="D173" s="27"/>
      <c r="F173" s="32">
        <v>8111520</v>
      </c>
      <c r="I173" s="5">
        <v>114</v>
      </c>
      <c r="J173" s="22">
        <f t="shared" ref="J173:V173" si="12">(J172+J174)/2</f>
        <v>0.63625000000000009</v>
      </c>
      <c r="K173" s="22"/>
      <c r="L173" s="22">
        <f t="shared" si="12"/>
        <v>0.61625000000000008</v>
      </c>
      <c r="M173" s="22">
        <f t="shared" si="12"/>
        <v>0.60249999999999992</v>
      </c>
      <c r="N173" s="22">
        <f t="shared" si="12"/>
        <v>0.58249999999999991</v>
      </c>
      <c r="O173" s="22">
        <f t="shared" si="12"/>
        <v>0.5625</v>
      </c>
      <c r="P173" s="22">
        <f t="shared" si="12"/>
        <v>0.54875000000000007</v>
      </c>
      <c r="Q173" s="22"/>
      <c r="R173" s="22">
        <f t="shared" si="12"/>
        <v>0.52875000000000005</v>
      </c>
      <c r="S173" s="22">
        <f t="shared" si="12"/>
        <v>0.49</v>
      </c>
      <c r="T173" s="22">
        <f t="shared" si="12"/>
        <v>0.45124999999999993</v>
      </c>
      <c r="U173" s="22">
        <f t="shared" si="12"/>
        <v>0.41249999999999998</v>
      </c>
      <c r="V173" s="22">
        <f t="shared" si="12"/>
        <v>0.37374999999999992</v>
      </c>
      <c r="W173" s="23"/>
    </row>
    <row r="174" spans="1:46">
      <c r="A174" s="27">
        <v>12</v>
      </c>
      <c r="B174" s="27" t="s">
        <v>968</v>
      </c>
      <c r="C174" s="27"/>
      <c r="D174" s="27"/>
      <c r="F174" s="32">
        <v>8111521</v>
      </c>
      <c r="I174" s="5">
        <v>115</v>
      </c>
      <c r="J174" s="22">
        <f t="shared" ref="J174:V174" si="13">(J169+J179)/2</f>
        <v>0.71500000000000008</v>
      </c>
      <c r="K174" s="22"/>
      <c r="L174" s="22">
        <f t="shared" si="13"/>
        <v>0.69500000000000006</v>
      </c>
      <c r="M174" s="22">
        <f t="shared" si="13"/>
        <v>0.67999999999999994</v>
      </c>
      <c r="N174" s="22">
        <f t="shared" si="13"/>
        <v>0.65999999999999992</v>
      </c>
      <c r="O174" s="22">
        <f t="shared" si="13"/>
        <v>0.64</v>
      </c>
      <c r="P174" s="22">
        <f t="shared" si="13"/>
        <v>0.625</v>
      </c>
      <c r="Q174" s="22"/>
      <c r="R174" s="22">
        <f t="shared" si="13"/>
        <v>0.60499999999999998</v>
      </c>
      <c r="S174" s="22">
        <f t="shared" si="13"/>
        <v>0.56999999999999995</v>
      </c>
      <c r="T174" s="22">
        <f t="shared" si="13"/>
        <v>0.53499999999999992</v>
      </c>
      <c r="U174" s="22">
        <f t="shared" si="13"/>
        <v>0.49999999999999994</v>
      </c>
      <c r="V174" s="22">
        <f t="shared" si="13"/>
        <v>0.46499999999999991</v>
      </c>
      <c r="W174" s="23"/>
    </row>
    <row r="175" spans="1:46">
      <c r="A175" s="27">
        <v>13</v>
      </c>
      <c r="B175" s="27" t="s">
        <v>969</v>
      </c>
      <c r="C175" s="27"/>
      <c r="D175" s="27"/>
      <c r="F175" s="32">
        <v>8111522</v>
      </c>
      <c r="I175" s="5">
        <v>116</v>
      </c>
      <c r="J175" s="22">
        <f t="shared" ref="J175:V175" si="14">(J174+J176)/2</f>
        <v>0.7740625000000001</v>
      </c>
      <c r="K175" s="22"/>
      <c r="L175" s="22">
        <f t="shared" si="14"/>
        <v>0.75406250000000008</v>
      </c>
      <c r="M175" s="22">
        <f t="shared" si="14"/>
        <v>0.73812499999999992</v>
      </c>
      <c r="N175" s="22">
        <f t="shared" si="14"/>
        <v>0.7181249999999999</v>
      </c>
      <c r="O175" s="22">
        <f t="shared" si="14"/>
        <v>0.698125</v>
      </c>
      <c r="P175" s="22">
        <f t="shared" si="14"/>
        <v>0.68218749999999995</v>
      </c>
      <c r="Q175" s="22"/>
      <c r="R175" s="22">
        <f t="shared" si="14"/>
        <v>0.66218749999999993</v>
      </c>
      <c r="S175" s="22">
        <f t="shared" si="14"/>
        <v>0.62999999999999989</v>
      </c>
      <c r="T175" s="22">
        <f t="shared" si="14"/>
        <v>0.59781249999999986</v>
      </c>
      <c r="U175" s="22">
        <f t="shared" si="14"/>
        <v>0.56562499999999993</v>
      </c>
      <c r="V175" s="22">
        <f t="shared" si="14"/>
        <v>0.5334374999999999</v>
      </c>
      <c r="W175" s="23"/>
    </row>
    <row r="176" spans="1:46">
      <c r="A176" s="27">
        <v>14</v>
      </c>
      <c r="B176" s="27" t="s">
        <v>970</v>
      </c>
      <c r="C176" s="27"/>
      <c r="D176" s="27"/>
      <c r="F176" s="32">
        <v>8111523</v>
      </c>
      <c r="I176" s="5">
        <v>117</v>
      </c>
      <c r="J176" s="22">
        <f t="shared" ref="J176:V176" si="15">(J174+J178)/2</f>
        <v>0.83312500000000012</v>
      </c>
      <c r="K176" s="22"/>
      <c r="L176" s="22">
        <f t="shared" si="15"/>
        <v>0.8131250000000001</v>
      </c>
      <c r="M176" s="22">
        <f t="shared" si="15"/>
        <v>0.7962499999999999</v>
      </c>
      <c r="N176" s="22">
        <f t="shared" si="15"/>
        <v>0.77624999999999988</v>
      </c>
      <c r="O176" s="22">
        <f t="shared" si="15"/>
        <v>0.75624999999999998</v>
      </c>
      <c r="P176" s="22">
        <f t="shared" si="15"/>
        <v>0.739375</v>
      </c>
      <c r="Q176" s="22"/>
      <c r="R176" s="22">
        <f t="shared" si="15"/>
        <v>0.71937499999999999</v>
      </c>
      <c r="S176" s="22">
        <f t="shared" si="15"/>
        <v>0.69</v>
      </c>
      <c r="T176" s="22">
        <f t="shared" si="15"/>
        <v>0.66062499999999991</v>
      </c>
      <c r="U176" s="22">
        <f t="shared" si="15"/>
        <v>0.63124999999999998</v>
      </c>
      <c r="V176" s="22">
        <f t="shared" si="15"/>
        <v>0.60187499999999983</v>
      </c>
      <c r="W176" s="23"/>
    </row>
    <row r="177" spans="1:23">
      <c r="A177" s="27">
        <v>15</v>
      </c>
      <c r="B177" s="27" t="s">
        <v>971</v>
      </c>
      <c r="C177" s="27"/>
      <c r="D177" s="27"/>
      <c r="F177" s="32">
        <v>8111524</v>
      </c>
      <c r="I177" s="5">
        <v>118</v>
      </c>
      <c r="J177" s="22">
        <f t="shared" ref="J177:V177" si="16">(J174+J179)/2</f>
        <v>0.87250000000000005</v>
      </c>
      <c r="K177" s="22"/>
      <c r="L177" s="22">
        <f t="shared" si="16"/>
        <v>0.85250000000000004</v>
      </c>
      <c r="M177" s="22">
        <f t="shared" si="16"/>
        <v>0.83499999999999996</v>
      </c>
      <c r="N177" s="22">
        <f t="shared" si="16"/>
        <v>0.81499999999999995</v>
      </c>
      <c r="O177" s="22">
        <f t="shared" si="16"/>
        <v>0.79499999999999993</v>
      </c>
      <c r="P177" s="22">
        <f t="shared" si="16"/>
        <v>0.77749999999999997</v>
      </c>
      <c r="Q177" s="22"/>
      <c r="R177" s="22">
        <f t="shared" si="16"/>
        <v>0.75749999999999995</v>
      </c>
      <c r="S177" s="22">
        <f t="shared" si="16"/>
        <v>0.73</v>
      </c>
      <c r="T177" s="22">
        <f t="shared" si="16"/>
        <v>0.7024999999999999</v>
      </c>
      <c r="U177" s="22">
        <f t="shared" si="16"/>
        <v>0.67499999999999993</v>
      </c>
      <c r="V177" s="22">
        <f t="shared" si="16"/>
        <v>0.64749999999999985</v>
      </c>
      <c r="W177" s="23"/>
    </row>
    <row r="178" spans="1:23">
      <c r="A178" s="27">
        <v>16</v>
      </c>
      <c r="B178" s="27" t="s">
        <v>972</v>
      </c>
      <c r="C178" s="27"/>
      <c r="D178" s="27"/>
      <c r="F178" s="32">
        <v>8111530</v>
      </c>
      <c r="I178" s="5">
        <v>119</v>
      </c>
      <c r="J178" s="22">
        <f t="shared" ref="J178:V178" si="17">(J177+J179)/2</f>
        <v>0.95125000000000004</v>
      </c>
      <c r="K178" s="22"/>
      <c r="L178" s="22">
        <f t="shared" si="17"/>
        <v>0.93125000000000002</v>
      </c>
      <c r="M178" s="22">
        <f t="shared" si="17"/>
        <v>0.91249999999999998</v>
      </c>
      <c r="N178" s="22">
        <f t="shared" si="17"/>
        <v>0.89249999999999996</v>
      </c>
      <c r="O178" s="22">
        <f t="shared" si="17"/>
        <v>0.87249999999999994</v>
      </c>
      <c r="P178" s="22">
        <f t="shared" si="17"/>
        <v>0.85375000000000001</v>
      </c>
      <c r="Q178" s="22"/>
      <c r="R178" s="22">
        <f t="shared" si="17"/>
        <v>0.83374999999999999</v>
      </c>
      <c r="S178" s="22">
        <f t="shared" si="17"/>
        <v>0.80999999999999994</v>
      </c>
      <c r="T178" s="22">
        <f t="shared" si="17"/>
        <v>0.78624999999999989</v>
      </c>
      <c r="U178" s="22">
        <f t="shared" si="17"/>
        <v>0.76249999999999996</v>
      </c>
      <c r="V178" s="22">
        <f t="shared" si="17"/>
        <v>0.7387499999999998</v>
      </c>
      <c r="W178" s="23"/>
    </row>
    <row r="179" spans="1:23">
      <c r="A179" s="27">
        <v>17</v>
      </c>
      <c r="B179" s="27" t="s">
        <v>973</v>
      </c>
      <c r="C179" s="27"/>
      <c r="D179" s="27"/>
      <c r="F179" s="32">
        <v>8111531</v>
      </c>
      <c r="I179" s="5">
        <v>120</v>
      </c>
      <c r="J179" s="21">
        <v>1.03</v>
      </c>
      <c r="K179" s="21"/>
      <c r="L179" s="22">
        <f>J179-0.02</f>
        <v>1.01</v>
      </c>
      <c r="M179" s="22">
        <f t="shared" ref="M179:V179" si="18">L179-0.02</f>
        <v>0.99</v>
      </c>
      <c r="N179" s="22">
        <f t="shared" si="18"/>
        <v>0.97</v>
      </c>
      <c r="O179" s="22">
        <f t="shared" si="18"/>
        <v>0.95</v>
      </c>
      <c r="P179" s="22">
        <f t="shared" si="18"/>
        <v>0.92999999999999994</v>
      </c>
      <c r="Q179" s="22"/>
      <c r="R179" s="22">
        <f>P179-0.02</f>
        <v>0.90999999999999992</v>
      </c>
      <c r="S179" s="22">
        <f t="shared" si="18"/>
        <v>0.8899999999999999</v>
      </c>
      <c r="T179" s="22">
        <f t="shared" si="18"/>
        <v>0.86999999999999988</v>
      </c>
      <c r="U179" s="22">
        <f t="shared" si="18"/>
        <v>0.84999999999999987</v>
      </c>
      <c r="V179" s="22">
        <f t="shared" si="18"/>
        <v>0.82999999999999985</v>
      </c>
      <c r="W179" s="23"/>
    </row>
    <row r="180" spans="1:23">
      <c r="A180" s="27">
        <v>18</v>
      </c>
      <c r="B180" s="27" t="s">
        <v>974</v>
      </c>
      <c r="C180" s="27"/>
      <c r="D180" s="27"/>
      <c r="F180" s="32">
        <v>8111532</v>
      </c>
      <c r="I180" s="5">
        <v>121</v>
      </c>
      <c r="J180" s="22">
        <f t="shared" ref="J180:V180" si="19">(J179+J182)/2</f>
        <v>1.1200000000000001</v>
      </c>
      <c r="K180" s="22"/>
      <c r="L180" s="22">
        <f t="shared" si="19"/>
        <v>1.1000000000000001</v>
      </c>
      <c r="M180" s="22">
        <f t="shared" si="19"/>
        <v>1.08</v>
      </c>
      <c r="N180" s="22">
        <f t="shared" si="19"/>
        <v>1.06</v>
      </c>
      <c r="O180" s="22">
        <f t="shared" si="19"/>
        <v>1.04</v>
      </c>
      <c r="P180" s="22">
        <f t="shared" si="19"/>
        <v>1.02</v>
      </c>
      <c r="Q180" s="22"/>
      <c r="R180" s="22">
        <f t="shared" si="19"/>
        <v>0.99999999999999989</v>
      </c>
      <c r="S180" s="22">
        <f t="shared" si="19"/>
        <v>0.97999999999999987</v>
      </c>
      <c r="T180" s="22">
        <f t="shared" si="19"/>
        <v>0.95999999999999985</v>
      </c>
      <c r="U180" s="22">
        <f t="shared" si="19"/>
        <v>0.93999999999999984</v>
      </c>
      <c r="V180" s="22">
        <f t="shared" si="19"/>
        <v>0.91999999999999982</v>
      </c>
      <c r="W180" s="23"/>
    </row>
    <row r="181" spans="1:23">
      <c r="A181" s="27">
        <v>19</v>
      </c>
      <c r="B181" s="27" t="s">
        <v>975</v>
      </c>
      <c r="C181" s="27"/>
      <c r="D181" s="27"/>
      <c r="F181" s="32">
        <v>8111533</v>
      </c>
      <c r="I181" s="5">
        <v>122</v>
      </c>
      <c r="J181" s="22">
        <f t="shared" ref="J181:V181" si="20">(J180+J182)/2</f>
        <v>1.165</v>
      </c>
      <c r="K181" s="22"/>
      <c r="L181" s="22">
        <f t="shared" si="20"/>
        <v>1.145</v>
      </c>
      <c r="M181" s="22">
        <f t="shared" si="20"/>
        <v>1.125</v>
      </c>
      <c r="N181" s="22">
        <f t="shared" si="20"/>
        <v>1.105</v>
      </c>
      <c r="O181" s="22">
        <f t="shared" si="20"/>
        <v>1.085</v>
      </c>
      <c r="P181" s="22">
        <f t="shared" si="20"/>
        <v>1.0649999999999999</v>
      </c>
      <c r="Q181" s="22"/>
      <c r="R181" s="22">
        <f t="shared" si="20"/>
        <v>1.0449999999999999</v>
      </c>
      <c r="S181" s="22">
        <f t="shared" si="20"/>
        <v>1.0249999999999999</v>
      </c>
      <c r="T181" s="22">
        <f t="shared" si="20"/>
        <v>1.0049999999999999</v>
      </c>
      <c r="U181" s="22">
        <f t="shared" si="20"/>
        <v>0.98499999999999988</v>
      </c>
      <c r="V181" s="22">
        <f t="shared" si="20"/>
        <v>0.96499999999999986</v>
      </c>
      <c r="W181" s="23"/>
    </row>
    <row r="182" spans="1:23">
      <c r="A182" s="27">
        <v>20</v>
      </c>
      <c r="B182" s="27" t="s">
        <v>976</v>
      </c>
      <c r="C182" s="27"/>
      <c r="D182" s="27"/>
      <c r="F182" s="32">
        <v>8111534</v>
      </c>
      <c r="I182" s="5">
        <v>123</v>
      </c>
      <c r="J182" s="22">
        <f t="shared" ref="J182:V182" si="21">(J179+J184)/2</f>
        <v>1.21</v>
      </c>
      <c r="K182" s="22"/>
      <c r="L182" s="22">
        <f t="shared" si="21"/>
        <v>1.19</v>
      </c>
      <c r="M182" s="22">
        <f t="shared" si="21"/>
        <v>1.17</v>
      </c>
      <c r="N182" s="22">
        <f t="shared" si="21"/>
        <v>1.1499999999999999</v>
      </c>
      <c r="O182" s="22">
        <f t="shared" si="21"/>
        <v>1.1299999999999999</v>
      </c>
      <c r="P182" s="22">
        <f t="shared" si="21"/>
        <v>1.1099999999999999</v>
      </c>
      <c r="Q182" s="22"/>
      <c r="R182" s="22">
        <f t="shared" si="21"/>
        <v>1.0899999999999999</v>
      </c>
      <c r="S182" s="22">
        <f t="shared" si="21"/>
        <v>1.0699999999999998</v>
      </c>
      <c r="T182" s="22">
        <f t="shared" si="21"/>
        <v>1.0499999999999998</v>
      </c>
      <c r="U182" s="22">
        <f t="shared" si="21"/>
        <v>1.0299999999999998</v>
      </c>
      <c r="V182" s="22">
        <f t="shared" si="21"/>
        <v>1.0099999999999998</v>
      </c>
      <c r="W182" s="23"/>
    </row>
    <row r="183" spans="1:23">
      <c r="A183" s="27">
        <v>21</v>
      </c>
      <c r="B183" s="27" t="s">
        <v>977</v>
      </c>
      <c r="C183" s="27"/>
      <c r="D183" s="27"/>
      <c r="F183" s="32">
        <v>8111540</v>
      </c>
      <c r="I183" s="5">
        <v>124</v>
      </c>
      <c r="J183" s="22">
        <f t="shared" ref="J183:V183" si="22">(J182+J184)/2</f>
        <v>1.3</v>
      </c>
      <c r="K183" s="22"/>
      <c r="L183" s="22">
        <f t="shared" si="22"/>
        <v>1.28</v>
      </c>
      <c r="M183" s="22">
        <f t="shared" si="22"/>
        <v>1.26</v>
      </c>
      <c r="N183" s="22">
        <f t="shared" si="22"/>
        <v>1.24</v>
      </c>
      <c r="O183" s="22">
        <f t="shared" si="22"/>
        <v>1.22</v>
      </c>
      <c r="P183" s="22">
        <f t="shared" si="22"/>
        <v>1.2</v>
      </c>
      <c r="Q183" s="22"/>
      <c r="R183" s="22">
        <f t="shared" si="22"/>
        <v>1.18</v>
      </c>
      <c r="S183" s="22">
        <f t="shared" si="22"/>
        <v>1.1599999999999999</v>
      </c>
      <c r="T183" s="22">
        <f t="shared" si="22"/>
        <v>1.1399999999999999</v>
      </c>
      <c r="U183" s="22">
        <f t="shared" si="22"/>
        <v>1.1199999999999999</v>
      </c>
      <c r="V183" s="22">
        <f t="shared" si="22"/>
        <v>1.0999999999999999</v>
      </c>
      <c r="W183" s="23"/>
    </row>
    <row r="184" spans="1:23">
      <c r="A184" s="27">
        <v>22</v>
      </c>
      <c r="B184" s="27" t="s">
        <v>978</v>
      </c>
      <c r="C184" s="27"/>
      <c r="D184" s="27"/>
      <c r="F184" s="32">
        <v>8111541</v>
      </c>
      <c r="I184" s="5">
        <v>125</v>
      </c>
      <c r="J184" s="22">
        <f t="shared" ref="J184:V184" si="23">(J179+J189)/2</f>
        <v>1.3900000000000001</v>
      </c>
      <c r="K184" s="22"/>
      <c r="L184" s="22">
        <f t="shared" si="23"/>
        <v>1.37</v>
      </c>
      <c r="M184" s="22">
        <f t="shared" si="23"/>
        <v>1.35</v>
      </c>
      <c r="N184" s="22">
        <f t="shared" si="23"/>
        <v>1.33</v>
      </c>
      <c r="O184" s="22">
        <f t="shared" si="23"/>
        <v>1.31</v>
      </c>
      <c r="P184" s="22">
        <f t="shared" si="23"/>
        <v>1.29</v>
      </c>
      <c r="Q184" s="22"/>
      <c r="R184" s="22">
        <f t="shared" si="23"/>
        <v>1.27</v>
      </c>
      <c r="S184" s="22">
        <f t="shared" si="23"/>
        <v>1.25</v>
      </c>
      <c r="T184" s="22">
        <f t="shared" si="23"/>
        <v>1.23</v>
      </c>
      <c r="U184" s="22">
        <f t="shared" si="23"/>
        <v>1.21</v>
      </c>
      <c r="V184" s="22">
        <f t="shared" si="23"/>
        <v>1.19</v>
      </c>
      <c r="W184" s="23"/>
    </row>
    <row r="185" spans="1:23">
      <c r="A185" s="27">
        <v>23</v>
      </c>
      <c r="B185" s="27" t="s">
        <v>979</v>
      </c>
      <c r="C185" s="27"/>
      <c r="D185" s="27"/>
      <c r="F185" s="32">
        <v>8111542</v>
      </c>
      <c r="I185" s="5">
        <v>126</v>
      </c>
      <c r="J185" s="22">
        <f t="shared" ref="J185:V185" si="24">(J184+J186)/2</f>
        <v>1.4575</v>
      </c>
      <c r="K185" s="22"/>
      <c r="L185" s="22">
        <f t="shared" si="24"/>
        <v>1.4375</v>
      </c>
      <c r="M185" s="22">
        <f t="shared" si="24"/>
        <v>1.4175</v>
      </c>
      <c r="N185" s="22">
        <f t="shared" si="24"/>
        <v>1.3975</v>
      </c>
      <c r="O185" s="22">
        <f t="shared" si="24"/>
        <v>1.3774999999999999</v>
      </c>
      <c r="P185" s="22">
        <f t="shared" si="24"/>
        <v>1.3574999999999999</v>
      </c>
      <c r="Q185" s="22"/>
      <c r="R185" s="22">
        <f t="shared" si="24"/>
        <v>1.3374999999999999</v>
      </c>
      <c r="S185" s="22">
        <f t="shared" si="24"/>
        <v>1.3174999999999999</v>
      </c>
      <c r="T185" s="22">
        <f t="shared" si="24"/>
        <v>1.2974999999999999</v>
      </c>
      <c r="U185" s="22">
        <f t="shared" si="24"/>
        <v>1.2774999999999999</v>
      </c>
      <c r="V185" s="22">
        <f t="shared" si="24"/>
        <v>1.2574999999999998</v>
      </c>
      <c r="W185" s="23"/>
    </row>
    <row r="186" spans="1:23">
      <c r="A186" s="27">
        <v>24</v>
      </c>
      <c r="B186" s="27" t="s">
        <v>980</v>
      </c>
      <c r="C186" s="27"/>
      <c r="D186" s="27"/>
      <c r="F186" s="32">
        <v>8111543</v>
      </c>
      <c r="I186" s="5">
        <v>127</v>
      </c>
      <c r="J186" s="22">
        <f t="shared" ref="J186:V186" si="25">(J184+J188)/2</f>
        <v>1.5250000000000001</v>
      </c>
      <c r="K186" s="22"/>
      <c r="L186" s="22">
        <f t="shared" si="25"/>
        <v>1.5050000000000001</v>
      </c>
      <c r="M186" s="22">
        <f t="shared" si="25"/>
        <v>1.4850000000000001</v>
      </c>
      <c r="N186" s="22">
        <f t="shared" si="25"/>
        <v>1.4650000000000001</v>
      </c>
      <c r="O186" s="22">
        <f t="shared" si="25"/>
        <v>1.4450000000000001</v>
      </c>
      <c r="P186" s="22">
        <f t="shared" si="25"/>
        <v>1.425</v>
      </c>
      <c r="Q186" s="22"/>
      <c r="R186" s="22">
        <f t="shared" si="25"/>
        <v>1.405</v>
      </c>
      <c r="S186" s="22">
        <f t="shared" si="25"/>
        <v>1.385</v>
      </c>
      <c r="T186" s="22">
        <f t="shared" si="25"/>
        <v>1.365</v>
      </c>
      <c r="U186" s="22">
        <f t="shared" si="25"/>
        <v>1.345</v>
      </c>
      <c r="V186" s="22">
        <f t="shared" si="25"/>
        <v>1.325</v>
      </c>
      <c r="W186" s="23"/>
    </row>
    <row r="187" spans="1:23">
      <c r="A187" s="27">
        <v>25</v>
      </c>
      <c r="B187" s="27" t="s">
        <v>981</v>
      </c>
      <c r="C187" s="27"/>
      <c r="D187" s="27"/>
      <c r="F187" s="32">
        <v>8111544</v>
      </c>
      <c r="I187" s="5">
        <v>128</v>
      </c>
      <c r="J187" s="22">
        <f t="shared" ref="J187:V187" si="26">(J184+J189)/2</f>
        <v>1.57</v>
      </c>
      <c r="K187" s="22"/>
      <c r="L187" s="22">
        <f t="shared" si="26"/>
        <v>1.55</v>
      </c>
      <c r="M187" s="22">
        <f t="shared" si="26"/>
        <v>1.53</v>
      </c>
      <c r="N187" s="22">
        <f t="shared" si="26"/>
        <v>1.51</v>
      </c>
      <c r="O187" s="22">
        <f t="shared" si="26"/>
        <v>1.49</v>
      </c>
      <c r="P187" s="22">
        <f t="shared" si="26"/>
        <v>1.47</v>
      </c>
      <c r="Q187" s="22"/>
      <c r="R187" s="22">
        <f t="shared" si="26"/>
        <v>1.45</v>
      </c>
      <c r="S187" s="22">
        <f t="shared" si="26"/>
        <v>1.43</v>
      </c>
      <c r="T187" s="22">
        <f t="shared" si="26"/>
        <v>1.41</v>
      </c>
      <c r="U187" s="22">
        <f t="shared" si="26"/>
        <v>1.39</v>
      </c>
      <c r="V187" s="22">
        <f t="shared" si="26"/>
        <v>1.3699999999999999</v>
      </c>
      <c r="W187" s="23"/>
    </row>
    <row r="188" spans="1:23">
      <c r="A188" s="27">
        <v>26</v>
      </c>
      <c r="B188" s="27" t="s">
        <v>982</v>
      </c>
      <c r="C188" s="27"/>
      <c r="D188" s="27"/>
      <c r="F188" s="32">
        <v>8111550</v>
      </c>
      <c r="I188" s="5">
        <v>129</v>
      </c>
      <c r="J188" s="22">
        <f t="shared" ref="J188:V188" si="27">(J187+J189)/2</f>
        <v>1.6600000000000001</v>
      </c>
      <c r="K188" s="22"/>
      <c r="L188" s="22">
        <f t="shared" si="27"/>
        <v>1.6400000000000001</v>
      </c>
      <c r="M188" s="22">
        <f t="shared" si="27"/>
        <v>1.62</v>
      </c>
      <c r="N188" s="22">
        <f t="shared" si="27"/>
        <v>1.6</v>
      </c>
      <c r="O188" s="22">
        <f t="shared" si="27"/>
        <v>1.58</v>
      </c>
      <c r="P188" s="22">
        <f t="shared" si="27"/>
        <v>1.56</v>
      </c>
      <c r="Q188" s="22"/>
      <c r="R188" s="22">
        <f t="shared" si="27"/>
        <v>1.54</v>
      </c>
      <c r="S188" s="22">
        <f t="shared" si="27"/>
        <v>1.52</v>
      </c>
      <c r="T188" s="22">
        <f t="shared" si="27"/>
        <v>1.5</v>
      </c>
      <c r="U188" s="22">
        <f t="shared" si="27"/>
        <v>1.48</v>
      </c>
      <c r="V188" s="22">
        <f t="shared" si="27"/>
        <v>1.46</v>
      </c>
      <c r="W188" s="23"/>
    </row>
    <row r="189" spans="1:23">
      <c r="A189" s="27">
        <v>27</v>
      </c>
      <c r="B189" s="27" t="s">
        <v>983</v>
      </c>
      <c r="C189" s="27"/>
      <c r="D189" s="27"/>
      <c r="F189" s="32">
        <v>8111551</v>
      </c>
      <c r="I189" s="5">
        <v>130</v>
      </c>
      <c r="J189" s="21">
        <v>1.75</v>
      </c>
      <c r="K189" s="21"/>
      <c r="L189" s="22">
        <f>J189-0.02</f>
        <v>1.73</v>
      </c>
      <c r="M189" s="22">
        <f t="shared" ref="M189:V189" si="28">L189-0.02</f>
        <v>1.71</v>
      </c>
      <c r="N189" s="22">
        <f t="shared" si="28"/>
        <v>1.69</v>
      </c>
      <c r="O189" s="22">
        <f t="shared" si="28"/>
        <v>1.67</v>
      </c>
      <c r="P189" s="22">
        <f t="shared" si="28"/>
        <v>1.65</v>
      </c>
      <c r="Q189" s="22"/>
      <c r="R189" s="22">
        <f>P189-0.02</f>
        <v>1.63</v>
      </c>
      <c r="S189" s="22">
        <f t="shared" si="28"/>
        <v>1.6099999999999999</v>
      </c>
      <c r="T189" s="22">
        <f t="shared" si="28"/>
        <v>1.5899999999999999</v>
      </c>
      <c r="U189" s="22">
        <f t="shared" si="28"/>
        <v>1.5699999999999998</v>
      </c>
      <c r="V189" s="22">
        <f t="shared" si="28"/>
        <v>1.5499999999999998</v>
      </c>
      <c r="W189" s="23"/>
    </row>
    <row r="190" spans="1:23">
      <c r="A190" s="27">
        <v>28</v>
      </c>
      <c r="B190" s="27" t="s">
        <v>984</v>
      </c>
      <c r="C190" s="27"/>
      <c r="D190" s="27"/>
      <c r="F190" s="32">
        <v>8111552</v>
      </c>
      <c r="I190" s="5">
        <v>131</v>
      </c>
      <c r="J190" s="22">
        <f t="shared" ref="J190:V190" si="29">(J189+J192)/2</f>
        <v>1.8674999999999999</v>
      </c>
      <c r="K190" s="22"/>
      <c r="L190" s="22">
        <f t="shared" si="29"/>
        <v>1.8475000000000001</v>
      </c>
      <c r="M190" s="22">
        <f t="shared" si="29"/>
        <v>1.8274999999999999</v>
      </c>
      <c r="N190" s="22">
        <f t="shared" si="29"/>
        <v>1.8075000000000001</v>
      </c>
      <c r="O190" s="22">
        <f t="shared" si="29"/>
        <v>1.7874999999999999</v>
      </c>
      <c r="P190" s="22">
        <f t="shared" si="29"/>
        <v>1.7675000000000001</v>
      </c>
      <c r="Q190" s="22"/>
      <c r="R190" s="22">
        <f t="shared" si="29"/>
        <v>1.7474999999999998</v>
      </c>
      <c r="S190" s="22">
        <f t="shared" si="29"/>
        <v>1.7275</v>
      </c>
      <c r="T190" s="22">
        <f t="shared" si="29"/>
        <v>1.7074999999999998</v>
      </c>
      <c r="U190" s="22">
        <f t="shared" si="29"/>
        <v>1.6875</v>
      </c>
      <c r="V190" s="22">
        <f t="shared" si="29"/>
        <v>1.6674999999999998</v>
      </c>
      <c r="W190" s="23"/>
    </row>
    <row r="191" spans="1:23">
      <c r="A191" s="27">
        <v>29</v>
      </c>
      <c r="B191" s="27" t="s">
        <v>985</v>
      </c>
      <c r="F191" s="32">
        <v>8111553</v>
      </c>
      <c r="I191" s="5">
        <v>132</v>
      </c>
      <c r="J191" s="22">
        <f t="shared" ref="J191:V191" si="30">(J190+J192)/2</f>
        <v>1.92625</v>
      </c>
      <c r="K191" s="22"/>
      <c r="L191" s="22">
        <f t="shared" si="30"/>
        <v>1.90625</v>
      </c>
      <c r="M191" s="22">
        <f t="shared" si="30"/>
        <v>1.88625</v>
      </c>
      <c r="N191" s="22">
        <f t="shared" si="30"/>
        <v>1.86625</v>
      </c>
      <c r="O191" s="22">
        <f t="shared" si="30"/>
        <v>1.8462499999999999</v>
      </c>
      <c r="P191" s="22">
        <f t="shared" si="30"/>
        <v>1.8262499999999999</v>
      </c>
      <c r="Q191" s="22"/>
      <c r="R191" s="22">
        <f t="shared" si="30"/>
        <v>1.8062499999999999</v>
      </c>
      <c r="S191" s="22">
        <f t="shared" si="30"/>
        <v>1.7862499999999999</v>
      </c>
      <c r="T191" s="22">
        <f t="shared" si="30"/>
        <v>1.7662499999999999</v>
      </c>
      <c r="U191" s="22">
        <f t="shared" si="30"/>
        <v>1.7462499999999999</v>
      </c>
      <c r="V191" s="22">
        <f t="shared" si="30"/>
        <v>1.7262499999999998</v>
      </c>
      <c r="W191" s="23"/>
    </row>
    <row r="192" spans="1:23">
      <c r="A192" s="27">
        <v>30</v>
      </c>
      <c r="B192" s="27" t="s">
        <v>986</v>
      </c>
      <c r="F192" s="32">
        <v>8111554</v>
      </c>
      <c r="I192" s="5">
        <v>133</v>
      </c>
      <c r="J192" s="22">
        <f t="shared" ref="J192:V192" si="31">(J189+J194)/2</f>
        <v>1.9849999999999999</v>
      </c>
      <c r="K192" s="22"/>
      <c r="L192" s="22">
        <f t="shared" si="31"/>
        <v>1.9650000000000001</v>
      </c>
      <c r="M192" s="22">
        <f t="shared" si="31"/>
        <v>1.9449999999999998</v>
      </c>
      <c r="N192" s="22">
        <f t="shared" si="31"/>
        <v>1.925</v>
      </c>
      <c r="O192" s="22">
        <f t="shared" si="31"/>
        <v>1.9049999999999998</v>
      </c>
      <c r="P192" s="22">
        <f t="shared" si="31"/>
        <v>1.885</v>
      </c>
      <c r="Q192" s="22"/>
      <c r="R192" s="22">
        <f t="shared" si="31"/>
        <v>1.8649999999999998</v>
      </c>
      <c r="S192" s="22">
        <f t="shared" si="31"/>
        <v>1.845</v>
      </c>
      <c r="T192" s="22">
        <f t="shared" si="31"/>
        <v>1.8249999999999997</v>
      </c>
      <c r="U192" s="22">
        <f t="shared" si="31"/>
        <v>1.8049999999999999</v>
      </c>
      <c r="V192" s="22">
        <f t="shared" si="31"/>
        <v>1.7849999999999997</v>
      </c>
      <c r="W192" s="23"/>
    </row>
    <row r="193" spans="1:23">
      <c r="A193" s="27"/>
      <c r="B193" s="27"/>
      <c r="F193" s="32"/>
      <c r="I193" s="5">
        <v>134</v>
      </c>
      <c r="J193" s="22">
        <f t="shared" ref="J193:V193" si="32">(J192+J194)/2</f>
        <v>2.1025</v>
      </c>
      <c r="K193" s="22"/>
      <c r="L193" s="22">
        <f t="shared" si="32"/>
        <v>2.0825</v>
      </c>
      <c r="M193" s="22">
        <f t="shared" si="32"/>
        <v>2.0625</v>
      </c>
      <c r="N193" s="22">
        <f t="shared" si="32"/>
        <v>2.0425</v>
      </c>
      <c r="O193" s="22">
        <f t="shared" si="32"/>
        <v>2.0225</v>
      </c>
      <c r="P193" s="22">
        <f t="shared" si="32"/>
        <v>2.0024999999999999</v>
      </c>
      <c r="Q193" s="22"/>
      <c r="R193" s="22">
        <f t="shared" si="32"/>
        <v>1.9824999999999997</v>
      </c>
      <c r="S193" s="22">
        <f t="shared" si="32"/>
        <v>1.9624999999999999</v>
      </c>
      <c r="T193" s="22">
        <f t="shared" si="32"/>
        <v>1.9424999999999997</v>
      </c>
      <c r="U193" s="22">
        <f t="shared" si="32"/>
        <v>1.9224999999999999</v>
      </c>
      <c r="V193" s="22">
        <f t="shared" si="32"/>
        <v>1.9024999999999996</v>
      </c>
      <c r="W193" s="23"/>
    </row>
    <row r="194" spans="1:23">
      <c r="A194" s="27"/>
      <c r="B194" s="27"/>
      <c r="F194" s="32"/>
      <c r="I194" s="5">
        <v>135</v>
      </c>
      <c r="J194" s="22">
        <f t="shared" ref="J194:V194" si="33">(J189+J199)/2</f>
        <v>2.2199999999999998</v>
      </c>
      <c r="K194" s="22"/>
      <c r="L194" s="22">
        <f t="shared" si="33"/>
        <v>2.2000000000000002</v>
      </c>
      <c r="M194" s="22">
        <f t="shared" si="33"/>
        <v>2.1799999999999997</v>
      </c>
      <c r="N194" s="22">
        <f t="shared" si="33"/>
        <v>2.16</v>
      </c>
      <c r="O194" s="22">
        <f t="shared" si="33"/>
        <v>2.1399999999999997</v>
      </c>
      <c r="P194" s="22">
        <f t="shared" si="33"/>
        <v>2.12</v>
      </c>
      <c r="Q194" s="22"/>
      <c r="R194" s="22">
        <f t="shared" si="33"/>
        <v>2.0999999999999996</v>
      </c>
      <c r="S194" s="22">
        <f t="shared" si="33"/>
        <v>2.08</v>
      </c>
      <c r="T194" s="22">
        <f t="shared" si="33"/>
        <v>2.0599999999999996</v>
      </c>
      <c r="U194" s="22">
        <f t="shared" si="33"/>
        <v>2.04</v>
      </c>
      <c r="V194" s="22">
        <f t="shared" si="33"/>
        <v>2.0199999999999996</v>
      </c>
      <c r="W194" s="23"/>
    </row>
    <row r="195" spans="1:23">
      <c r="F195" s="32"/>
      <c r="I195" s="5">
        <v>136</v>
      </c>
      <c r="J195" s="22">
        <f t="shared" ref="J195:V195" si="34">(J194+J196)/2</f>
        <v>2.3081249999999995</v>
      </c>
      <c r="K195" s="22"/>
      <c r="L195" s="22">
        <f t="shared" si="34"/>
        <v>2.288125</v>
      </c>
      <c r="M195" s="22">
        <f t="shared" si="34"/>
        <v>2.2681249999999995</v>
      </c>
      <c r="N195" s="22">
        <f t="shared" si="34"/>
        <v>2.2481249999999999</v>
      </c>
      <c r="O195" s="22">
        <f t="shared" si="34"/>
        <v>2.2281249999999995</v>
      </c>
      <c r="P195" s="22">
        <f t="shared" si="34"/>
        <v>2.2081249999999999</v>
      </c>
      <c r="Q195" s="22"/>
      <c r="R195" s="22">
        <f t="shared" si="34"/>
        <v>2.1881249999999994</v>
      </c>
      <c r="S195" s="22">
        <f t="shared" si="34"/>
        <v>2.1681249999999999</v>
      </c>
      <c r="T195" s="22">
        <f t="shared" si="34"/>
        <v>2.1481249999999994</v>
      </c>
      <c r="U195" s="22">
        <f t="shared" si="34"/>
        <v>2.1281249999999998</v>
      </c>
      <c r="V195" s="22">
        <f t="shared" si="34"/>
        <v>2.1081249999999994</v>
      </c>
      <c r="W195" s="23"/>
    </row>
    <row r="196" spans="1:23">
      <c r="F196" s="32"/>
      <c r="I196" s="5">
        <v>137</v>
      </c>
      <c r="J196" s="22">
        <f t="shared" ref="J196:V196" si="35">(J194+J198)/2</f>
        <v>2.3962499999999998</v>
      </c>
      <c r="K196" s="22"/>
      <c r="L196" s="22">
        <f t="shared" si="35"/>
        <v>2.3762500000000002</v>
      </c>
      <c r="M196" s="22">
        <f t="shared" si="35"/>
        <v>2.3562499999999997</v>
      </c>
      <c r="N196" s="22">
        <f t="shared" si="35"/>
        <v>2.3362500000000002</v>
      </c>
      <c r="O196" s="22">
        <f t="shared" si="35"/>
        <v>2.3162499999999997</v>
      </c>
      <c r="P196" s="22">
        <f t="shared" si="35"/>
        <v>2.2962500000000001</v>
      </c>
      <c r="Q196" s="22"/>
      <c r="R196" s="22">
        <f t="shared" si="35"/>
        <v>2.2762499999999997</v>
      </c>
      <c r="S196" s="22">
        <f t="shared" si="35"/>
        <v>2.2562500000000001</v>
      </c>
      <c r="T196" s="22">
        <f t="shared" si="35"/>
        <v>2.2362499999999996</v>
      </c>
      <c r="U196" s="22">
        <f t="shared" si="35"/>
        <v>2.2162500000000001</v>
      </c>
      <c r="V196" s="22">
        <f t="shared" si="35"/>
        <v>2.1962499999999996</v>
      </c>
      <c r="W196" s="23"/>
    </row>
    <row r="197" spans="1:23">
      <c r="I197" s="5">
        <v>138</v>
      </c>
      <c r="J197" s="22">
        <f t="shared" ref="J197:V197" si="36">(J194+J199)/2</f>
        <v>2.4550000000000001</v>
      </c>
      <c r="K197" s="22"/>
      <c r="L197" s="22">
        <f t="shared" si="36"/>
        <v>2.4350000000000001</v>
      </c>
      <c r="M197" s="22">
        <f t="shared" si="36"/>
        <v>2.415</v>
      </c>
      <c r="N197" s="22">
        <f t="shared" si="36"/>
        <v>2.395</v>
      </c>
      <c r="O197" s="22">
        <f t="shared" si="36"/>
        <v>2.375</v>
      </c>
      <c r="P197" s="22">
        <f t="shared" si="36"/>
        <v>2.355</v>
      </c>
      <c r="Q197" s="22"/>
      <c r="R197" s="22">
        <f t="shared" si="36"/>
        <v>2.335</v>
      </c>
      <c r="S197" s="22">
        <f t="shared" si="36"/>
        <v>2.3149999999999999</v>
      </c>
      <c r="T197" s="22">
        <f t="shared" si="36"/>
        <v>2.2949999999999999</v>
      </c>
      <c r="U197" s="22">
        <f t="shared" si="36"/>
        <v>2.2749999999999999</v>
      </c>
      <c r="V197" s="22">
        <f t="shared" si="36"/>
        <v>2.2549999999999999</v>
      </c>
      <c r="W197" s="23"/>
    </row>
    <row r="198" spans="1:23">
      <c r="I198" s="5">
        <v>139</v>
      </c>
      <c r="J198" s="22">
        <f t="shared" ref="J198:V198" si="37">(J197+J199)/2</f>
        <v>2.5724999999999998</v>
      </c>
      <c r="K198" s="22"/>
      <c r="L198" s="22">
        <f t="shared" si="37"/>
        <v>2.5525000000000002</v>
      </c>
      <c r="M198" s="22">
        <f t="shared" si="37"/>
        <v>2.5324999999999998</v>
      </c>
      <c r="N198" s="22">
        <f t="shared" si="37"/>
        <v>2.5125000000000002</v>
      </c>
      <c r="O198" s="22">
        <f t="shared" si="37"/>
        <v>2.4924999999999997</v>
      </c>
      <c r="P198" s="22">
        <f t="shared" si="37"/>
        <v>2.4725000000000001</v>
      </c>
      <c r="Q198" s="22"/>
      <c r="R198" s="22">
        <f t="shared" si="37"/>
        <v>2.4524999999999997</v>
      </c>
      <c r="S198" s="22">
        <f t="shared" si="37"/>
        <v>2.4325000000000001</v>
      </c>
      <c r="T198" s="22">
        <f t="shared" si="37"/>
        <v>2.4124999999999996</v>
      </c>
      <c r="U198" s="22">
        <f t="shared" si="37"/>
        <v>2.3925000000000001</v>
      </c>
      <c r="V198" s="22">
        <f t="shared" si="37"/>
        <v>2.3724999999999996</v>
      </c>
      <c r="W198" s="23"/>
    </row>
    <row r="199" spans="1:23">
      <c r="I199" s="5">
        <v>140</v>
      </c>
      <c r="J199" s="21">
        <v>2.69</v>
      </c>
      <c r="K199" s="21"/>
      <c r="L199" s="22">
        <f>J199-0.02</f>
        <v>2.67</v>
      </c>
      <c r="M199" s="22">
        <f t="shared" ref="M199:V199" si="38">L199-0.02</f>
        <v>2.65</v>
      </c>
      <c r="N199" s="22">
        <f t="shared" si="38"/>
        <v>2.63</v>
      </c>
      <c r="O199" s="22">
        <f t="shared" si="38"/>
        <v>2.61</v>
      </c>
      <c r="P199" s="22">
        <f t="shared" si="38"/>
        <v>2.59</v>
      </c>
      <c r="Q199" s="22"/>
      <c r="R199" s="22">
        <f>P199-0.02</f>
        <v>2.57</v>
      </c>
      <c r="S199" s="22">
        <f t="shared" si="38"/>
        <v>2.5499999999999998</v>
      </c>
      <c r="T199" s="22">
        <f t="shared" si="38"/>
        <v>2.5299999999999998</v>
      </c>
      <c r="U199" s="22">
        <f t="shared" si="38"/>
        <v>2.5099999999999998</v>
      </c>
      <c r="V199" s="22">
        <f t="shared" si="38"/>
        <v>2.4899999999999998</v>
      </c>
      <c r="W199" s="23"/>
    </row>
    <row r="200" spans="1:23">
      <c r="I200" s="5">
        <v>141</v>
      </c>
      <c r="J200" s="22">
        <f t="shared" ref="J200:V200" si="39">(J199+J202)/2</f>
        <v>2.835</v>
      </c>
      <c r="K200" s="22"/>
      <c r="L200" s="22">
        <f t="shared" si="39"/>
        <v>2.8149999999999999</v>
      </c>
      <c r="M200" s="22">
        <f t="shared" si="39"/>
        <v>2.7949999999999999</v>
      </c>
      <c r="N200" s="22">
        <f t="shared" si="39"/>
        <v>2.7749999999999999</v>
      </c>
      <c r="O200" s="22">
        <f t="shared" si="39"/>
        <v>2.7549999999999999</v>
      </c>
      <c r="P200" s="22">
        <f t="shared" si="39"/>
        <v>2.7349999999999999</v>
      </c>
      <c r="Q200" s="22"/>
      <c r="R200" s="22">
        <f t="shared" si="39"/>
        <v>2.7149999999999999</v>
      </c>
      <c r="S200" s="22">
        <f t="shared" si="39"/>
        <v>2.6949999999999998</v>
      </c>
      <c r="T200" s="22">
        <f t="shared" si="39"/>
        <v>2.6749999999999998</v>
      </c>
      <c r="U200" s="22">
        <f t="shared" si="39"/>
        <v>2.6549999999999998</v>
      </c>
      <c r="V200" s="22">
        <f t="shared" si="39"/>
        <v>2.6349999999999998</v>
      </c>
      <c r="W200" s="23"/>
    </row>
    <row r="201" spans="1:23">
      <c r="I201" s="5">
        <v>142</v>
      </c>
      <c r="J201" s="22">
        <f t="shared" ref="J201:V201" si="40">(J200+J202)/2</f>
        <v>2.9074999999999998</v>
      </c>
      <c r="K201" s="22"/>
      <c r="L201" s="22">
        <f t="shared" si="40"/>
        <v>2.8875000000000002</v>
      </c>
      <c r="M201" s="22">
        <f t="shared" si="40"/>
        <v>2.8674999999999997</v>
      </c>
      <c r="N201" s="22">
        <f t="shared" si="40"/>
        <v>2.8475000000000001</v>
      </c>
      <c r="O201" s="22">
        <f t="shared" si="40"/>
        <v>2.8274999999999997</v>
      </c>
      <c r="P201" s="22">
        <f t="shared" si="40"/>
        <v>2.8075000000000001</v>
      </c>
      <c r="Q201" s="22"/>
      <c r="R201" s="22">
        <f t="shared" si="40"/>
        <v>2.7874999999999996</v>
      </c>
      <c r="S201" s="22">
        <f t="shared" si="40"/>
        <v>2.7675000000000001</v>
      </c>
      <c r="T201" s="22">
        <f t="shared" si="40"/>
        <v>2.7474999999999996</v>
      </c>
      <c r="U201" s="22">
        <f t="shared" si="40"/>
        <v>2.7275</v>
      </c>
      <c r="V201" s="22">
        <f t="shared" si="40"/>
        <v>2.7074999999999996</v>
      </c>
      <c r="W201" s="23"/>
    </row>
    <row r="202" spans="1:23">
      <c r="I202" s="5">
        <v>143</v>
      </c>
      <c r="J202" s="22">
        <f t="shared" ref="J202:V202" si="41">(J199+J204)/2</f>
        <v>2.98</v>
      </c>
      <c r="K202" s="22"/>
      <c r="L202" s="22">
        <f t="shared" si="41"/>
        <v>2.96</v>
      </c>
      <c r="M202" s="22">
        <f t="shared" si="41"/>
        <v>2.94</v>
      </c>
      <c r="N202" s="22">
        <f t="shared" si="41"/>
        <v>2.92</v>
      </c>
      <c r="O202" s="22">
        <f t="shared" si="41"/>
        <v>2.9</v>
      </c>
      <c r="P202" s="22">
        <f t="shared" si="41"/>
        <v>2.88</v>
      </c>
      <c r="Q202" s="22"/>
      <c r="R202" s="22">
        <f t="shared" si="41"/>
        <v>2.86</v>
      </c>
      <c r="S202" s="22">
        <f t="shared" si="41"/>
        <v>2.84</v>
      </c>
      <c r="T202" s="22">
        <f t="shared" si="41"/>
        <v>2.82</v>
      </c>
      <c r="U202" s="22">
        <f t="shared" si="41"/>
        <v>2.8</v>
      </c>
      <c r="V202" s="22">
        <f t="shared" si="41"/>
        <v>2.78</v>
      </c>
      <c r="W202" s="23"/>
    </row>
    <row r="203" spans="1:23">
      <c r="I203" s="5">
        <v>144</v>
      </c>
      <c r="J203" s="22">
        <f t="shared" ref="J203:V203" si="42">(J202+J204)/2</f>
        <v>3.125</v>
      </c>
      <c r="K203" s="22"/>
      <c r="L203" s="22">
        <f t="shared" si="42"/>
        <v>3.105</v>
      </c>
      <c r="M203" s="22">
        <f t="shared" si="42"/>
        <v>3.085</v>
      </c>
      <c r="N203" s="22">
        <f t="shared" si="42"/>
        <v>3.0649999999999999</v>
      </c>
      <c r="O203" s="22">
        <f t="shared" si="42"/>
        <v>3.0449999999999999</v>
      </c>
      <c r="P203" s="22">
        <f t="shared" si="42"/>
        <v>3.0249999999999999</v>
      </c>
      <c r="Q203" s="22"/>
      <c r="R203" s="22">
        <f t="shared" si="42"/>
        <v>3.0049999999999999</v>
      </c>
      <c r="S203" s="22">
        <f t="shared" si="42"/>
        <v>2.9849999999999999</v>
      </c>
      <c r="T203" s="22">
        <f t="shared" si="42"/>
        <v>2.9649999999999999</v>
      </c>
      <c r="U203" s="22">
        <f t="shared" si="42"/>
        <v>2.9449999999999998</v>
      </c>
      <c r="V203" s="22">
        <f t="shared" si="42"/>
        <v>2.9249999999999998</v>
      </c>
      <c r="W203" s="23"/>
    </row>
    <row r="204" spans="1:23">
      <c r="I204" s="5">
        <v>145</v>
      </c>
      <c r="J204" s="22">
        <f t="shared" ref="J204:V204" si="43">(J199+J209)/2</f>
        <v>3.27</v>
      </c>
      <c r="K204" s="22"/>
      <c r="L204" s="22">
        <f t="shared" si="43"/>
        <v>3.25</v>
      </c>
      <c r="M204" s="22">
        <f t="shared" si="43"/>
        <v>3.23</v>
      </c>
      <c r="N204" s="22">
        <f t="shared" si="43"/>
        <v>3.21</v>
      </c>
      <c r="O204" s="22">
        <f t="shared" si="43"/>
        <v>3.19</v>
      </c>
      <c r="P204" s="22">
        <f t="shared" si="43"/>
        <v>3.17</v>
      </c>
      <c r="Q204" s="22"/>
      <c r="R204" s="22">
        <f t="shared" si="43"/>
        <v>3.15</v>
      </c>
      <c r="S204" s="22">
        <f t="shared" si="43"/>
        <v>3.13</v>
      </c>
      <c r="T204" s="22">
        <f t="shared" si="43"/>
        <v>3.11</v>
      </c>
      <c r="U204" s="22">
        <f t="shared" si="43"/>
        <v>3.09</v>
      </c>
      <c r="V204" s="22">
        <f t="shared" si="43"/>
        <v>3.07</v>
      </c>
      <c r="W204" s="23"/>
    </row>
    <row r="205" spans="1:23">
      <c r="I205" s="5">
        <v>146</v>
      </c>
      <c r="J205" s="22">
        <f t="shared" ref="J205:V205" si="44">(J204+J206)/2</f>
        <v>3.3787500000000001</v>
      </c>
      <c r="K205" s="22"/>
      <c r="L205" s="22">
        <f t="shared" si="44"/>
        <v>3.3587500000000001</v>
      </c>
      <c r="M205" s="22">
        <f t="shared" si="44"/>
        <v>3.3387500000000001</v>
      </c>
      <c r="N205" s="22">
        <f t="shared" si="44"/>
        <v>3.3187500000000001</v>
      </c>
      <c r="O205" s="22">
        <f t="shared" si="44"/>
        <v>3.2987500000000001</v>
      </c>
      <c r="P205" s="22">
        <f t="shared" si="44"/>
        <v>3.2787500000000001</v>
      </c>
      <c r="Q205" s="22"/>
      <c r="R205" s="22">
        <f t="shared" si="44"/>
        <v>3.25875</v>
      </c>
      <c r="S205" s="22">
        <f t="shared" si="44"/>
        <v>3.23875</v>
      </c>
      <c r="T205" s="22">
        <f t="shared" si="44"/>
        <v>3.21875</v>
      </c>
      <c r="U205" s="22">
        <f t="shared" si="44"/>
        <v>3.19875</v>
      </c>
      <c r="V205" s="22">
        <f t="shared" si="44"/>
        <v>3.17875</v>
      </c>
      <c r="W205" s="23"/>
    </row>
    <row r="206" spans="1:23">
      <c r="I206" s="5">
        <v>147</v>
      </c>
      <c r="J206" s="22">
        <f t="shared" ref="J206:V206" si="45">(J204+J208)/2</f>
        <v>3.4874999999999998</v>
      </c>
      <c r="K206" s="22"/>
      <c r="L206" s="22">
        <f t="shared" si="45"/>
        <v>3.4675000000000002</v>
      </c>
      <c r="M206" s="22">
        <f t="shared" si="45"/>
        <v>3.4474999999999998</v>
      </c>
      <c r="N206" s="22">
        <f t="shared" si="45"/>
        <v>3.4275000000000002</v>
      </c>
      <c r="O206" s="22">
        <f t="shared" si="45"/>
        <v>3.4074999999999998</v>
      </c>
      <c r="P206" s="22">
        <f t="shared" si="45"/>
        <v>3.3875000000000002</v>
      </c>
      <c r="Q206" s="22"/>
      <c r="R206" s="22">
        <f t="shared" si="45"/>
        <v>3.3674999999999997</v>
      </c>
      <c r="S206" s="22">
        <f t="shared" si="45"/>
        <v>3.3475000000000001</v>
      </c>
      <c r="T206" s="22">
        <f t="shared" si="45"/>
        <v>3.3274999999999997</v>
      </c>
      <c r="U206" s="22">
        <f t="shared" si="45"/>
        <v>3.3075000000000001</v>
      </c>
      <c r="V206" s="22">
        <f t="shared" si="45"/>
        <v>3.2874999999999996</v>
      </c>
      <c r="W206" s="23"/>
    </row>
    <row r="207" spans="1:23">
      <c r="I207" s="5">
        <v>148</v>
      </c>
      <c r="J207" s="22">
        <f t="shared" ref="J207:V207" si="46">(J204+J209)/2</f>
        <v>3.56</v>
      </c>
      <c r="K207" s="22"/>
      <c r="L207" s="22">
        <f t="shared" si="46"/>
        <v>3.54</v>
      </c>
      <c r="M207" s="22">
        <f t="shared" si="46"/>
        <v>3.52</v>
      </c>
      <c r="N207" s="22">
        <f t="shared" si="46"/>
        <v>3.5</v>
      </c>
      <c r="O207" s="22">
        <f t="shared" si="46"/>
        <v>3.48</v>
      </c>
      <c r="P207" s="22">
        <f t="shared" si="46"/>
        <v>3.46</v>
      </c>
      <c r="Q207" s="22"/>
      <c r="R207" s="22">
        <f t="shared" si="46"/>
        <v>3.44</v>
      </c>
      <c r="S207" s="22">
        <f t="shared" si="46"/>
        <v>3.42</v>
      </c>
      <c r="T207" s="22">
        <f t="shared" si="46"/>
        <v>3.4</v>
      </c>
      <c r="U207" s="22">
        <f t="shared" si="46"/>
        <v>3.38</v>
      </c>
      <c r="V207" s="22">
        <f t="shared" si="46"/>
        <v>3.36</v>
      </c>
      <c r="W207" s="23"/>
    </row>
    <row r="208" spans="1:23">
      <c r="I208" s="5">
        <v>149</v>
      </c>
      <c r="J208" s="22">
        <f t="shared" ref="J208:V208" si="47">(J207+J209)/2</f>
        <v>3.7050000000000001</v>
      </c>
      <c r="K208" s="22"/>
      <c r="L208" s="22">
        <f t="shared" si="47"/>
        <v>3.6850000000000001</v>
      </c>
      <c r="M208" s="22">
        <f t="shared" si="47"/>
        <v>3.665</v>
      </c>
      <c r="N208" s="22">
        <f t="shared" si="47"/>
        <v>3.645</v>
      </c>
      <c r="O208" s="22">
        <f t="shared" si="47"/>
        <v>3.625</v>
      </c>
      <c r="P208" s="22">
        <f t="shared" si="47"/>
        <v>3.605</v>
      </c>
      <c r="Q208" s="22"/>
      <c r="R208" s="22">
        <f t="shared" si="47"/>
        <v>3.585</v>
      </c>
      <c r="S208" s="22">
        <f t="shared" si="47"/>
        <v>3.5649999999999999</v>
      </c>
      <c r="T208" s="22">
        <f t="shared" si="47"/>
        <v>3.5449999999999999</v>
      </c>
      <c r="U208" s="22">
        <f t="shared" si="47"/>
        <v>3.5249999999999999</v>
      </c>
      <c r="V208" s="22">
        <f t="shared" si="47"/>
        <v>3.5049999999999999</v>
      </c>
      <c r="W208" s="23"/>
    </row>
    <row r="209" spans="9:38">
      <c r="I209" s="5">
        <v>150</v>
      </c>
      <c r="J209" s="21">
        <v>3.85</v>
      </c>
      <c r="K209" s="21"/>
      <c r="L209" s="22">
        <f>J209-0.02</f>
        <v>3.83</v>
      </c>
      <c r="M209" s="22">
        <f t="shared" ref="M209:V209" si="48">L209-0.02</f>
        <v>3.81</v>
      </c>
      <c r="N209" s="22">
        <f t="shared" si="48"/>
        <v>3.79</v>
      </c>
      <c r="O209" s="22">
        <f t="shared" si="48"/>
        <v>3.77</v>
      </c>
      <c r="P209" s="22">
        <f t="shared" si="48"/>
        <v>3.75</v>
      </c>
      <c r="Q209" s="22"/>
      <c r="R209" s="22">
        <f>P209-0.02</f>
        <v>3.73</v>
      </c>
      <c r="S209" s="22">
        <f t="shared" si="48"/>
        <v>3.71</v>
      </c>
      <c r="T209" s="22">
        <f t="shared" si="48"/>
        <v>3.69</v>
      </c>
      <c r="U209" s="22">
        <f>T209-0.02</f>
        <v>3.67</v>
      </c>
      <c r="V209" s="22">
        <f t="shared" si="48"/>
        <v>3.65</v>
      </c>
      <c r="W209" s="23"/>
    </row>
    <row r="210" spans="9:38">
      <c r="Y210" s="16"/>
      <c r="Z210" s="16"/>
      <c r="AA210" s="17"/>
      <c r="AB210" s="17"/>
      <c r="AC210" s="17"/>
      <c r="AD210" s="17"/>
      <c r="AE210" s="17"/>
      <c r="AF210" s="17"/>
      <c r="AG210" s="17"/>
      <c r="AH210" s="17"/>
      <c r="AI210" s="17"/>
      <c r="AJ210" s="17"/>
      <c r="AK210" s="17"/>
      <c r="AL210" s="17"/>
    </row>
    <row r="211" spans="9:38">
      <c r="Y211" s="16"/>
      <c r="Z211" s="16"/>
      <c r="AA211" s="496"/>
      <c r="AB211" s="496"/>
      <c r="AC211" s="496"/>
      <c r="AD211" s="496"/>
      <c r="AE211" s="496"/>
      <c r="AF211" s="496"/>
      <c r="AG211" s="20"/>
      <c r="AH211" s="20"/>
      <c r="AI211" s="20"/>
      <c r="AJ211" s="20"/>
      <c r="AK211" s="20"/>
      <c r="AL211" s="20"/>
    </row>
    <row r="213" spans="9:38">
      <c r="J213" s="497" t="s">
        <v>31</v>
      </c>
      <c r="K213" s="497"/>
      <c r="L213" s="497"/>
      <c r="M213" s="497"/>
      <c r="N213" s="497"/>
      <c r="O213" s="497"/>
      <c r="P213" s="497"/>
      <c r="Q213" s="497"/>
      <c r="R213" s="497"/>
      <c r="S213" s="497"/>
      <c r="T213" s="497"/>
      <c r="U213" s="497"/>
      <c r="V213" s="497"/>
    </row>
    <row r="214" spans="9:38">
      <c r="I214" s="3" t="s">
        <v>360</v>
      </c>
      <c r="J214" s="4">
        <v>0</v>
      </c>
      <c r="K214" s="4"/>
      <c r="L214" s="4">
        <v>5</v>
      </c>
      <c r="M214" s="4">
        <v>10</v>
      </c>
      <c r="N214" s="4">
        <v>15</v>
      </c>
      <c r="O214" s="4">
        <v>20</v>
      </c>
      <c r="P214" s="4">
        <v>25</v>
      </c>
      <c r="Q214" s="4"/>
      <c r="R214" s="4">
        <v>30</v>
      </c>
      <c r="S214" s="4">
        <v>35</v>
      </c>
      <c r="T214" s="4">
        <v>40</v>
      </c>
      <c r="U214" s="4">
        <v>45</v>
      </c>
      <c r="V214" s="4">
        <v>50</v>
      </c>
    </row>
    <row r="215" spans="9:38">
      <c r="I215" s="8">
        <v>-34</v>
      </c>
      <c r="J215" s="105">
        <v>1.23E-2</v>
      </c>
      <c r="K215" s="105"/>
      <c r="L215" s="14"/>
      <c r="M215" s="11"/>
      <c r="N215" s="14"/>
      <c r="O215" s="11"/>
      <c r="P215" s="14"/>
      <c r="Q215" s="14"/>
      <c r="R215" s="11"/>
      <c r="S215" s="14"/>
      <c r="T215" s="11"/>
      <c r="U215" s="14"/>
      <c r="V215" s="11"/>
      <c r="W215" s="8">
        <f t="shared" ref="W215:W275" si="49">I215</f>
        <v>-34</v>
      </c>
    </row>
    <row r="216" spans="9:38">
      <c r="I216" s="8">
        <v>-33</v>
      </c>
      <c r="J216" s="105">
        <f>(J215+J218)/2</f>
        <v>1.1724999999999999E-2</v>
      </c>
      <c r="K216" s="105"/>
      <c r="L216" s="14"/>
      <c r="M216" s="11"/>
      <c r="N216" s="14"/>
      <c r="O216" s="11"/>
      <c r="P216" s="14"/>
      <c r="Q216" s="14"/>
      <c r="R216" s="11"/>
      <c r="S216" s="14"/>
      <c r="T216" s="11"/>
      <c r="U216" s="14"/>
      <c r="V216" s="11"/>
      <c r="W216" s="8">
        <f t="shared" si="49"/>
        <v>-33</v>
      </c>
    </row>
    <row r="217" spans="9:38">
      <c r="I217" s="8">
        <v>-32</v>
      </c>
      <c r="J217" s="105">
        <f>(J216+J218)/2</f>
        <v>1.14375E-2</v>
      </c>
      <c r="K217" s="105"/>
      <c r="L217" s="14"/>
      <c r="M217" s="11"/>
      <c r="N217" s="14"/>
      <c r="O217" s="11"/>
      <c r="P217" s="14"/>
      <c r="Q217" s="14"/>
      <c r="R217" s="11"/>
      <c r="S217" s="14"/>
      <c r="T217" s="11"/>
      <c r="U217" s="14"/>
      <c r="V217" s="11"/>
      <c r="W217" s="8">
        <f t="shared" si="49"/>
        <v>-32</v>
      </c>
    </row>
    <row r="218" spans="9:38">
      <c r="I218" s="8">
        <v>-31</v>
      </c>
      <c r="J218" s="105">
        <f>(J215+J221)/2</f>
        <v>1.115E-2</v>
      </c>
      <c r="K218" s="105"/>
      <c r="L218" s="14"/>
      <c r="M218" s="11"/>
      <c r="N218" s="14"/>
      <c r="O218" s="11"/>
      <c r="P218" s="14"/>
      <c r="Q218" s="14"/>
      <c r="R218" s="11"/>
      <c r="S218" s="14"/>
      <c r="T218" s="11"/>
      <c r="U218" s="14"/>
      <c r="V218" s="11"/>
      <c r="W218" s="8">
        <f t="shared" si="49"/>
        <v>-31</v>
      </c>
    </row>
    <row r="219" spans="9:38">
      <c r="I219" s="8">
        <v>-30</v>
      </c>
      <c r="J219" s="105">
        <f>(J218+J221)/2</f>
        <v>1.0575000000000001E-2</v>
      </c>
      <c r="K219" s="105"/>
      <c r="L219" s="14"/>
      <c r="M219" s="11"/>
      <c r="N219" s="14"/>
      <c r="O219" s="11"/>
      <c r="P219" s="14"/>
      <c r="Q219" s="14"/>
      <c r="R219" s="11"/>
      <c r="S219" s="14"/>
      <c r="T219" s="11"/>
      <c r="U219" s="14"/>
      <c r="V219" s="11"/>
      <c r="W219" s="8">
        <f t="shared" si="49"/>
        <v>-30</v>
      </c>
    </row>
    <row r="220" spans="9:38">
      <c r="I220" s="8">
        <v>-29</v>
      </c>
      <c r="J220" s="105">
        <f>(J219+J221)/2</f>
        <v>1.0287500000000002E-2</v>
      </c>
      <c r="K220" s="105"/>
      <c r="L220" s="14"/>
      <c r="M220" s="11"/>
      <c r="N220" s="14"/>
      <c r="O220" s="11"/>
      <c r="P220" s="14"/>
      <c r="Q220" s="14"/>
      <c r="R220" s="11"/>
      <c r="S220" s="14"/>
      <c r="T220" s="11"/>
      <c r="U220" s="14"/>
      <c r="V220" s="11"/>
      <c r="W220" s="8">
        <f t="shared" si="49"/>
        <v>-29</v>
      </c>
    </row>
    <row r="221" spans="9:38">
      <c r="I221" s="8">
        <v>-28</v>
      </c>
      <c r="J221" s="105">
        <v>0.01</v>
      </c>
      <c r="K221" s="105"/>
      <c r="L221" s="14"/>
      <c r="M221" s="11"/>
      <c r="N221" s="14"/>
      <c r="O221" s="11"/>
      <c r="P221" s="14"/>
      <c r="Q221" s="14"/>
      <c r="R221" s="11"/>
      <c r="S221" s="14"/>
      <c r="T221" s="11"/>
      <c r="U221" s="14"/>
      <c r="V221" s="11"/>
      <c r="W221" s="8">
        <f t="shared" si="49"/>
        <v>-28</v>
      </c>
    </row>
    <row r="222" spans="9:38">
      <c r="I222" s="8">
        <v>-27</v>
      </c>
      <c r="J222" s="105">
        <f>(J221+J223)/2</f>
        <v>9.5000000000000015E-3</v>
      </c>
      <c r="K222" s="105"/>
      <c r="L222" s="14"/>
      <c r="M222" s="11"/>
      <c r="N222" s="14"/>
      <c r="O222" s="11"/>
      <c r="P222" s="14"/>
      <c r="Q222" s="14"/>
      <c r="R222" s="11"/>
      <c r="S222" s="14"/>
      <c r="T222" s="11"/>
      <c r="U222" s="14"/>
      <c r="V222" s="11"/>
      <c r="W222" s="8">
        <f t="shared" si="49"/>
        <v>-27</v>
      </c>
    </row>
    <row r="223" spans="9:38">
      <c r="I223" s="8">
        <v>-26</v>
      </c>
      <c r="J223" s="105">
        <f>(J221+J225)/2</f>
        <v>9.0000000000000011E-3</v>
      </c>
      <c r="K223" s="105"/>
      <c r="L223" s="14"/>
      <c r="M223" s="11"/>
      <c r="N223" s="14"/>
      <c r="O223" s="11"/>
      <c r="P223" s="14"/>
      <c r="Q223" s="14"/>
      <c r="R223" s="11"/>
      <c r="S223" s="14"/>
      <c r="T223" s="11"/>
      <c r="U223" s="14"/>
      <c r="V223" s="11"/>
      <c r="W223" s="8">
        <f t="shared" si="49"/>
        <v>-26</v>
      </c>
    </row>
    <row r="224" spans="9:38">
      <c r="I224" s="8">
        <v>-25</v>
      </c>
      <c r="J224" s="105">
        <f>(J223+J225)/2</f>
        <v>8.5000000000000006E-3</v>
      </c>
      <c r="K224" s="105"/>
      <c r="L224" s="14"/>
      <c r="M224" s="11"/>
      <c r="N224" s="14"/>
      <c r="O224" s="11"/>
      <c r="P224" s="14"/>
      <c r="Q224" s="14"/>
      <c r="R224" s="11"/>
      <c r="S224" s="14"/>
      <c r="T224" s="11"/>
      <c r="U224" s="14"/>
      <c r="V224" s="11"/>
      <c r="W224" s="8">
        <f t="shared" si="49"/>
        <v>-25</v>
      </c>
    </row>
    <row r="225" spans="9:23">
      <c r="I225" s="8">
        <v>-24</v>
      </c>
      <c r="J225" s="105">
        <v>8.0000000000000002E-3</v>
      </c>
      <c r="K225" s="105"/>
      <c r="L225" s="14"/>
      <c r="M225" s="11"/>
      <c r="N225" s="14"/>
      <c r="O225" s="11"/>
      <c r="P225" s="14"/>
      <c r="Q225" s="14"/>
      <c r="R225" s="11"/>
      <c r="S225" s="14"/>
      <c r="T225" s="11"/>
      <c r="U225" s="14"/>
      <c r="V225" s="11"/>
      <c r="W225" s="8">
        <f t="shared" si="49"/>
        <v>-24</v>
      </c>
    </row>
    <row r="226" spans="9:23">
      <c r="I226" s="8">
        <v>-23</v>
      </c>
      <c r="J226" s="105">
        <f>(J225+J227)/2</f>
        <v>7.4999999999999997E-3</v>
      </c>
      <c r="K226" s="105"/>
      <c r="L226" s="14"/>
      <c r="M226" s="11"/>
      <c r="N226" s="14"/>
      <c r="O226" s="11"/>
      <c r="P226" s="14"/>
      <c r="Q226" s="14"/>
      <c r="R226" s="11"/>
      <c r="S226" s="14"/>
      <c r="T226" s="11"/>
      <c r="U226" s="14"/>
      <c r="V226" s="11"/>
      <c r="W226" s="8">
        <f t="shared" si="49"/>
        <v>-23</v>
      </c>
    </row>
    <row r="227" spans="9:23">
      <c r="I227" s="8">
        <v>-22</v>
      </c>
      <c r="J227" s="105">
        <f>(J225+J229)/2</f>
        <v>7.0000000000000001E-3</v>
      </c>
      <c r="K227" s="105"/>
      <c r="L227" s="14"/>
      <c r="M227" s="11"/>
      <c r="N227" s="14"/>
      <c r="O227" s="11"/>
      <c r="P227" s="14"/>
      <c r="Q227" s="14"/>
      <c r="R227" s="11"/>
      <c r="S227" s="14"/>
      <c r="T227" s="11"/>
      <c r="U227" s="14"/>
      <c r="V227" s="11"/>
      <c r="W227" s="8">
        <f t="shared" si="49"/>
        <v>-22</v>
      </c>
    </row>
    <row r="228" spans="9:23">
      <c r="I228" s="8">
        <v>-21</v>
      </c>
      <c r="J228" s="105">
        <f>(J227+J229)/2</f>
        <v>6.5000000000000006E-3</v>
      </c>
      <c r="K228" s="105"/>
      <c r="L228" s="14"/>
      <c r="M228" s="11"/>
      <c r="N228" s="14"/>
      <c r="O228" s="11"/>
      <c r="P228" s="14"/>
      <c r="Q228" s="14"/>
      <c r="R228" s="11"/>
      <c r="S228" s="14"/>
      <c r="T228" s="11"/>
      <c r="U228" s="14"/>
      <c r="V228" s="11"/>
      <c r="W228" s="8">
        <f t="shared" si="49"/>
        <v>-21</v>
      </c>
    </row>
    <row r="229" spans="9:23">
      <c r="I229" s="8">
        <v>-20</v>
      </c>
      <c r="J229" s="105">
        <f>(J225+J233)/2</f>
        <v>6.0000000000000001E-3</v>
      </c>
      <c r="K229" s="105"/>
      <c r="L229" s="14"/>
      <c r="M229" s="11"/>
      <c r="N229" s="14"/>
      <c r="O229" s="11"/>
      <c r="P229" s="14"/>
      <c r="Q229" s="14"/>
      <c r="R229" s="11"/>
      <c r="S229" s="14"/>
      <c r="T229" s="11"/>
      <c r="U229" s="14"/>
      <c r="V229" s="11"/>
      <c r="W229" s="8">
        <f t="shared" si="49"/>
        <v>-20</v>
      </c>
    </row>
    <row r="230" spans="9:23">
      <c r="I230" s="8">
        <v>-19</v>
      </c>
      <c r="J230" s="105">
        <f>(J229+J231)/2</f>
        <v>5.4999999999999997E-3</v>
      </c>
      <c r="K230" s="105"/>
      <c r="L230" s="14"/>
      <c r="M230" s="11"/>
      <c r="N230" s="14"/>
      <c r="O230" s="11"/>
      <c r="P230" s="14"/>
      <c r="Q230" s="14"/>
      <c r="R230" s="11"/>
      <c r="S230" s="14"/>
      <c r="T230" s="11"/>
      <c r="U230" s="14"/>
      <c r="V230" s="11"/>
      <c r="W230" s="8">
        <f t="shared" si="49"/>
        <v>-19</v>
      </c>
    </row>
    <row r="231" spans="9:23">
      <c r="I231" s="8">
        <v>-18</v>
      </c>
      <c r="J231" s="105">
        <f>(J229+J233)/2</f>
        <v>5.0000000000000001E-3</v>
      </c>
      <c r="K231" s="105"/>
      <c r="L231" s="14"/>
      <c r="M231" s="11"/>
      <c r="N231" s="14"/>
      <c r="O231" s="11"/>
      <c r="P231" s="14"/>
      <c r="Q231" s="14"/>
      <c r="R231" s="11"/>
      <c r="S231" s="14"/>
      <c r="T231" s="11"/>
      <c r="U231" s="14"/>
      <c r="V231" s="11"/>
      <c r="W231" s="8">
        <f t="shared" si="49"/>
        <v>-18</v>
      </c>
    </row>
    <row r="232" spans="9:23">
      <c r="I232" s="8">
        <v>-17</v>
      </c>
      <c r="J232" s="105">
        <f>(J231+J233)/2</f>
        <v>4.5000000000000005E-3</v>
      </c>
      <c r="K232" s="105"/>
      <c r="L232" s="14"/>
      <c r="M232" s="11"/>
      <c r="N232" s="14"/>
      <c r="O232" s="11"/>
      <c r="P232" s="14"/>
      <c r="Q232" s="14"/>
      <c r="R232" s="11"/>
      <c r="S232" s="14"/>
      <c r="T232" s="11"/>
      <c r="U232" s="14"/>
      <c r="V232" s="11"/>
      <c r="W232" s="8">
        <f t="shared" si="49"/>
        <v>-17</v>
      </c>
    </row>
    <row r="233" spans="9:23">
      <c r="I233" s="8">
        <v>-16</v>
      </c>
      <c r="J233" s="105">
        <v>4.0000000000000001E-3</v>
      </c>
      <c r="K233" s="105"/>
      <c r="L233" s="14"/>
      <c r="M233" s="11"/>
      <c r="N233" s="14"/>
      <c r="O233" s="11"/>
      <c r="P233" s="14"/>
      <c r="Q233" s="14"/>
      <c r="R233" s="11"/>
      <c r="S233" s="14"/>
      <c r="T233" s="11"/>
      <c r="U233" s="14"/>
      <c r="V233" s="11"/>
      <c r="W233" s="8">
        <f t="shared" si="49"/>
        <v>-16</v>
      </c>
    </row>
    <row r="234" spans="9:23">
      <c r="I234" s="8">
        <v>-15</v>
      </c>
      <c r="J234" s="105">
        <f>(J233+J236)/2</f>
        <v>3.2500000000000003E-3</v>
      </c>
      <c r="K234" s="105"/>
      <c r="L234" s="14"/>
      <c r="M234" s="11"/>
      <c r="N234" s="14"/>
      <c r="O234" s="11"/>
      <c r="P234" s="14"/>
      <c r="Q234" s="14"/>
      <c r="R234" s="11"/>
      <c r="S234" s="14"/>
      <c r="T234" s="11"/>
      <c r="U234" s="14"/>
      <c r="V234" s="11"/>
      <c r="W234" s="8">
        <f t="shared" si="49"/>
        <v>-15</v>
      </c>
    </row>
    <row r="235" spans="9:23">
      <c r="I235" s="8">
        <v>-14</v>
      </c>
      <c r="J235" s="105">
        <f>(J234+J236)/2</f>
        <v>2.875E-3</v>
      </c>
      <c r="K235" s="105"/>
      <c r="L235" s="14"/>
      <c r="M235" s="11"/>
      <c r="N235" s="14"/>
      <c r="O235" s="11"/>
      <c r="P235" s="14"/>
      <c r="Q235" s="14"/>
      <c r="R235" s="11"/>
      <c r="S235" s="14"/>
      <c r="T235" s="11"/>
      <c r="U235" s="14"/>
      <c r="V235" s="11"/>
      <c r="W235" s="8">
        <f t="shared" si="49"/>
        <v>-14</v>
      </c>
    </row>
    <row r="236" spans="9:23">
      <c r="I236" s="8">
        <v>-13</v>
      </c>
      <c r="J236" s="105">
        <f>(J233+J239)/2</f>
        <v>2.5000000000000001E-3</v>
      </c>
      <c r="K236" s="105"/>
      <c r="L236" s="14"/>
      <c r="M236" s="11"/>
      <c r="N236" s="14"/>
      <c r="O236" s="11"/>
      <c r="P236" s="14"/>
      <c r="Q236" s="14"/>
      <c r="R236" s="11"/>
      <c r="S236" s="14"/>
      <c r="T236" s="11"/>
      <c r="U236" s="14"/>
      <c r="V236" s="11"/>
      <c r="W236" s="8">
        <f t="shared" si="49"/>
        <v>-13</v>
      </c>
    </row>
    <row r="237" spans="9:23">
      <c r="I237" s="8">
        <v>-12</v>
      </c>
      <c r="J237" s="105">
        <f>(J236+J239)/2</f>
        <v>1.75E-3</v>
      </c>
      <c r="K237" s="105"/>
      <c r="L237" s="14"/>
      <c r="M237" s="11"/>
      <c r="N237" s="14"/>
      <c r="O237" s="11"/>
      <c r="P237" s="14"/>
      <c r="Q237" s="14"/>
      <c r="R237" s="11"/>
      <c r="S237" s="14"/>
      <c r="T237" s="11"/>
      <c r="U237" s="14"/>
      <c r="V237" s="11"/>
      <c r="W237" s="8">
        <f t="shared" si="49"/>
        <v>-12</v>
      </c>
    </row>
    <row r="238" spans="9:23">
      <c r="I238" s="8">
        <v>-11</v>
      </c>
      <c r="J238" s="105">
        <f>(J237+J239)/2</f>
        <v>1.3749999999999999E-3</v>
      </c>
      <c r="K238" s="105"/>
      <c r="L238" s="14"/>
      <c r="M238" s="11"/>
      <c r="N238" s="14"/>
      <c r="O238" s="11"/>
      <c r="P238" s="14"/>
      <c r="Q238" s="14"/>
      <c r="R238" s="11"/>
      <c r="S238" s="14"/>
      <c r="T238" s="11"/>
      <c r="U238" s="14"/>
      <c r="V238" s="11"/>
      <c r="W238" s="8">
        <f t="shared" si="49"/>
        <v>-11</v>
      </c>
    </row>
    <row r="239" spans="9:23">
      <c r="I239" s="8">
        <v>-10</v>
      </c>
      <c r="J239" s="105">
        <v>1E-3</v>
      </c>
      <c r="K239" s="105"/>
      <c r="L239" s="14"/>
      <c r="M239" s="11"/>
      <c r="N239" s="14"/>
      <c r="O239" s="11"/>
      <c r="P239" s="14"/>
      <c r="Q239" s="14"/>
      <c r="R239" s="11"/>
      <c r="S239" s="14"/>
      <c r="T239" s="11"/>
      <c r="U239" s="14"/>
      <c r="V239" s="11"/>
      <c r="W239" s="8">
        <f t="shared" si="49"/>
        <v>-10</v>
      </c>
    </row>
    <row r="240" spans="9:23">
      <c r="I240" s="8">
        <v>-9</v>
      </c>
      <c r="J240" s="105">
        <f>(J239+J241)/2</f>
        <v>9.3749999999999997E-4</v>
      </c>
      <c r="K240" s="105"/>
      <c r="L240" s="14"/>
      <c r="M240" s="11"/>
      <c r="N240" s="14"/>
      <c r="O240" s="11"/>
      <c r="P240" s="14"/>
      <c r="Q240" s="14"/>
      <c r="R240" s="11"/>
      <c r="S240" s="14"/>
      <c r="T240" s="11"/>
      <c r="U240" s="14"/>
      <c r="V240" s="11"/>
      <c r="W240" s="8">
        <f t="shared" si="49"/>
        <v>-9</v>
      </c>
    </row>
    <row r="241" spans="9:23">
      <c r="I241" s="8">
        <v>-8</v>
      </c>
      <c r="J241" s="105">
        <f>(J239+J243)/2</f>
        <v>8.7500000000000002E-4</v>
      </c>
      <c r="K241" s="105"/>
      <c r="L241" s="14"/>
      <c r="M241" s="11"/>
      <c r="N241" s="14"/>
      <c r="O241" s="11"/>
      <c r="P241" s="14"/>
      <c r="Q241" s="14"/>
      <c r="R241" s="11"/>
      <c r="S241" s="14"/>
      <c r="T241" s="11"/>
      <c r="U241" s="14"/>
      <c r="V241" s="11"/>
      <c r="W241" s="8">
        <f t="shared" si="49"/>
        <v>-8</v>
      </c>
    </row>
    <row r="242" spans="9:23">
      <c r="I242" s="8">
        <v>-7</v>
      </c>
      <c r="J242" s="105">
        <f>(J241+J243)/2</f>
        <v>8.1250000000000007E-4</v>
      </c>
      <c r="K242" s="105"/>
      <c r="L242" s="14"/>
      <c r="M242" s="11"/>
      <c r="N242" s="14"/>
      <c r="O242" s="11"/>
      <c r="P242" s="14"/>
      <c r="Q242" s="14"/>
      <c r="R242" s="11"/>
      <c r="S242" s="14"/>
      <c r="T242" s="11"/>
      <c r="U242" s="14"/>
      <c r="V242" s="11"/>
      <c r="W242" s="8">
        <f t="shared" si="49"/>
        <v>-7</v>
      </c>
    </row>
    <row r="243" spans="9:23">
      <c r="I243" s="8">
        <v>-6</v>
      </c>
      <c r="J243" s="105">
        <f>(J239+J247)/2</f>
        <v>7.5000000000000002E-4</v>
      </c>
      <c r="K243" s="105"/>
      <c r="L243" s="14"/>
      <c r="M243" s="11"/>
      <c r="N243" s="14"/>
      <c r="O243" s="11"/>
      <c r="P243" s="14"/>
      <c r="Q243" s="14"/>
      <c r="R243" s="11"/>
      <c r="S243" s="14"/>
      <c r="T243" s="11"/>
      <c r="U243" s="14"/>
      <c r="V243" s="11"/>
      <c r="W243" s="8">
        <f t="shared" si="49"/>
        <v>-6</v>
      </c>
    </row>
    <row r="244" spans="9:23">
      <c r="I244" s="8">
        <v>-5</v>
      </c>
      <c r="J244" s="105">
        <f>(J243+J245)/2</f>
        <v>6.8749999999999996E-4</v>
      </c>
      <c r="K244" s="105"/>
      <c r="L244" s="14"/>
      <c r="M244" s="11"/>
      <c r="N244" s="14"/>
      <c r="O244" s="11"/>
      <c r="P244" s="14"/>
      <c r="Q244" s="14"/>
      <c r="R244" s="11"/>
      <c r="S244" s="14"/>
      <c r="T244" s="11"/>
      <c r="U244" s="14"/>
      <c r="V244" s="11"/>
      <c r="W244" s="8">
        <f t="shared" si="49"/>
        <v>-5</v>
      </c>
    </row>
    <row r="245" spans="9:23">
      <c r="I245" s="8">
        <v>-4</v>
      </c>
      <c r="J245" s="105">
        <f>(J243+J247)/2</f>
        <v>6.2500000000000001E-4</v>
      </c>
      <c r="K245" s="105"/>
      <c r="L245" s="14"/>
      <c r="M245" s="11"/>
      <c r="N245" s="14"/>
      <c r="O245" s="11"/>
      <c r="P245" s="14"/>
      <c r="Q245" s="14"/>
      <c r="R245" s="11"/>
      <c r="S245" s="14"/>
      <c r="T245" s="11"/>
      <c r="U245" s="14"/>
      <c r="V245" s="11"/>
      <c r="W245" s="8">
        <f t="shared" si="49"/>
        <v>-4</v>
      </c>
    </row>
    <row r="246" spans="9:23">
      <c r="I246" s="8">
        <v>-3</v>
      </c>
      <c r="J246" s="105">
        <f>(J245+J247)/2</f>
        <v>5.6250000000000007E-4</v>
      </c>
      <c r="K246" s="105"/>
      <c r="L246" s="14"/>
      <c r="M246" s="11"/>
      <c r="N246" s="14"/>
      <c r="O246" s="11"/>
      <c r="P246" s="14"/>
      <c r="Q246" s="14"/>
      <c r="R246" s="11"/>
      <c r="S246" s="14"/>
      <c r="T246" s="11"/>
      <c r="U246" s="14"/>
      <c r="V246" s="11"/>
      <c r="W246" s="8">
        <f t="shared" si="49"/>
        <v>-3</v>
      </c>
    </row>
    <row r="247" spans="9:23">
      <c r="I247" s="8">
        <v>-2</v>
      </c>
      <c r="J247" s="105">
        <f>(J239+J254)/2</f>
        <v>5.0000000000000001E-4</v>
      </c>
      <c r="K247" s="105"/>
      <c r="L247" s="14"/>
      <c r="M247" s="11"/>
      <c r="N247" s="14"/>
      <c r="O247" s="11"/>
      <c r="P247" s="14"/>
      <c r="Q247" s="14"/>
      <c r="R247" s="11"/>
      <c r="S247" s="14"/>
      <c r="T247" s="11"/>
      <c r="U247" s="14"/>
      <c r="V247" s="11"/>
      <c r="W247" s="8">
        <f t="shared" si="49"/>
        <v>-2</v>
      </c>
    </row>
    <row r="248" spans="9:23">
      <c r="I248" s="8">
        <v>-1</v>
      </c>
      <c r="J248" s="105">
        <f>(J247+J249)/2</f>
        <v>4.3750000000000001E-4</v>
      </c>
      <c r="K248" s="105"/>
      <c r="L248" s="14"/>
      <c r="M248" s="11"/>
      <c r="N248" s="14"/>
      <c r="O248" s="11"/>
      <c r="P248" s="14"/>
      <c r="Q248" s="14"/>
      <c r="R248" s="11"/>
      <c r="S248" s="14"/>
      <c r="T248" s="11"/>
      <c r="U248" s="14"/>
      <c r="V248" s="11"/>
      <c r="W248" s="8">
        <f t="shared" si="49"/>
        <v>-1</v>
      </c>
    </row>
    <row r="249" spans="9:23">
      <c r="I249" s="8">
        <v>0</v>
      </c>
      <c r="J249" s="105">
        <f>(J247+J251)/2</f>
        <v>3.7500000000000001E-4</v>
      </c>
      <c r="K249" s="105"/>
      <c r="L249" s="14"/>
      <c r="M249" s="11"/>
      <c r="N249" s="14"/>
      <c r="O249" s="11"/>
      <c r="P249" s="14"/>
      <c r="Q249" s="14"/>
      <c r="R249" s="11"/>
      <c r="S249" s="14"/>
      <c r="T249" s="11"/>
      <c r="U249" s="14"/>
      <c r="V249" s="11"/>
      <c r="W249" s="8">
        <f t="shared" si="49"/>
        <v>0</v>
      </c>
    </row>
    <row r="250" spans="9:23">
      <c r="I250" s="8">
        <v>1</v>
      </c>
      <c r="J250" s="105">
        <f>(J249+J251)/2</f>
        <v>3.1250000000000001E-4</v>
      </c>
      <c r="K250" s="105"/>
      <c r="L250" s="14"/>
      <c r="M250" s="11"/>
      <c r="N250" s="14"/>
      <c r="O250" s="11"/>
      <c r="P250" s="14"/>
      <c r="Q250" s="14"/>
      <c r="R250" s="11"/>
      <c r="S250" s="14"/>
      <c r="T250" s="11"/>
      <c r="U250" s="14"/>
      <c r="V250" s="11"/>
      <c r="W250" s="8">
        <f t="shared" si="49"/>
        <v>1</v>
      </c>
    </row>
    <row r="251" spans="9:23">
      <c r="I251" s="8">
        <v>2</v>
      </c>
      <c r="J251" s="105">
        <f>(J247+J254)/2</f>
        <v>2.5000000000000001E-4</v>
      </c>
      <c r="K251" s="105"/>
      <c r="L251" s="14"/>
      <c r="M251" s="11"/>
      <c r="N251" s="14"/>
      <c r="O251" s="11"/>
      <c r="P251" s="14"/>
      <c r="Q251" s="14"/>
      <c r="R251" s="11"/>
      <c r="S251" s="14"/>
      <c r="T251" s="11"/>
      <c r="U251" s="14"/>
      <c r="V251" s="11"/>
      <c r="W251" s="8">
        <f t="shared" si="49"/>
        <v>2</v>
      </c>
    </row>
    <row r="252" spans="9:23">
      <c r="I252" s="8">
        <v>3</v>
      </c>
      <c r="J252" s="105">
        <f>(J251+J254)/2</f>
        <v>1.25E-4</v>
      </c>
      <c r="K252" s="105"/>
      <c r="L252" s="14"/>
      <c r="M252" s="11"/>
      <c r="N252" s="14"/>
      <c r="O252" s="11"/>
      <c r="P252" s="14"/>
      <c r="Q252" s="14"/>
      <c r="R252" s="11"/>
      <c r="S252" s="14"/>
      <c r="T252" s="11"/>
      <c r="U252" s="14"/>
      <c r="V252" s="11"/>
      <c r="W252" s="8">
        <f t="shared" si="49"/>
        <v>3</v>
      </c>
    </row>
    <row r="253" spans="9:23">
      <c r="I253" s="8">
        <v>4</v>
      </c>
      <c r="J253" s="105">
        <f>(J252+J254)/2</f>
        <v>6.2500000000000001E-5</v>
      </c>
      <c r="K253" s="105"/>
      <c r="L253" s="14"/>
      <c r="M253" s="11"/>
      <c r="N253" s="14"/>
      <c r="O253" s="11"/>
      <c r="P253" s="14"/>
      <c r="Q253" s="14"/>
      <c r="R253" s="11"/>
      <c r="S253" s="14"/>
      <c r="T253" s="11"/>
      <c r="U253" s="14"/>
      <c r="V253" s="11"/>
      <c r="W253" s="8">
        <f t="shared" si="49"/>
        <v>4</v>
      </c>
    </row>
    <row r="254" spans="9:23">
      <c r="I254" s="8">
        <v>5</v>
      </c>
      <c r="J254" s="11">
        <v>0</v>
      </c>
      <c r="K254" s="11"/>
      <c r="L254" s="14"/>
      <c r="M254" s="11"/>
      <c r="N254" s="14"/>
      <c r="O254" s="11"/>
      <c r="P254" s="14"/>
      <c r="Q254" s="14"/>
      <c r="R254" s="11"/>
      <c r="S254" s="14"/>
      <c r="T254" s="11"/>
      <c r="U254" s="14"/>
      <c r="V254" s="11"/>
      <c r="W254" s="8">
        <f t="shared" si="49"/>
        <v>5</v>
      </c>
    </row>
    <row r="255" spans="9:23">
      <c r="I255" s="5">
        <v>70</v>
      </c>
      <c r="J255" s="11">
        <v>0</v>
      </c>
      <c r="K255" s="11"/>
      <c r="L255" s="14"/>
      <c r="M255" s="11"/>
      <c r="N255" s="14"/>
      <c r="O255" s="11"/>
      <c r="P255" s="14"/>
      <c r="Q255" s="14"/>
      <c r="R255" s="11"/>
      <c r="S255" s="14"/>
      <c r="T255" s="11"/>
      <c r="U255" s="14"/>
      <c r="V255" s="11"/>
      <c r="W255" s="8">
        <f t="shared" si="49"/>
        <v>70</v>
      </c>
    </row>
    <row r="256" spans="9:23">
      <c r="I256" s="5">
        <v>71</v>
      </c>
      <c r="J256" s="11">
        <f>(J255+J257)/2</f>
        <v>8.6249999999999999E-4</v>
      </c>
      <c r="K256" s="11"/>
      <c r="L256" s="14"/>
      <c r="M256" s="11"/>
      <c r="N256" s="14"/>
      <c r="O256" s="11"/>
      <c r="P256" s="14"/>
      <c r="Q256" s="14"/>
      <c r="R256" s="11"/>
      <c r="S256" s="14"/>
      <c r="T256" s="11"/>
      <c r="U256" s="14"/>
      <c r="V256" s="11"/>
      <c r="W256" s="8">
        <f t="shared" si="49"/>
        <v>71</v>
      </c>
    </row>
    <row r="257" spans="9:23">
      <c r="I257" s="5">
        <v>72</v>
      </c>
      <c r="J257" s="11">
        <f>(J255+J260)/2</f>
        <v>1.725E-3</v>
      </c>
      <c r="K257" s="11"/>
      <c r="L257" s="14"/>
      <c r="M257" s="11"/>
      <c r="N257" s="14"/>
      <c r="O257" s="11"/>
      <c r="P257" s="14"/>
      <c r="Q257" s="14"/>
      <c r="R257" s="11"/>
      <c r="S257" s="14"/>
      <c r="T257" s="11"/>
      <c r="U257" s="14"/>
      <c r="V257" s="11"/>
      <c r="W257" s="8">
        <f t="shared" si="49"/>
        <v>72</v>
      </c>
    </row>
    <row r="258" spans="9:23">
      <c r="I258" s="5">
        <v>73</v>
      </c>
      <c r="J258" s="11">
        <f>(J256+J260)/2</f>
        <v>2.1562500000000002E-3</v>
      </c>
      <c r="K258" s="11"/>
      <c r="L258" s="14"/>
      <c r="M258" s="11"/>
      <c r="N258" s="14"/>
      <c r="O258" s="11"/>
      <c r="P258" s="14"/>
      <c r="Q258" s="14"/>
      <c r="R258" s="11"/>
      <c r="S258" s="14"/>
      <c r="T258" s="11"/>
      <c r="U258" s="14"/>
      <c r="V258" s="11"/>
      <c r="W258" s="8">
        <f t="shared" si="49"/>
        <v>73</v>
      </c>
    </row>
    <row r="259" spans="9:23">
      <c r="I259" s="5">
        <v>74</v>
      </c>
      <c r="J259" s="11">
        <f>(J258+J260)/2</f>
        <v>2.8031250000000001E-3</v>
      </c>
      <c r="K259" s="11"/>
      <c r="L259" s="14"/>
      <c r="M259" s="11"/>
      <c r="N259" s="14"/>
      <c r="O259" s="11"/>
      <c r="P259" s="14"/>
      <c r="Q259" s="14"/>
      <c r="R259" s="11"/>
      <c r="S259" s="14"/>
      <c r="T259" s="11"/>
      <c r="U259" s="14"/>
      <c r="V259" s="11"/>
      <c r="W259" s="8">
        <f t="shared" si="49"/>
        <v>74</v>
      </c>
    </row>
    <row r="260" spans="9:23">
      <c r="I260" s="5">
        <v>75</v>
      </c>
      <c r="J260" s="11">
        <f>(J255+J265)/2</f>
        <v>3.4499999999999999E-3</v>
      </c>
      <c r="K260" s="11"/>
      <c r="L260" s="14"/>
      <c r="M260" s="11"/>
      <c r="N260" s="14"/>
      <c r="O260" s="11"/>
      <c r="P260" s="14"/>
      <c r="Q260" s="14"/>
      <c r="R260" s="11"/>
      <c r="S260" s="14"/>
      <c r="T260" s="11"/>
      <c r="U260" s="14"/>
      <c r="V260" s="11"/>
      <c r="W260" s="8">
        <f t="shared" si="49"/>
        <v>75</v>
      </c>
    </row>
    <row r="261" spans="9:23">
      <c r="I261" s="5">
        <v>76</v>
      </c>
      <c r="J261" s="11">
        <f>(J259+J263)/2</f>
        <v>3.9890624999999996E-3</v>
      </c>
      <c r="K261" s="11"/>
      <c r="L261" s="14"/>
      <c r="M261" s="11"/>
      <c r="N261" s="14"/>
      <c r="O261" s="11"/>
      <c r="P261" s="14"/>
      <c r="Q261" s="14"/>
      <c r="R261" s="11"/>
      <c r="S261" s="14"/>
      <c r="T261" s="11"/>
      <c r="U261" s="14"/>
      <c r="V261" s="11"/>
      <c r="W261" s="8">
        <f t="shared" si="49"/>
        <v>76</v>
      </c>
    </row>
    <row r="262" spans="9:23">
      <c r="I262" s="5">
        <v>77</v>
      </c>
      <c r="J262" s="11">
        <f>(J261+J263)/2</f>
        <v>4.5820312500000002E-3</v>
      </c>
      <c r="K262" s="11"/>
      <c r="L262" s="14"/>
      <c r="M262" s="11"/>
      <c r="N262" s="14"/>
      <c r="O262" s="11"/>
      <c r="P262" s="14"/>
      <c r="Q262" s="14"/>
      <c r="R262" s="11"/>
      <c r="S262" s="14"/>
      <c r="T262" s="11"/>
      <c r="U262" s="14"/>
      <c r="V262" s="11"/>
      <c r="W262" s="8">
        <f t="shared" si="49"/>
        <v>77</v>
      </c>
    </row>
    <row r="263" spans="9:23">
      <c r="I263" s="5">
        <v>78</v>
      </c>
      <c r="J263" s="11">
        <f>(J260+J265)/2</f>
        <v>5.1749999999999999E-3</v>
      </c>
      <c r="K263" s="11"/>
      <c r="L263" s="14"/>
      <c r="M263" s="11"/>
      <c r="N263" s="14"/>
      <c r="O263" s="11"/>
      <c r="P263" s="14"/>
      <c r="Q263" s="14"/>
      <c r="R263" s="11"/>
      <c r="S263" s="14"/>
      <c r="T263" s="11"/>
      <c r="U263" s="14"/>
      <c r="V263" s="11"/>
      <c r="W263" s="8">
        <f t="shared" si="49"/>
        <v>78</v>
      </c>
    </row>
    <row r="264" spans="9:23">
      <c r="I264" s="5">
        <v>79</v>
      </c>
      <c r="J264" s="11">
        <f>(J263+J265)/2</f>
        <v>6.0374999999999995E-3</v>
      </c>
      <c r="K264" s="11"/>
      <c r="L264" s="14"/>
      <c r="M264" s="11"/>
      <c r="N264" s="14"/>
      <c r="O264" s="11"/>
      <c r="P264" s="14"/>
      <c r="Q264" s="14"/>
      <c r="R264" s="11"/>
      <c r="S264" s="14"/>
      <c r="T264" s="11"/>
      <c r="U264" s="14"/>
      <c r="V264" s="11"/>
      <c r="W264" s="8">
        <f t="shared" si="49"/>
        <v>79</v>
      </c>
    </row>
    <row r="265" spans="9:23">
      <c r="I265" s="5">
        <v>80</v>
      </c>
      <c r="J265" s="11">
        <v>6.8999999999999999E-3</v>
      </c>
      <c r="K265" s="11"/>
      <c r="L265" s="14"/>
      <c r="M265" s="11"/>
      <c r="N265" s="14"/>
      <c r="O265" s="11"/>
      <c r="P265" s="14"/>
      <c r="Q265" s="14"/>
      <c r="R265" s="11"/>
      <c r="S265" s="14"/>
      <c r="T265" s="11"/>
      <c r="U265" s="14"/>
      <c r="V265" s="11"/>
      <c r="W265" s="8">
        <f t="shared" si="49"/>
        <v>80</v>
      </c>
    </row>
    <row r="266" spans="9:23">
      <c r="I266" s="5">
        <v>81</v>
      </c>
      <c r="J266" s="11">
        <f>(J265+J267)/2</f>
        <v>7.8250000000000004E-3</v>
      </c>
      <c r="K266" s="11"/>
      <c r="L266" s="14"/>
      <c r="M266" s="11"/>
      <c r="N266" s="14"/>
      <c r="O266" s="11"/>
      <c r="P266" s="14"/>
      <c r="Q266" s="14"/>
      <c r="R266" s="11"/>
      <c r="S266" s="14"/>
      <c r="T266" s="11"/>
      <c r="U266" s="14"/>
      <c r="V266" s="11"/>
      <c r="W266" s="8">
        <f t="shared" si="49"/>
        <v>81</v>
      </c>
    </row>
    <row r="267" spans="9:23">
      <c r="I267" s="5">
        <v>82</v>
      </c>
      <c r="J267" s="11">
        <f>(J265+J270)/2</f>
        <v>8.7500000000000008E-3</v>
      </c>
      <c r="K267" s="11"/>
      <c r="L267" s="14"/>
      <c r="M267" s="11"/>
      <c r="N267" s="14"/>
      <c r="O267" s="11"/>
      <c r="P267" s="14"/>
      <c r="Q267" s="14"/>
      <c r="R267" s="11"/>
      <c r="S267" s="14"/>
      <c r="T267" s="11"/>
      <c r="U267" s="14"/>
      <c r="V267" s="11"/>
      <c r="W267" s="8">
        <f t="shared" si="49"/>
        <v>82</v>
      </c>
    </row>
    <row r="268" spans="9:23">
      <c r="I268" s="5">
        <v>83</v>
      </c>
      <c r="J268" s="11">
        <f>(J266+J270)/2</f>
        <v>9.2125000000000002E-3</v>
      </c>
      <c r="K268" s="11"/>
      <c r="L268" s="14"/>
      <c r="M268" s="11"/>
      <c r="N268" s="14"/>
      <c r="O268" s="11"/>
      <c r="P268" s="14"/>
      <c r="Q268" s="14"/>
      <c r="R268" s="11"/>
      <c r="S268" s="14"/>
      <c r="T268" s="11"/>
      <c r="U268" s="14"/>
      <c r="V268" s="11"/>
      <c r="W268" s="8">
        <f t="shared" si="49"/>
        <v>83</v>
      </c>
    </row>
    <row r="269" spans="9:23">
      <c r="I269" s="5">
        <v>84</v>
      </c>
      <c r="J269" s="11">
        <f>(J268+J270)/2</f>
        <v>9.9062500000000001E-3</v>
      </c>
      <c r="K269" s="11"/>
      <c r="L269" s="14"/>
      <c r="M269" s="11"/>
      <c r="N269" s="14"/>
      <c r="O269" s="11"/>
      <c r="P269" s="14"/>
      <c r="Q269" s="14"/>
      <c r="R269" s="11"/>
      <c r="S269" s="14"/>
      <c r="T269" s="11"/>
      <c r="U269" s="14"/>
      <c r="V269" s="11"/>
      <c r="W269" s="8">
        <f t="shared" si="49"/>
        <v>84</v>
      </c>
    </row>
    <row r="270" spans="9:23">
      <c r="I270" s="5">
        <v>85</v>
      </c>
      <c r="J270" s="11">
        <f>(J265+J275)/2</f>
        <v>1.06E-2</v>
      </c>
      <c r="K270" s="11"/>
      <c r="L270" s="14"/>
      <c r="M270" s="11"/>
      <c r="N270" s="14"/>
      <c r="O270" s="11"/>
      <c r="P270" s="14"/>
      <c r="Q270" s="14"/>
      <c r="R270" s="11"/>
      <c r="S270" s="14"/>
      <c r="T270" s="11"/>
      <c r="U270" s="14"/>
      <c r="V270" s="11"/>
      <c r="W270" s="8">
        <f t="shared" si="49"/>
        <v>85</v>
      </c>
    </row>
    <row r="271" spans="9:23">
      <c r="I271" s="5">
        <v>86</v>
      </c>
      <c r="J271" s="11">
        <f>(J269+J273)/2</f>
        <v>1.1178125000000001E-2</v>
      </c>
      <c r="K271" s="11"/>
      <c r="L271" s="14"/>
      <c r="M271" s="11"/>
      <c r="N271" s="14"/>
      <c r="O271" s="11"/>
      <c r="P271" s="14"/>
      <c r="Q271" s="14"/>
      <c r="R271" s="11"/>
      <c r="S271" s="14"/>
      <c r="T271" s="11"/>
      <c r="U271" s="14"/>
      <c r="V271" s="11"/>
      <c r="W271" s="8">
        <f t="shared" si="49"/>
        <v>86</v>
      </c>
    </row>
    <row r="272" spans="9:23">
      <c r="I272" s="5">
        <v>87</v>
      </c>
      <c r="J272" s="11">
        <f>(J271+J273)/2</f>
        <v>1.18140625E-2</v>
      </c>
      <c r="K272" s="11"/>
      <c r="L272" s="14"/>
      <c r="M272" s="11"/>
      <c r="N272" s="14"/>
      <c r="O272" s="11"/>
      <c r="P272" s="14"/>
      <c r="Q272" s="14"/>
      <c r="R272" s="11"/>
      <c r="S272" s="14"/>
      <c r="T272" s="11"/>
      <c r="U272" s="14"/>
      <c r="V272" s="11"/>
      <c r="W272" s="8">
        <f t="shared" si="49"/>
        <v>87</v>
      </c>
    </row>
    <row r="273" spans="9:23">
      <c r="I273" s="5">
        <v>88</v>
      </c>
      <c r="J273" s="11">
        <f>(J270+J275)/2</f>
        <v>1.2449999999999999E-2</v>
      </c>
      <c r="K273" s="11"/>
      <c r="L273" s="14"/>
      <c r="M273" s="11"/>
      <c r="N273" s="14"/>
      <c r="O273" s="11"/>
      <c r="P273" s="14"/>
      <c r="Q273" s="14"/>
      <c r="R273" s="11"/>
      <c r="S273" s="14"/>
      <c r="T273" s="11"/>
      <c r="U273" s="14"/>
      <c r="V273" s="11"/>
      <c r="W273" s="8">
        <f t="shared" si="49"/>
        <v>88</v>
      </c>
    </row>
    <row r="274" spans="9:23">
      <c r="I274" s="5">
        <v>89</v>
      </c>
      <c r="J274" s="11">
        <f>(J273+J275)/2</f>
        <v>1.3375E-2</v>
      </c>
      <c r="K274" s="11"/>
      <c r="L274" s="14"/>
      <c r="M274" s="11"/>
      <c r="N274" s="14"/>
      <c r="O274" s="11"/>
      <c r="P274" s="14"/>
      <c r="Q274" s="14"/>
      <c r="R274" s="11"/>
      <c r="S274" s="14"/>
      <c r="T274" s="11"/>
      <c r="U274" s="14"/>
      <c r="V274" s="11"/>
      <c r="W274" s="8">
        <f t="shared" si="49"/>
        <v>89</v>
      </c>
    </row>
    <row r="275" spans="9:23">
      <c r="I275" s="5">
        <v>90</v>
      </c>
      <c r="J275" s="11">
        <v>1.43E-2</v>
      </c>
      <c r="K275" s="11"/>
      <c r="L275" s="14"/>
      <c r="M275" s="11"/>
      <c r="N275" s="14"/>
      <c r="O275" s="11"/>
      <c r="P275" s="14"/>
      <c r="Q275" s="14"/>
      <c r="R275" s="11"/>
      <c r="S275" s="14"/>
      <c r="T275" s="11"/>
      <c r="U275" s="14"/>
      <c r="V275" s="11"/>
      <c r="W275" s="8">
        <f t="shared" si="49"/>
        <v>90</v>
      </c>
    </row>
    <row r="276" spans="9:23">
      <c r="I276" s="5">
        <v>91</v>
      </c>
      <c r="J276" s="11">
        <f>(J275+J277)/2</f>
        <v>1.5275E-2</v>
      </c>
      <c r="K276" s="11"/>
    </row>
    <row r="277" spans="9:23">
      <c r="I277" s="5">
        <v>92</v>
      </c>
      <c r="J277" s="11">
        <f>(J275+J280)/2</f>
        <v>1.6250000000000001E-2</v>
      </c>
      <c r="K277" s="11"/>
    </row>
    <row r="278" spans="9:23">
      <c r="I278" s="5">
        <v>93</v>
      </c>
      <c r="J278" s="11">
        <f>(J276+J280)/2</f>
        <v>1.6737500000000002E-2</v>
      </c>
      <c r="K278" s="11"/>
    </row>
    <row r="279" spans="9:23">
      <c r="I279" s="5">
        <v>94</v>
      </c>
      <c r="J279" s="11">
        <f>(J278+J280)/2</f>
        <v>1.7468750000000002E-2</v>
      </c>
      <c r="K279" s="11"/>
    </row>
    <row r="280" spans="9:23">
      <c r="I280" s="5">
        <v>95</v>
      </c>
      <c r="J280" s="11">
        <f>(J275+J285)/2</f>
        <v>1.8200000000000001E-2</v>
      </c>
      <c r="K280" s="11"/>
    </row>
    <row r="281" spans="9:23">
      <c r="I281" s="5">
        <v>96</v>
      </c>
      <c r="J281" s="11">
        <f>(J279+J283)/2</f>
        <v>1.8809375000000003E-2</v>
      </c>
      <c r="K281" s="11"/>
    </row>
    <row r="282" spans="9:23">
      <c r="I282" s="5">
        <v>97</v>
      </c>
      <c r="J282" s="11">
        <f>(J281+J283)/2</f>
        <v>1.9479687500000002E-2</v>
      </c>
      <c r="K282" s="11"/>
    </row>
    <row r="283" spans="9:23">
      <c r="I283" s="5">
        <v>98</v>
      </c>
      <c r="J283" s="11">
        <f>(J280+J285)/2</f>
        <v>2.0150000000000001E-2</v>
      </c>
      <c r="K283" s="11"/>
    </row>
    <row r="284" spans="9:23">
      <c r="I284" s="5">
        <v>99</v>
      </c>
      <c r="J284" s="11">
        <f>(J283+J285)/2</f>
        <v>2.1125000000000001E-2</v>
      </c>
      <c r="K284" s="11"/>
    </row>
    <row r="285" spans="9:23">
      <c r="I285" s="5">
        <v>100</v>
      </c>
      <c r="J285" s="11">
        <v>2.2100000000000002E-2</v>
      </c>
      <c r="K285" s="11"/>
    </row>
    <row r="286" spans="9:23">
      <c r="I286" s="5">
        <v>101</v>
      </c>
      <c r="J286" s="11">
        <f>(J285+J287)/2</f>
        <v>2.3137500000000002E-2</v>
      </c>
      <c r="K286" s="11"/>
    </row>
    <row r="287" spans="9:23">
      <c r="I287" s="5">
        <v>102</v>
      </c>
      <c r="J287" s="11">
        <f>(J285+J290)/2</f>
        <v>2.4175000000000002E-2</v>
      </c>
      <c r="K287" s="11"/>
    </row>
    <row r="288" spans="9:23">
      <c r="I288" s="5">
        <v>103</v>
      </c>
      <c r="J288" s="11">
        <f>(J286+J290)/2</f>
        <v>2.469375E-2</v>
      </c>
      <c r="K288" s="11"/>
    </row>
    <row r="289" spans="9:11">
      <c r="I289" s="5">
        <v>104</v>
      </c>
      <c r="J289" s="11">
        <f>(J288+J290)/2</f>
        <v>2.5471875000000001E-2</v>
      </c>
      <c r="K289" s="11"/>
    </row>
    <row r="290" spans="9:11">
      <c r="I290" s="5">
        <v>105</v>
      </c>
      <c r="J290" s="11">
        <f>(J285+J295)/2</f>
        <v>2.6250000000000002E-2</v>
      </c>
      <c r="K290" s="11"/>
    </row>
    <row r="291" spans="9:11">
      <c r="I291" s="5">
        <v>106</v>
      </c>
      <c r="J291" s="11">
        <f>(J289+J293)/2</f>
        <v>2.6898437500000004E-2</v>
      </c>
      <c r="K291" s="11"/>
    </row>
    <row r="292" spans="9:11">
      <c r="I292" s="5">
        <v>107</v>
      </c>
      <c r="J292" s="11">
        <f>(J291+J293)/2</f>
        <v>2.7611718750000003E-2</v>
      </c>
      <c r="K292" s="11"/>
    </row>
    <row r="293" spans="9:11">
      <c r="I293" s="5">
        <v>108</v>
      </c>
      <c r="J293" s="11">
        <f>(J290+J295)/2</f>
        <v>2.8325000000000003E-2</v>
      </c>
      <c r="K293" s="11"/>
    </row>
    <row r="294" spans="9:11">
      <c r="I294" s="5">
        <v>109</v>
      </c>
      <c r="J294" s="11">
        <f>(J293+J295)/2</f>
        <v>2.93625E-2</v>
      </c>
      <c r="K294" s="11"/>
    </row>
    <row r="295" spans="9:11">
      <c r="I295" s="5">
        <v>110</v>
      </c>
      <c r="J295" s="11">
        <v>3.04E-2</v>
      </c>
      <c r="K295" s="11"/>
    </row>
    <row r="296" spans="9:11">
      <c r="I296" s="5">
        <v>111</v>
      </c>
      <c r="J296" s="11">
        <f>(J295+J297)/2</f>
        <v>3.13125E-2</v>
      </c>
      <c r="K296" s="11"/>
    </row>
    <row r="297" spans="9:11">
      <c r="I297" s="5">
        <v>112</v>
      </c>
      <c r="J297" s="11">
        <f>(J295+J300)/2</f>
        <v>3.2224999999999997E-2</v>
      </c>
      <c r="K297" s="11"/>
    </row>
    <row r="298" spans="9:11">
      <c r="I298" s="5">
        <v>113</v>
      </c>
      <c r="J298" s="11">
        <f>(J296+J300)/2</f>
        <v>3.2681249999999995E-2</v>
      </c>
      <c r="K298" s="11"/>
    </row>
    <row r="299" spans="9:11">
      <c r="I299" s="5">
        <v>114</v>
      </c>
      <c r="J299" s="11">
        <f>(J298+J300)/2</f>
        <v>3.3365624999999996E-2</v>
      </c>
      <c r="K299" s="11"/>
    </row>
    <row r="300" spans="9:11">
      <c r="I300" s="5">
        <v>115</v>
      </c>
      <c r="J300" s="11">
        <f>(J295+J305)/2</f>
        <v>3.4049999999999997E-2</v>
      </c>
      <c r="K300" s="11"/>
    </row>
    <row r="301" spans="9:11">
      <c r="I301" s="5">
        <v>116</v>
      </c>
      <c r="J301" s="11">
        <f>(J299+J303)/2</f>
        <v>3.46203125E-2</v>
      </c>
      <c r="K301" s="11"/>
    </row>
    <row r="302" spans="9:11">
      <c r="I302" s="5">
        <v>117</v>
      </c>
      <c r="J302" s="11">
        <f>(J301+J303)/2</f>
        <v>3.5247656249999995E-2</v>
      </c>
      <c r="K302" s="11"/>
    </row>
    <row r="303" spans="9:11">
      <c r="I303" s="5">
        <v>118</v>
      </c>
      <c r="J303" s="11">
        <f>(J300+J305)/2</f>
        <v>3.5874999999999997E-2</v>
      </c>
      <c r="K303" s="11"/>
    </row>
    <row r="304" spans="9:11">
      <c r="I304" s="5">
        <v>119</v>
      </c>
      <c r="J304" s="11">
        <f>(J303+J305)/2</f>
        <v>3.6787500000000001E-2</v>
      </c>
      <c r="K304" s="11"/>
    </row>
    <row r="305" spans="9:11">
      <c r="I305" s="5">
        <v>120</v>
      </c>
      <c r="J305" s="11">
        <v>3.7699999999999997E-2</v>
      </c>
      <c r="K305" s="11"/>
    </row>
    <row r="306" spans="9:11">
      <c r="I306" s="5">
        <v>121</v>
      </c>
      <c r="J306" s="11">
        <f>(J305+J307)/2</f>
        <v>3.9162499999999996E-2</v>
      </c>
      <c r="K306" s="11"/>
    </row>
    <row r="307" spans="9:11">
      <c r="I307" s="5">
        <v>122</v>
      </c>
      <c r="J307" s="11">
        <f>(J305+J310)/2</f>
        <v>4.0624999999999994E-2</v>
      </c>
      <c r="K307" s="11"/>
    </row>
    <row r="308" spans="9:11">
      <c r="I308" s="5">
        <v>123</v>
      </c>
      <c r="J308" s="11">
        <f>(J306+J310)/2</f>
        <v>4.1356249999999997E-2</v>
      </c>
      <c r="K308" s="11"/>
    </row>
    <row r="309" spans="9:11">
      <c r="I309" s="5">
        <v>124</v>
      </c>
      <c r="J309" s="11">
        <f>(J308+J310)/2</f>
        <v>4.2453124999999994E-2</v>
      </c>
      <c r="K309" s="11"/>
    </row>
    <row r="310" spans="9:11">
      <c r="I310" s="5">
        <v>125</v>
      </c>
      <c r="J310" s="11">
        <f>(J305+J315)/2</f>
        <v>4.3549999999999998E-2</v>
      </c>
      <c r="K310" s="11"/>
    </row>
    <row r="311" spans="9:11">
      <c r="I311" s="5">
        <v>126</v>
      </c>
      <c r="J311" s="11">
        <f>(J309+J313)/2</f>
        <v>4.4464062499999998E-2</v>
      </c>
      <c r="K311" s="11"/>
    </row>
    <row r="312" spans="9:11">
      <c r="I312" s="5">
        <v>127</v>
      </c>
      <c r="J312" s="11">
        <f>(J311+J313)/2</f>
        <v>4.546953125E-2</v>
      </c>
      <c r="K312" s="11"/>
    </row>
    <row r="313" spans="9:11">
      <c r="I313" s="5">
        <v>128</v>
      </c>
      <c r="J313" s="11">
        <f>(J310+J315)/2</f>
        <v>4.6475000000000002E-2</v>
      </c>
      <c r="K313" s="11"/>
    </row>
    <row r="314" spans="9:11">
      <c r="I314" s="5">
        <v>129</v>
      </c>
      <c r="J314" s="11">
        <f>(J313+J315)/2</f>
        <v>4.7937500000000001E-2</v>
      </c>
      <c r="K314" s="11"/>
    </row>
    <row r="315" spans="9:11">
      <c r="I315" s="5">
        <v>130</v>
      </c>
      <c r="J315" s="11">
        <v>4.9399999999999999E-2</v>
      </c>
      <c r="K315" s="11"/>
    </row>
  </sheetData>
  <mergeCells count="6">
    <mergeCell ref="J157:V157"/>
    <mergeCell ref="AB165:AG165"/>
    <mergeCell ref="AA211:AF211"/>
    <mergeCell ref="J213:V213"/>
    <mergeCell ref="L4:P4"/>
    <mergeCell ref="R4:V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2:AR361"/>
  <sheetViews>
    <sheetView topLeftCell="A37" workbookViewId="0">
      <selection activeCell="F5" sqref="F5:K5"/>
    </sheetView>
  </sheetViews>
  <sheetFormatPr defaultColWidth="9" defaultRowHeight="14.4"/>
  <cols>
    <col min="1" max="1" width="9" style="3"/>
    <col min="2" max="2" width="19.8984375" style="3" customWidth="1"/>
    <col min="3" max="3" width="12.09765625" style="3" customWidth="1"/>
    <col min="4" max="5" width="9" style="3"/>
    <col min="6" max="6" width="12.5" style="3" customWidth="1"/>
    <col min="7" max="7" width="11.59765625" style="3" customWidth="1"/>
    <col min="8" max="8" width="9" style="3"/>
    <col min="9" max="9" width="12.19921875" style="3" customWidth="1"/>
    <col min="10" max="16384" width="9" style="3"/>
  </cols>
  <sheetData>
    <row r="2" spans="9:21">
      <c r="I2" s="295"/>
      <c r="J2" s="296"/>
      <c r="K2" s="497" t="s">
        <v>666</v>
      </c>
      <c r="L2" s="498"/>
      <c r="M2" s="498"/>
      <c r="N2" s="498"/>
      <c r="O2" s="498"/>
      <c r="P2" s="497" t="s">
        <v>667</v>
      </c>
      <c r="Q2" s="498"/>
      <c r="R2" s="498"/>
      <c r="S2" s="498"/>
      <c r="T2" s="498"/>
    </row>
    <row r="3" spans="9:21">
      <c r="I3" s="3" t="s">
        <v>640</v>
      </c>
      <c r="J3" s="4">
        <v>0</v>
      </c>
      <c r="K3" s="4">
        <v>20</v>
      </c>
      <c r="L3" s="4">
        <v>25</v>
      </c>
      <c r="M3" s="4">
        <v>30</v>
      </c>
      <c r="N3" s="4">
        <v>35</v>
      </c>
      <c r="O3" s="4">
        <v>40</v>
      </c>
      <c r="P3" s="4">
        <v>20</v>
      </c>
      <c r="Q3" s="4">
        <v>25</v>
      </c>
      <c r="R3" s="4">
        <v>30</v>
      </c>
      <c r="S3" s="4">
        <v>35</v>
      </c>
      <c r="T3" s="4">
        <v>40</v>
      </c>
      <c r="U3" s="3" t="s">
        <v>640</v>
      </c>
    </row>
    <row r="4" spans="9:21">
      <c r="J4" s="4">
        <v>1</v>
      </c>
      <c r="K4" s="4">
        <v>2</v>
      </c>
      <c r="L4" s="4">
        <v>3</v>
      </c>
      <c r="M4" s="4">
        <v>4</v>
      </c>
      <c r="N4" s="4">
        <v>5</v>
      </c>
      <c r="O4" s="4">
        <v>6</v>
      </c>
      <c r="P4" s="3">
        <v>7</v>
      </c>
      <c r="Q4" s="3">
        <v>8</v>
      </c>
      <c r="R4" s="4">
        <v>9</v>
      </c>
      <c r="S4" s="4">
        <v>10</v>
      </c>
      <c r="T4" s="3">
        <v>11</v>
      </c>
    </row>
    <row r="5" spans="9:21">
      <c r="I5" s="269">
        <v>-26</v>
      </c>
      <c r="J5" s="4"/>
      <c r="K5" s="4"/>
      <c r="L5" s="4"/>
      <c r="M5" s="4"/>
      <c r="N5" s="4"/>
      <c r="O5" s="270">
        <v>1072.9000000000001</v>
      </c>
      <c r="R5" s="4"/>
      <c r="S5" s="4"/>
      <c r="U5" s="269">
        <v>-26</v>
      </c>
    </row>
    <row r="6" spans="9:21">
      <c r="I6" s="269">
        <v>-25</v>
      </c>
      <c r="J6" s="4"/>
      <c r="K6" s="4"/>
      <c r="L6" s="4"/>
      <c r="M6" s="4"/>
      <c r="N6" s="4"/>
      <c r="O6" s="270">
        <v>1072.7</v>
      </c>
      <c r="R6" s="4"/>
      <c r="S6" s="4"/>
      <c r="U6" s="269">
        <v>-25</v>
      </c>
    </row>
    <row r="7" spans="9:21">
      <c r="I7" s="246">
        <v>-24</v>
      </c>
      <c r="J7" s="248"/>
      <c r="K7" s="248"/>
      <c r="L7" s="248"/>
      <c r="M7" s="248"/>
      <c r="N7" s="248"/>
      <c r="O7" s="248">
        <v>1072.5</v>
      </c>
      <c r="P7" s="248"/>
      <c r="Q7" s="248"/>
      <c r="R7" s="248"/>
      <c r="S7" s="248"/>
      <c r="U7" s="246">
        <v>-24</v>
      </c>
    </row>
    <row r="8" spans="9:21">
      <c r="I8" s="246">
        <v>-23</v>
      </c>
      <c r="J8" s="248"/>
      <c r="K8" s="248"/>
      <c r="L8" s="248"/>
      <c r="M8" s="248"/>
      <c r="N8" s="248"/>
      <c r="O8" s="248">
        <v>1072.3</v>
      </c>
      <c r="P8" s="248"/>
      <c r="Q8" s="248"/>
      <c r="R8" s="248"/>
      <c r="S8" s="248"/>
      <c r="U8" s="246">
        <v>-23</v>
      </c>
    </row>
    <row r="9" spans="9:21">
      <c r="I9" s="246">
        <v>-22</v>
      </c>
      <c r="J9" s="248"/>
      <c r="K9" s="248"/>
      <c r="L9" s="248"/>
      <c r="M9" s="248"/>
      <c r="N9" s="248">
        <v>1064.2</v>
      </c>
      <c r="O9" s="248">
        <v>1072.0999999999999</v>
      </c>
      <c r="P9" s="248"/>
      <c r="Q9" s="248"/>
      <c r="R9" s="248"/>
      <c r="S9" s="248"/>
      <c r="U9" s="246">
        <v>-22</v>
      </c>
    </row>
    <row r="10" spans="9:21">
      <c r="I10" s="246">
        <v>-21</v>
      </c>
      <c r="J10" s="248"/>
      <c r="K10" s="248"/>
      <c r="L10" s="248"/>
      <c r="M10" s="248"/>
      <c r="N10" s="248">
        <v>1064</v>
      </c>
      <c r="O10" s="248">
        <v>1071.9000000000001</v>
      </c>
      <c r="P10" s="248"/>
      <c r="Q10" s="248"/>
      <c r="R10" s="248"/>
      <c r="S10" s="248"/>
      <c r="T10" s="248">
        <v>1057.5999999999999</v>
      </c>
      <c r="U10" s="246">
        <v>-21</v>
      </c>
    </row>
    <row r="11" spans="9:21">
      <c r="I11" s="246">
        <v>-20</v>
      </c>
      <c r="J11" s="248"/>
      <c r="K11" s="248"/>
      <c r="L11" s="248"/>
      <c r="M11" s="248"/>
      <c r="N11" s="248">
        <v>1063.8</v>
      </c>
      <c r="O11" s="248">
        <v>1071.7</v>
      </c>
      <c r="P11" s="248"/>
      <c r="Q11" s="248"/>
      <c r="R11" s="248"/>
      <c r="S11" s="248"/>
      <c r="T11" s="248">
        <v>1057.0999999999999</v>
      </c>
      <c r="U11" s="246">
        <v>-20</v>
      </c>
    </row>
    <row r="12" spans="9:21">
      <c r="I12" s="246">
        <v>-19</v>
      </c>
      <c r="J12" s="248"/>
      <c r="K12" s="248"/>
      <c r="L12" s="248"/>
      <c r="M12" s="248"/>
      <c r="N12" s="248">
        <v>1063.5</v>
      </c>
      <c r="O12" s="248">
        <v>1071.4000000000001</v>
      </c>
      <c r="P12" s="248"/>
      <c r="Q12" s="248"/>
      <c r="R12" s="248"/>
      <c r="S12" s="248"/>
      <c r="T12" s="248">
        <v>1056.5999999999999</v>
      </c>
      <c r="U12" s="246">
        <v>-19</v>
      </c>
    </row>
    <row r="13" spans="9:21">
      <c r="I13" s="246">
        <v>-18</v>
      </c>
      <c r="J13" s="248"/>
      <c r="K13" s="248"/>
      <c r="L13" s="248"/>
      <c r="M13" s="248"/>
      <c r="N13" s="248">
        <v>1063.3</v>
      </c>
      <c r="O13" s="248">
        <v>1071.0999999999999</v>
      </c>
      <c r="P13" s="248"/>
      <c r="Q13" s="248"/>
      <c r="R13" s="248"/>
      <c r="S13" s="248"/>
      <c r="T13" s="248">
        <v>1056.0999999999999</v>
      </c>
      <c r="U13" s="246">
        <v>-18</v>
      </c>
    </row>
    <row r="14" spans="9:21">
      <c r="I14" s="246">
        <v>-17</v>
      </c>
      <c r="J14" s="248"/>
      <c r="K14" s="248"/>
      <c r="L14" s="248"/>
      <c r="M14" s="248"/>
      <c r="N14" s="248">
        <v>1063.0999999999999</v>
      </c>
      <c r="O14" s="248">
        <v>1070.8</v>
      </c>
      <c r="P14" s="248"/>
      <c r="Q14" s="248"/>
      <c r="R14" s="248"/>
      <c r="S14" s="248">
        <v>1051.5</v>
      </c>
      <c r="T14" s="248">
        <v>1055.5999999999999</v>
      </c>
      <c r="U14" s="246">
        <v>-17</v>
      </c>
    </row>
    <row r="15" spans="9:21">
      <c r="I15" s="246">
        <v>-16</v>
      </c>
      <c r="J15" s="248"/>
      <c r="K15" s="248"/>
      <c r="L15" s="248"/>
      <c r="M15" s="248">
        <v>1051.9000000000001</v>
      </c>
      <c r="N15" s="248">
        <v>1062.8</v>
      </c>
      <c r="O15" s="248">
        <v>1070.5</v>
      </c>
      <c r="P15" s="248"/>
      <c r="Q15" s="248"/>
      <c r="R15" s="248"/>
      <c r="S15" s="248">
        <v>1051.0999999999999</v>
      </c>
      <c r="T15" s="248">
        <v>1055.0999999999999</v>
      </c>
      <c r="U15" s="246">
        <v>-16</v>
      </c>
    </row>
    <row r="16" spans="9:21">
      <c r="I16" s="246">
        <v>-15</v>
      </c>
      <c r="J16" s="248"/>
      <c r="K16" s="248"/>
      <c r="L16" s="248"/>
      <c r="M16" s="248">
        <v>1051.7</v>
      </c>
      <c r="N16" s="248">
        <v>1062.5999999999999</v>
      </c>
      <c r="O16" s="248">
        <v>1070.2</v>
      </c>
      <c r="P16" s="248"/>
      <c r="Q16" s="248"/>
      <c r="R16" s="248"/>
      <c r="S16" s="248">
        <v>1050.5999999999999</v>
      </c>
      <c r="T16" s="248">
        <v>1054.5999999999999</v>
      </c>
      <c r="U16" s="246">
        <v>-15</v>
      </c>
    </row>
    <row r="17" spans="2:21">
      <c r="I17" s="246">
        <v>-14</v>
      </c>
      <c r="J17" s="248"/>
      <c r="K17" s="248"/>
      <c r="L17" s="248"/>
      <c r="M17" s="248">
        <v>1051.5</v>
      </c>
      <c r="N17" s="248">
        <v>1062.3</v>
      </c>
      <c r="O17" s="248">
        <v>1069.9000000000001</v>
      </c>
      <c r="P17" s="248"/>
      <c r="Q17" s="248"/>
      <c r="R17" s="248">
        <v>1045.8</v>
      </c>
      <c r="S17" s="248">
        <v>1050.0999999999999</v>
      </c>
      <c r="T17" s="248">
        <v>1054.0999999999999</v>
      </c>
      <c r="U17" s="246">
        <v>-14</v>
      </c>
    </row>
    <row r="18" spans="2:21">
      <c r="I18" s="246">
        <v>-13</v>
      </c>
      <c r="J18" s="248"/>
      <c r="K18" s="248"/>
      <c r="L18" s="248"/>
      <c r="M18" s="248">
        <v>1051.3</v>
      </c>
      <c r="N18" s="248">
        <v>1062.0999999999999</v>
      </c>
      <c r="O18" s="248">
        <v>1069.5999999999999</v>
      </c>
      <c r="P18" s="248"/>
      <c r="Q18" s="248"/>
      <c r="R18" s="248">
        <v>1045.5999999999999</v>
      </c>
      <c r="S18" s="248">
        <v>1049.5999999999999</v>
      </c>
      <c r="T18" s="248">
        <v>1053.5999999999999</v>
      </c>
      <c r="U18" s="246">
        <v>-13</v>
      </c>
    </row>
    <row r="19" spans="2:21">
      <c r="I19" s="246">
        <v>-12</v>
      </c>
      <c r="J19" s="248"/>
      <c r="K19" s="248"/>
      <c r="L19" s="248">
        <v>1043.7</v>
      </c>
      <c r="M19" s="248">
        <v>1051.0999999999999</v>
      </c>
      <c r="N19" s="248">
        <v>1061.8</v>
      </c>
      <c r="O19" s="248">
        <v>1069.3</v>
      </c>
      <c r="P19" s="248"/>
      <c r="Q19" s="248"/>
      <c r="R19" s="248">
        <v>1045.0999999999999</v>
      </c>
      <c r="S19" s="248">
        <v>1049.2</v>
      </c>
      <c r="T19" s="248">
        <v>1053.0999999999999</v>
      </c>
      <c r="U19" s="246">
        <v>-12</v>
      </c>
    </row>
    <row r="20" spans="2:21">
      <c r="I20" s="246">
        <v>-11</v>
      </c>
      <c r="J20" s="248"/>
      <c r="K20" s="248"/>
      <c r="L20" s="248">
        <v>1043.5</v>
      </c>
      <c r="M20" s="248">
        <v>1050.9000000000001</v>
      </c>
      <c r="N20" s="248">
        <v>1061.5999999999999</v>
      </c>
      <c r="O20" s="248">
        <v>1069</v>
      </c>
      <c r="P20" s="248"/>
      <c r="Q20" s="248"/>
      <c r="R20" s="248">
        <v>1044.7</v>
      </c>
      <c r="S20" s="248">
        <v>1048.7</v>
      </c>
      <c r="T20" s="248">
        <v>1052.5999999999999</v>
      </c>
      <c r="U20" s="246">
        <v>-11</v>
      </c>
    </row>
    <row r="21" spans="2:21">
      <c r="I21" s="246">
        <v>-10</v>
      </c>
      <c r="J21" s="248"/>
      <c r="K21" s="248"/>
      <c r="L21" s="248">
        <v>1043.3</v>
      </c>
      <c r="M21" s="248">
        <v>1050.7</v>
      </c>
      <c r="N21" s="248">
        <v>1061.4000000000001</v>
      </c>
      <c r="O21" s="248">
        <v>1068.7</v>
      </c>
      <c r="P21" s="248"/>
      <c r="Q21" s="248">
        <v>1039.4000000000001</v>
      </c>
      <c r="R21" s="248">
        <v>1044.3</v>
      </c>
      <c r="S21" s="248">
        <v>1048.2</v>
      </c>
      <c r="T21" s="248">
        <v>1052.0999999999999</v>
      </c>
      <c r="U21" s="246">
        <v>-10</v>
      </c>
    </row>
    <row r="22" spans="2:21">
      <c r="I22" s="246">
        <v>-9</v>
      </c>
      <c r="J22" s="248"/>
      <c r="K22" s="248">
        <v>1034.4000000000001</v>
      </c>
      <c r="L22" s="248">
        <v>1043.0999999999999</v>
      </c>
      <c r="M22" s="248">
        <v>1050.5</v>
      </c>
      <c r="N22" s="248">
        <v>1061</v>
      </c>
      <c r="O22" s="248">
        <v>1068.3</v>
      </c>
      <c r="P22" s="248"/>
      <c r="Q22" s="248">
        <v>1039</v>
      </c>
      <c r="R22" s="248">
        <v>1043.8</v>
      </c>
      <c r="S22" s="248">
        <v>1047.7</v>
      </c>
      <c r="T22" s="248">
        <v>1051.5999999999999</v>
      </c>
      <c r="U22" s="246">
        <v>-9</v>
      </c>
    </row>
    <row r="23" spans="2:21">
      <c r="I23" s="246">
        <v>-8</v>
      </c>
      <c r="J23" s="248"/>
      <c r="K23" s="248">
        <v>1034.2</v>
      </c>
      <c r="L23" s="248">
        <v>1042.9000000000001</v>
      </c>
      <c r="M23" s="248">
        <v>1050.3</v>
      </c>
      <c r="N23" s="248">
        <v>1060.7</v>
      </c>
      <c r="O23" s="248">
        <v>1067.9000000000001</v>
      </c>
      <c r="P23" s="248">
        <v>1033</v>
      </c>
      <c r="Q23" s="248">
        <v>1038.5</v>
      </c>
      <c r="R23" s="248">
        <v>1043.3</v>
      </c>
      <c r="S23" s="248">
        <v>1047.2</v>
      </c>
      <c r="T23" s="248">
        <v>1051</v>
      </c>
      <c r="U23" s="246">
        <v>-8</v>
      </c>
    </row>
    <row r="24" spans="2:21">
      <c r="I24" s="246">
        <v>-7</v>
      </c>
      <c r="J24" s="248"/>
      <c r="K24" s="248">
        <v>1034</v>
      </c>
      <c r="L24" s="248">
        <v>1042.7</v>
      </c>
      <c r="M24" s="248">
        <v>1050</v>
      </c>
      <c r="N24" s="248">
        <v>1060.3</v>
      </c>
      <c r="O24" s="248">
        <v>1067.5</v>
      </c>
      <c r="P24" s="248">
        <v>1032.7</v>
      </c>
      <c r="Q24" s="248">
        <v>1038.0999999999999</v>
      </c>
      <c r="R24" s="248">
        <v>1042.9000000000001</v>
      </c>
      <c r="S24" s="248">
        <v>1046.8</v>
      </c>
      <c r="T24" s="248">
        <v>1050.5</v>
      </c>
      <c r="U24" s="246">
        <v>-7</v>
      </c>
    </row>
    <row r="25" spans="2:21">
      <c r="I25" s="246">
        <v>-6</v>
      </c>
      <c r="J25" s="248"/>
      <c r="K25" s="248">
        <v>1033.8</v>
      </c>
      <c r="L25" s="248">
        <v>1042.5</v>
      </c>
      <c r="M25" s="248">
        <v>1049.8</v>
      </c>
      <c r="N25" s="248">
        <v>1060</v>
      </c>
      <c r="O25" s="248">
        <v>1067.0999999999999</v>
      </c>
      <c r="P25" s="248">
        <v>1032.3</v>
      </c>
      <c r="Q25" s="248">
        <v>1037.7</v>
      </c>
      <c r="R25" s="248">
        <v>1042.4000000000001</v>
      </c>
      <c r="S25" s="248">
        <v>1046.3</v>
      </c>
      <c r="T25" s="248">
        <v>1050</v>
      </c>
      <c r="U25" s="246">
        <v>-6</v>
      </c>
    </row>
    <row r="26" spans="2:21">
      <c r="I26" s="246">
        <v>-5</v>
      </c>
      <c r="J26" s="248"/>
      <c r="K26" s="248">
        <v>1033.5999999999999</v>
      </c>
      <c r="L26" s="248">
        <v>1042.3</v>
      </c>
      <c r="M26" s="248">
        <v>1049.5999999999999</v>
      </c>
      <c r="N26" s="248">
        <v>1059.7</v>
      </c>
      <c r="O26" s="248">
        <v>1066.7</v>
      </c>
      <c r="P26" s="248">
        <v>1031.9000000000001</v>
      </c>
      <c r="Q26" s="248">
        <v>1037.3</v>
      </c>
      <c r="R26" s="248">
        <v>1041.9000000000001</v>
      </c>
      <c r="S26" s="248">
        <v>1045.8</v>
      </c>
      <c r="T26" s="248">
        <v>1049.4000000000001</v>
      </c>
      <c r="U26" s="246">
        <v>-5</v>
      </c>
    </row>
    <row r="27" spans="2:21" ht="15.6">
      <c r="B27" s="9" t="s">
        <v>736</v>
      </c>
      <c r="C27" s="3">
        <f>'NW do inst. solarnej'!H256</f>
        <v>120</v>
      </c>
      <c r="I27" s="246">
        <v>-4</v>
      </c>
      <c r="J27" s="248"/>
      <c r="K27" s="248">
        <v>1033.4000000000001</v>
      </c>
      <c r="L27" s="248">
        <v>1042.0999999999999</v>
      </c>
      <c r="M27" s="248">
        <v>1049.4000000000001</v>
      </c>
      <c r="N27" s="248">
        <v>1059.3</v>
      </c>
      <c r="O27" s="248">
        <v>1066.3</v>
      </c>
      <c r="P27" s="248">
        <v>1031.5999999999999</v>
      </c>
      <c r="Q27" s="248">
        <v>1036.9000000000001</v>
      </c>
      <c r="R27" s="248">
        <v>1041.5</v>
      </c>
      <c r="S27" s="248">
        <v>1045.3</v>
      </c>
      <c r="T27" s="248">
        <v>1048.9000000000001</v>
      </c>
      <c r="U27" s="246">
        <v>-4</v>
      </c>
    </row>
    <row r="28" spans="2:21" ht="15.6">
      <c r="B28" s="9" t="s">
        <v>735</v>
      </c>
      <c r="C28" s="3">
        <v>70</v>
      </c>
      <c r="I28" s="246">
        <v>-3</v>
      </c>
      <c r="J28" s="248"/>
      <c r="K28" s="248">
        <v>1033.2</v>
      </c>
      <c r="L28" s="248">
        <v>1041.9000000000001</v>
      </c>
      <c r="M28" s="248">
        <v>1049.0999999999999</v>
      </c>
      <c r="N28" s="248">
        <v>1059</v>
      </c>
      <c r="O28" s="248">
        <v>1065.9000000000001</v>
      </c>
      <c r="P28" s="248">
        <v>1031.2</v>
      </c>
      <c r="Q28" s="248">
        <v>1036.4000000000001</v>
      </c>
      <c r="R28" s="248">
        <v>1041</v>
      </c>
      <c r="S28" s="248">
        <v>1044.8</v>
      </c>
      <c r="T28" s="248">
        <v>1048.4000000000001</v>
      </c>
      <c r="U28" s="246">
        <v>-3</v>
      </c>
    </row>
    <row r="29" spans="2:21">
      <c r="I29" s="246">
        <v>-2</v>
      </c>
      <c r="J29" s="248"/>
      <c r="K29" s="248">
        <v>1033</v>
      </c>
      <c r="L29" s="248">
        <v>1041.7</v>
      </c>
      <c r="M29" s="248">
        <v>1048.9000000000001</v>
      </c>
      <c r="N29" s="248">
        <v>1058.5999999999999</v>
      </c>
      <c r="O29" s="248">
        <v>1065.5</v>
      </c>
      <c r="P29" s="248">
        <v>1030.8</v>
      </c>
      <c r="Q29" s="248">
        <v>1036</v>
      </c>
      <c r="R29" s="248">
        <v>1040.5999999999999</v>
      </c>
      <c r="S29" s="248">
        <v>1044.3</v>
      </c>
      <c r="T29" s="248">
        <v>1047.9000000000001</v>
      </c>
      <c r="U29" s="246">
        <v>-2</v>
      </c>
    </row>
    <row r="30" spans="2:21" ht="15.6">
      <c r="B30" s="249" t="s">
        <v>733</v>
      </c>
      <c r="C30" s="3">
        <f>INDEX(J5:T181,MATCH(C28,I5:I181,0),MATCH(C48,J4:T4,0))</f>
        <v>1000.9</v>
      </c>
      <c r="F30" s="249" t="s">
        <v>642</v>
      </c>
      <c r="G30" s="3">
        <f>F58</f>
        <v>1046.8</v>
      </c>
      <c r="I30" s="246">
        <v>-1</v>
      </c>
      <c r="J30" s="248"/>
      <c r="K30" s="248">
        <v>1032.8</v>
      </c>
      <c r="L30" s="248">
        <v>1041.5</v>
      </c>
      <c r="M30" s="248">
        <v>1048.7</v>
      </c>
      <c r="N30" s="248">
        <v>1058.3</v>
      </c>
      <c r="O30" s="248">
        <v>1065.0999999999999</v>
      </c>
      <c r="P30" s="248">
        <v>1030.4000000000001</v>
      </c>
      <c r="Q30" s="248">
        <v>1035.5999999999999</v>
      </c>
      <c r="R30" s="248">
        <v>1040.0999999999999</v>
      </c>
      <c r="S30" s="248">
        <v>1043.8</v>
      </c>
      <c r="T30" s="248">
        <v>1047.3</v>
      </c>
      <c r="U30" s="246">
        <v>-1</v>
      </c>
    </row>
    <row r="31" spans="2:21" ht="15.6">
      <c r="B31" s="249" t="s">
        <v>734</v>
      </c>
      <c r="C31" s="3">
        <f>INDEX(J5:T181,MATCH(C27,I5:I181,0),MATCH(C48,J4:T4,0))</f>
        <v>958.5</v>
      </c>
      <c r="F31" s="249" t="s">
        <v>649</v>
      </c>
      <c r="G31" s="3">
        <f>INDEX(J5:T181,MATCH(G48,I5:I181,0),MATCH(C48,J4:T4,0))</f>
        <v>1041.2</v>
      </c>
      <c r="I31" s="246">
        <v>0</v>
      </c>
      <c r="J31" s="248">
        <v>999.9</v>
      </c>
      <c r="K31" s="248">
        <v>1032.5999999999999</v>
      </c>
      <c r="L31" s="248">
        <v>1041.3</v>
      </c>
      <c r="M31" s="248">
        <v>1048.5</v>
      </c>
      <c r="N31" s="248">
        <v>1057.9000000000001</v>
      </c>
      <c r="O31" s="248">
        <v>1064.7</v>
      </c>
      <c r="P31" s="248">
        <v>1030</v>
      </c>
      <c r="Q31" s="248">
        <v>1035.2</v>
      </c>
      <c r="R31" s="248">
        <v>1039.5999999999999</v>
      </c>
      <c r="S31" s="248">
        <v>1043.3</v>
      </c>
      <c r="T31" s="248">
        <v>1046.8</v>
      </c>
      <c r="U31" s="246">
        <v>0</v>
      </c>
    </row>
    <row r="32" spans="2:21" ht="15.6">
      <c r="B32" s="9" t="s">
        <v>645</v>
      </c>
      <c r="C32" s="3">
        <f>1/C30</f>
        <v>9.9910080927165549E-4</v>
      </c>
      <c r="F32" s="3" t="s">
        <v>645</v>
      </c>
      <c r="G32" s="3">
        <f>1/G30</f>
        <v>9.5529231944975165E-4</v>
      </c>
      <c r="I32" s="5">
        <v>1</v>
      </c>
      <c r="J32" s="247">
        <v>999.9</v>
      </c>
      <c r="K32" s="247">
        <v>1032.4000000000001</v>
      </c>
      <c r="L32" s="248">
        <v>1041</v>
      </c>
      <c r="M32" s="247">
        <v>1048.0999999999999</v>
      </c>
      <c r="N32" s="248">
        <v>1057.5</v>
      </c>
      <c r="O32" s="247">
        <v>1064.2</v>
      </c>
      <c r="P32" s="248">
        <v>1029.5999999999999</v>
      </c>
      <c r="Q32" s="248">
        <v>1034.7</v>
      </c>
      <c r="R32" s="247">
        <v>1039.0999999999999</v>
      </c>
      <c r="S32" s="248">
        <v>1042.7</v>
      </c>
      <c r="T32" s="248">
        <v>1046.2</v>
      </c>
      <c r="U32" s="5">
        <v>1</v>
      </c>
    </row>
    <row r="33" spans="2:21" ht="15.6">
      <c r="B33" s="9" t="s">
        <v>650</v>
      </c>
      <c r="C33" s="3">
        <f>1/C31</f>
        <v>1.0432968179447052E-3</v>
      </c>
      <c r="F33" s="3" t="s">
        <v>650</v>
      </c>
      <c r="G33" s="3">
        <f>1/G31</f>
        <v>9.6043027276219745E-4</v>
      </c>
      <c r="I33" s="5">
        <v>2</v>
      </c>
      <c r="J33" s="247">
        <v>999.9</v>
      </c>
      <c r="K33" s="247">
        <v>1032.3</v>
      </c>
      <c r="L33" s="248">
        <v>1040.8</v>
      </c>
      <c r="M33" s="247">
        <v>1047.8</v>
      </c>
      <c r="N33" s="248">
        <v>1057.0999999999999</v>
      </c>
      <c r="O33" s="247">
        <v>1063.8</v>
      </c>
      <c r="P33" s="247">
        <v>1029.0999999999999</v>
      </c>
      <c r="Q33" s="248">
        <v>1034.3</v>
      </c>
      <c r="R33" s="247">
        <v>1038.5999999999999</v>
      </c>
      <c r="S33" s="248">
        <v>1042.2</v>
      </c>
      <c r="T33" s="248">
        <v>1045.7</v>
      </c>
      <c r="U33" s="5">
        <v>2</v>
      </c>
    </row>
    <row r="34" spans="2:21">
      <c r="B34" s="250" t="s">
        <v>646</v>
      </c>
      <c r="C34" s="251">
        <f>(C33-C32)</f>
        <v>4.4196008673049727E-5</v>
      </c>
      <c r="F34" s="250" t="s">
        <v>646</v>
      </c>
      <c r="G34" s="251">
        <f>(G33-G32)</f>
        <v>5.1379533124458043E-6</v>
      </c>
      <c r="I34" s="5">
        <v>3</v>
      </c>
      <c r="J34" s="247">
        <v>1000</v>
      </c>
      <c r="K34" s="247">
        <v>1032.0999999999999</v>
      </c>
      <c r="L34" s="248">
        <v>1040.5</v>
      </c>
      <c r="M34" s="247">
        <v>1047.5</v>
      </c>
      <c r="N34" s="248">
        <v>1056.7</v>
      </c>
      <c r="O34" s="247">
        <v>1063.4000000000001</v>
      </c>
      <c r="P34" s="247">
        <v>1028.7</v>
      </c>
      <c r="Q34" s="248">
        <v>1033.8</v>
      </c>
      <c r="R34" s="247">
        <v>1038.0999999999999</v>
      </c>
      <c r="S34" s="248">
        <v>1041.7</v>
      </c>
      <c r="T34" s="248">
        <v>1045.0999999999999</v>
      </c>
      <c r="U34" s="5">
        <v>3</v>
      </c>
    </row>
    <row r="35" spans="2:21">
      <c r="B35" s="9" t="s">
        <v>737</v>
      </c>
      <c r="C35" s="3">
        <f>C30*C34</f>
        <v>4.4235785080855468E-2</v>
      </c>
      <c r="F35" s="9" t="s">
        <v>59</v>
      </c>
      <c r="G35" s="3">
        <f>G31*G34</f>
        <v>5.3496369889185717E-3</v>
      </c>
      <c r="I35" s="5">
        <v>4</v>
      </c>
      <c r="J35" s="247">
        <v>1000</v>
      </c>
      <c r="K35" s="247">
        <v>1031.9000000000001</v>
      </c>
      <c r="L35" s="248">
        <v>1040.3</v>
      </c>
      <c r="M35" s="247">
        <v>1047.0999999999999</v>
      </c>
      <c r="N35" s="248">
        <v>1056.3</v>
      </c>
      <c r="O35" s="247">
        <v>1062.9000000000001</v>
      </c>
      <c r="P35" s="247">
        <v>1028.3</v>
      </c>
      <c r="Q35" s="248">
        <v>1033.3</v>
      </c>
      <c r="R35" s="247">
        <v>1037.5999999999999</v>
      </c>
      <c r="S35" s="248">
        <v>1041.2</v>
      </c>
      <c r="T35" s="248">
        <v>1044.5999999999999</v>
      </c>
      <c r="U35" s="5">
        <v>4</v>
      </c>
    </row>
    <row r="36" spans="2:21">
      <c r="F36" s="9" t="s">
        <v>651</v>
      </c>
      <c r="G36" s="10">
        <f>'NW do inst. solarnej'!K44*'5'!G35</f>
        <v>1.6048910966755714E-3</v>
      </c>
      <c r="I36" s="5">
        <v>5</v>
      </c>
      <c r="J36" s="247">
        <v>1000</v>
      </c>
      <c r="K36" s="247">
        <v>1031.7</v>
      </c>
      <c r="L36" s="248">
        <v>1040</v>
      </c>
      <c r="M36" s="247">
        <v>1046.8</v>
      </c>
      <c r="N36" s="248">
        <v>1055.9000000000001</v>
      </c>
      <c r="O36" s="247">
        <v>1062.5</v>
      </c>
      <c r="P36" s="247">
        <v>1027.9000000000001</v>
      </c>
      <c r="Q36" s="248">
        <v>1032.9000000000001</v>
      </c>
      <c r="R36" s="247">
        <v>1037.0999999999999</v>
      </c>
      <c r="S36" s="248">
        <v>1040.5999999999999</v>
      </c>
      <c r="T36" s="248">
        <v>1044</v>
      </c>
      <c r="U36" s="5">
        <v>5</v>
      </c>
    </row>
    <row r="37" spans="2:21">
      <c r="F37" s="9"/>
      <c r="G37" s="15"/>
      <c r="I37" s="5">
        <v>6</v>
      </c>
      <c r="J37" s="247">
        <v>999.9</v>
      </c>
      <c r="K37" s="247">
        <v>1031.5</v>
      </c>
      <c r="L37" s="248">
        <v>1039.7</v>
      </c>
      <c r="M37" s="247">
        <v>1046.5</v>
      </c>
      <c r="N37" s="248">
        <v>1055.5</v>
      </c>
      <c r="O37" s="247">
        <v>1062.0999999999999</v>
      </c>
      <c r="P37" s="247">
        <v>1027.4000000000001</v>
      </c>
      <c r="Q37" s="248">
        <v>1032.4000000000001</v>
      </c>
      <c r="R37" s="247">
        <v>1036.5999999999999</v>
      </c>
      <c r="S37" s="248">
        <v>1040.0999999999999</v>
      </c>
      <c r="T37" s="248">
        <v>1043.5</v>
      </c>
      <c r="U37" s="5">
        <v>6</v>
      </c>
    </row>
    <row r="38" spans="2:21" ht="15.6">
      <c r="F38" s="9" t="s">
        <v>152</v>
      </c>
      <c r="G38" s="10">
        <f>'NW do inst. solarnej'!E91+'5'!G36</f>
        <v>3.0016048910966755</v>
      </c>
      <c r="I38" s="5">
        <v>7</v>
      </c>
      <c r="J38" s="247">
        <v>999.9</v>
      </c>
      <c r="K38" s="247">
        <v>1031.3</v>
      </c>
      <c r="L38" s="248">
        <v>1039.5</v>
      </c>
      <c r="M38" s="247">
        <v>1046.2</v>
      </c>
      <c r="N38" s="248">
        <v>1055.0999999999999</v>
      </c>
      <c r="O38" s="247">
        <v>1061.5999999999999</v>
      </c>
      <c r="P38" s="247">
        <v>1027</v>
      </c>
      <c r="Q38" s="248">
        <v>1031.9000000000001</v>
      </c>
      <c r="R38" s="247">
        <v>1036.0999999999999</v>
      </c>
      <c r="S38" s="248">
        <v>1039.5999999999999</v>
      </c>
      <c r="T38" s="248">
        <v>1042.9000000000001</v>
      </c>
      <c r="U38" s="5">
        <v>7</v>
      </c>
    </row>
    <row r="39" spans="2:21">
      <c r="I39" s="5">
        <v>8</v>
      </c>
      <c r="J39" s="247">
        <v>999.8</v>
      </c>
      <c r="K39" s="247">
        <v>1031.2</v>
      </c>
      <c r="L39" s="248">
        <v>1039.2</v>
      </c>
      <c r="M39" s="247">
        <v>1045.8</v>
      </c>
      <c r="N39" s="248">
        <v>1054.7</v>
      </c>
      <c r="O39" s="247">
        <v>1061.2</v>
      </c>
      <c r="P39" s="247">
        <v>1026.5999999999999</v>
      </c>
      <c r="Q39" s="248">
        <v>1031.5</v>
      </c>
      <c r="R39" s="247">
        <v>1035.5999999999999</v>
      </c>
      <c r="S39" s="248">
        <v>1039.0999999999999</v>
      </c>
      <c r="T39" s="248">
        <v>1042.4000000000001</v>
      </c>
      <c r="U39" s="5">
        <v>8</v>
      </c>
    </row>
    <row r="40" spans="2:21">
      <c r="F40" s="9" t="s">
        <v>652</v>
      </c>
      <c r="G40" s="252">
        <f>(('NW do inst. solarnej'!E216*('NW do inst. solarnej'!E217+1))/('NW do inst. solarnej'!E216-'5'!G38))-1</f>
        <v>1.9394098230055707</v>
      </c>
      <c r="I40" s="5">
        <v>9</v>
      </c>
      <c r="J40" s="247">
        <v>999.8</v>
      </c>
      <c r="K40" s="247">
        <v>1031</v>
      </c>
      <c r="L40" s="248">
        <v>1039</v>
      </c>
      <c r="M40" s="247">
        <v>1045.5</v>
      </c>
      <c r="N40" s="248">
        <v>1054.3</v>
      </c>
      <c r="O40" s="247">
        <v>1060.8</v>
      </c>
      <c r="P40" s="247">
        <v>1026.2</v>
      </c>
      <c r="Q40" s="248">
        <v>1031</v>
      </c>
      <c r="R40" s="247">
        <v>1035.0999999999999</v>
      </c>
      <c r="S40" s="248">
        <v>1038.5</v>
      </c>
      <c r="T40" s="248">
        <v>1041.8</v>
      </c>
      <c r="U40" s="5">
        <v>9</v>
      </c>
    </row>
    <row r="41" spans="2:21">
      <c r="I41" s="5">
        <v>10</v>
      </c>
      <c r="J41" s="247">
        <v>999.7</v>
      </c>
      <c r="K41" s="247">
        <v>1030.8</v>
      </c>
      <c r="L41" s="248">
        <v>1038.7</v>
      </c>
      <c r="M41" s="247">
        <v>1045.2</v>
      </c>
      <c r="N41" s="248">
        <v>1053.9000000000001</v>
      </c>
      <c r="O41" s="247">
        <v>1060.3</v>
      </c>
      <c r="P41" s="247">
        <v>1025.7</v>
      </c>
      <c r="Q41" s="248">
        <v>1030.5</v>
      </c>
      <c r="R41" s="247">
        <v>1034.7</v>
      </c>
      <c r="S41" s="248">
        <v>1038</v>
      </c>
      <c r="T41" s="248">
        <v>1041.2</v>
      </c>
      <c r="U41" s="5">
        <v>10</v>
      </c>
    </row>
    <row r="42" spans="2:21">
      <c r="I42" s="5">
        <v>11</v>
      </c>
      <c r="J42" s="247">
        <v>999.6</v>
      </c>
      <c r="K42" s="247">
        <v>1030.5</v>
      </c>
      <c r="L42" s="248">
        <v>1038.4000000000001</v>
      </c>
      <c r="M42" s="247">
        <v>1044.8</v>
      </c>
      <c r="N42" s="248">
        <v>1053.5</v>
      </c>
      <c r="O42" s="247">
        <v>1059.9000000000001</v>
      </c>
      <c r="P42" s="247">
        <v>1025.3</v>
      </c>
      <c r="Q42" s="248">
        <v>1030</v>
      </c>
      <c r="R42" s="247">
        <v>1034.0999999999999</v>
      </c>
      <c r="S42" s="248">
        <v>1037.4000000000001</v>
      </c>
      <c r="T42" s="248">
        <v>1040.7</v>
      </c>
      <c r="U42" s="5">
        <v>11</v>
      </c>
    </row>
    <row r="43" spans="2:21">
      <c r="I43" s="5">
        <v>12</v>
      </c>
      <c r="J43" s="247">
        <v>999.4</v>
      </c>
      <c r="K43" s="247">
        <v>1030.2</v>
      </c>
      <c r="L43" s="248">
        <v>1038</v>
      </c>
      <c r="M43" s="247">
        <v>1044.4000000000001</v>
      </c>
      <c r="N43" s="248">
        <v>1053.0999999999999</v>
      </c>
      <c r="O43" s="247">
        <v>1059.5</v>
      </c>
      <c r="P43" s="247">
        <v>1024.8</v>
      </c>
      <c r="Q43" s="248">
        <v>1029.5</v>
      </c>
      <c r="R43" s="247">
        <v>1033.5999999999999</v>
      </c>
      <c r="S43" s="248">
        <v>1036.9000000000001</v>
      </c>
      <c r="T43" s="248">
        <v>1040.0999999999999</v>
      </c>
      <c r="U43" s="5">
        <v>12</v>
      </c>
    </row>
    <row r="44" spans="2:21">
      <c r="I44" s="5">
        <v>13</v>
      </c>
      <c r="J44" s="247">
        <v>999.3</v>
      </c>
      <c r="K44" s="247">
        <v>1029.9000000000001</v>
      </c>
      <c r="L44" s="248">
        <v>1037.5999999999999</v>
      </c>
      <c r="M44" s="247">
        <v>1044</v>
      </c>
      <c r="N44" s="248">
        <v>1052.7</v>
      </c>
      <c r="O44" s="247">
        <v>1059</v>
      </c>
      <c r="P44" s="247">
        <v>1024.4000000000001</v>
      </c>
      <c r="Q44" s="248">
        <v>1029</v>
      </c>
      <c r="R44" s="247">
        <v>1033</v>
      </c>
      <c r="S44" s="248">
        <v>1036.3</v>
      </c>
      <c r="T44" s="248">
        <v>1039.5</v>
      </c>
      <c r="U44" s="5">
        <v>13</v>
      </c>
    </row>
    <row r="45" spans="2:21">
      <c r="I45" s="5">
        <v>14</v>
      </c>
      <c r="J45" s="247">
        <v>999.1</v>
      </c>
      <c r="K45" s="247">
        <v>1029.7</v>
      </c>
      <c r="L45" s="248">
        <v>1037.3</v>
      </c>
      <c r="M45" s="247">
        <v>1043.5999999999999</v>
      </c>
      <c r="N45" s="248">
        <v>1052.3</v>
      </c>
      <c r="O45" s="247">
        <v>1058.5999999999999</v>
      </c>
      <c r="P45" s="247">
        <v>1023.9</v>
      </c>
      <c r="Q45" s="248">
        <v>1028.5</v>
      </c>
      <c r="R45" s="247">
        <v>1032.5</v>
      </c>
      <c r="S45" s="248">
        <v>1035.8</v>
      </c>
      <c r="T45" s="248">
        <v>1038.9000000000001</v>
      </c>
      <c r="U45" s="5">
        <v>14</v>
      </c>
    </row>
    <row r="46" spans="2:21">
      <c r="I46" s="5">
        <v>15</v>
      </c>
      <c r="J46" s="247">
        <v>999</v>
      </c>
      <c r="K46" s="247">
        <v>1029.4000000000001</v>
      </c>
      <c r="L46" s="248">
        <v>1036.9000000000001</v>
      </c>
      <c r="M46" s="247">
        <v>1043.2</v>
      </c>
      <c r="N46" s="248">
        <v>1051.9000000000001</v>
      </c>
      <c r="O46" s="247">
        <v>1058.2</v>
      </c>
      <c r="P46" s="247">
        <v>1023.4</v>
      </c>
      <c r="Q46" s="248">
        <v>1028</v>
      </c>
      <c r="R46" s="247">
        <v>1032</v>
      </c>
      <c r="S46" s="248">
        <v>1035.2</v>
      </c>
      <c r="T46" s="248">
        <v>1038.3</v>
      </c>
      <c r="U46" s="5">
        <v>15</v>
      </c>
    </row>
    <row r="47" spans="2:21">
      <c r="B47" s="9" t="s">
        <v>643</v>
      </c>
      <c r="C47" s="3" t="s">
        <v>9</v>
      </c>
      <c r="D47" s="3" t="s">
        <v>5</v>
      </c>
      <c r="E47" s="3" t="s">
        <v>10</v>
      </c>
      <c r="F47" s="3" t="s">
        <v>35</v>
      </c>
      <c r="G47" s="3" t="s">
        <v>648</v>
      </c>
      <c r="H47" s="3">
        <v>5</v>
      </c>
      <c r="I47" s="5">
        <v>16</v>
      </c>
      <c r="J47" s="247">
        <v>998.8</v>
      </c>
      <c r="K47" s="247">
        <v>1029.0999999999999</v>
      </c>
      <c r="L47" s="248">
        <v>1036.5999999999999</v>
      </c>
      <c r="M47" s="247">
        <v>1042.8</v>
      </c>
      <c r="N47" s="248">
        <v>1051.5</v>
      </c>
      <c r="O47" s="247">
        <v>1057.7</v>
      </c>
      <c r="P47" s="247">
        <v>1023</v>
      </c>
      <c r="Q47" s="248">
        <v>1027.5</v>
      </c>
      <c r="R47" s="247">
        <v>1031.4000000000001</v>
      </c>
      <c r="S47" s="248">
        <v>1034.5999999999999</v>
      </c>
      <c r="T47" s="248">
        <v>1037.7</v>
      </c>
      <c r="U47" s="5">
        <v>16</v>
      </c>
    </row>
    <row r="48" spans="2:21">
      <c r="B48" s="3">
        <f>'NW do inst. solarnej'!K11</f>
        <v>0</v>
      </c>
      <c r="C48" s="3">
        <v>11</v>
      </c>
      <c r="D48" s="3">
        <f>VLOOKUP(C48,A49:C61,3,0)</f>
        <v>30</v>
      </c>
      <c r="E48" s="3">
        <f>'NW do inst. solarnej'!K9</f>
        <v>120</v>
      </c>
      <c r="F48" s="3" t="str">
        <f>VLOOKUP(C48,A49:C61,2,0)</f>
        <v>glikol propylenowy:  30%        (-14˚C)</v>
      </c>
      <c r="G48" s="3">
        <f>'NW wg PN-EN-12828'!K38</f>
        <v>10</v>
      </c>
      <c r="I48" s="5">
        <v>17</v>
      </c>
      <c r="J48" s="247">
        <v>998.7</v>
      </c>
      <c r="K48" s="247">
        <v>1028.8</v>
      </c>
      <c r="L48" s="248">
        <v>1036.2</v>
      </c>
      <c r="M48" s="247">
        <v>1042.4000000000001</v>
      </c>
      <c r="N48" s="248">
        <v>1051.0999999999999</v>
      </c>
      <c r="O48" s="247">
        <v>1057.3</v>
      </c>
      <c r="P48" s="247">
        <v>1022.5</v>
      </c>
      <c r="Q48" s="248">
        <v>1027</v>
      </c>
      <c r="R48" s="247">
        <v>1030.9000000000001</v>
      </c>
      <c r="S48" s="248">
        <v>1034.0999999999999</v>
      </c>
      <c r="T48" s="248">
        <v>1037.0999999999999</v>
      </c>
      <c r="U48" s="5">
        <v>17</v>
      </c>
    </row>
    <row r="49" spans="1:21">
      <c r="A49" s="3">
        <v>1</v>
      </c>
      <c r="B49" s="3" t="s">
        <v>6</v>
      </c>
      <c r="C49" s="3">
        <v>0</v>
      </c>
      <c r="I49" s="5">
        <v>18</v>
      </c>
      <c r="J49" s="247">
        <v>998.5</v>
      </c>
      <c r="K49" s="247">
        <v>1028.5</v>
      </c>
      <c r="L49" s="248">
        <v>1035.9000000000001</v>
      </c>
      <c r="M49" s="247">
        <v>1042</v>
      </c>
      <c r="N49" s="248">
        <v>1050.7</v>
      </c>
      <c r="O49" s="247">
        <v>1056.9000000000001</v>
      </c>
      <c r="P49" s="247">
        <v>1022</v>
      </c>
      <c r="Q49" s="248">
        <v>1026.5</v>
      </c>
      <c r="R49" s="247">
        <v>1030.4000000000001</v>
      </c>
      <c r="S49" s="248">
        <v>1033.5</v>
      </c>
      <c r="T49" s="248">
        <v>1036.5</v>
      </c>
      <c r="U49" s="5">
        <v>18</v>
      </c>
    </row>
    <row r="50" spans="1:21">
      <c r="A50" s="3">
        <v>2</v>
      </c>
      <c r="B50" s="475" t="s">
        <v>1015</v>
      </c>
      <c r="C50" s="3">
        <v>15</v>
      </c>
      <c r="I50" s="5">
        <v>19</v>
      </c>
      <c r="J50" s="247">
        <v>998.4</v>
      </c>
      <c r="K50" s="247">
        <v>1028.2</v>
      </c>
      <c r="L50" s="248">
        <v>1035.5</v>
      </c>
      <c r="M50" s="247">
        <v>1041.5999999999999</v>
      </c>
      <c r="N50" s="248">
        <v>1050.3</v>
      </c>
      <c r="O50" s="247">
        <v>1056.4000000000001</v>
      </c>
      <c r="P50" s="247">
        <v>1021.6</v>
      </c>
      <c r="Q50" s="248">
        <v>1026</v>
      </c>
      <c r="R50" s="247">
        <v>1029.8</v>
      </c>
      <c r="S50" s="248">
        <v>1032.9000000000001</v>
      </c>
      <c r="T50" s="248">
        <v>1035.9000000000001</v>
      </c>
      <c r="U50" s="5">
        <v>19</v>
      </c>
    </row>
    <row r="51" spans="1:21">
      <c r="A51" s="3">
        <v>3</v>
      </c>
      <c r="B51" s="3" t="s">
        <v>672</v>
      </c>
      <c r="C51" s="3">
        <v>20</v>
      </c>
      <c r="I51" s="5">
        <v>20</v>
      </c>
      <c r="J51" s="248">
        <v>998.2</v>
      </c>
      <c r="K51" s="247">
        <v>1027.9000000000001</v>
      </c>
      <c r="L51" s="248">
        <v>1035.0999999999999</v>
      </c>
      <c r="M51" s="247">
        <v>1041.2</v>
      </c>
      <c r="N51" s="248">
        <v>1049.9000000000001</v>
      </c>
      <c r="O51" s="247">
        <v>1056</v>
      </c>
      <c r="P51" s="247">
        <v>1021.1</v>
      </c>
      <c r="Q51" s="248">
        <v>1025.5999999999999</v>
      </c>
      <c r="R51" s="247">
        <v>1029.3</v>
      </c>
      <c r="S51" s="248">
        <v>1032.4000000000001</v>
      </c>
      <c r="T51" s="248">
        <v>1035.4000000000001</v>
      </c>
      <c r="U51" s="5">
        <v>20</v>
      </c>
    </row>
    <row r="52" spans="1:21">
      <c r="A52" s="3">
        <v>4</v>
      </c>
      <c r="B52" s="3" t="s">
        <v>671</v>
      </c>
      <c r="C52" s="3">
        <v>25</v>
      </c>
      <c r="I52" s="5">
        <v>21</v>
      </c>
      <c r="J52" s="248">
        <v>998</v>
      </c>
      <c r="K52" s="247">
        <v>1027.5999999999999</v>
      </c>
      <c r="L52" s="248">
        <v>1034.8</v>
      </c>
      <c r="M52" s="247">
        <v>1040.8</v>
      </c>
      <c r="N52" s="248">
        <v>1049.5</v>
      </c>
      <c r="O52" s="247">
        <v>1055.5</v>
      </c>
      <c r="P52" s="247">
        <v>1020.6</v>
      </c>
      <c r="Q52" s="248">
        <v>1025</v>
      </c>
      <c r="R52" s="247">
        <v>1028.7</v>
      </c>
      <c r="S52" s="248">
        <v>1031.8</v>
      </c>
      <c r="T52" s="248">
        <v>1034.7</v>
      </c>
      <c r="U52" s="5">
        <v>21</v>
      </c>
    </row>
    <row r="53" spans="1:21">
      <c r="A53" s="3">
        <v>5</v>
      </c>
      <c r="B53" s="3" t="s">
        <v>670</v>
      </c>
      <c r="C53" s="3">
        <v>30</v>
      </c>
      <c r="E53" s="9" t="s">
        <v>158</v>
      </c>
      <c r="F53" s="3">
        <v>19</v>
      </c>
      <c r="I53" s="5">
        <v>22</v>
      </c>
      <c r="J53" s="248">
        <v>997.7</v>
      </c>
      <c r="K53" s="247">
        <v>1027.2</v>
      </c>
      <c r="L53" s="248">
        <v>1034.4000000000001</v>
      </c>
      <c r="M53" s="247">
        <v>1040.4000000000001</v>
      </c>
      <c r="N53" s="248">
        <v>1049</v>
      </c>
      <c r="O53" s="247">
        <v>1055</v>
      </c>
      <c r="P53" s="247">
        <v>1020.1</v>
      </c>
      <c r="Q53" s="248">
        <v>1024.5</v>
      </c>
      <c r="R53" s="247">
        <v>1028.2</v>
      </c>
      <c r="S53" s="248">
        <v>1031.2</v>
      </c>
      <c r="T53" s="248">
        <v>1034.0999999999999</v>
      </c>
      <c r="U53" s="5">
        <v>22</v>
      </c>
    </row>
    <row r="54" spans="1:21">
      <c r="A54" s="3">
        <v>6</v>
      </c>
      <c r="B54" s="3" t="s">
        <v>669</v>
      </c>
      <c r="C54" s="3">
        <v>35</v>
      </c>
      <c r="E54" s="9" t="s">
        <v>157</v>
      </c>
      <c r="F54" s="15">
        <f>F53/10</f>
        <v>1.9</v>
      </c>
      <c r="I54" s="5">
        <v>23</v>
      </c>
      <c r="J54" s="248">
        <v>997.5</v>
      </c>
      <c r="K54" s="247">
        <v>1026.9000000000001</v>
      </c>
      <c r="L54" s="248">
        <v>1034</v>
      </c>
      <c r="M54" s="247">
        <v>1040</v>
      </c>
      <c r="N54" s="248">
        <v>1048.5</v>
      </c>
      <c r="O54" s="247">
        <v>1054.5</v>
      </c>
      <c r="P54" s="247">
        <v>1019.6</v>
      </c>
      <c r="Q54" s="248">
        <v>1023.9</v>
      </c>
      <c r="R54" s="247">
        <v>1027.5999999999999</v>
      </c>
      <c r="S54" s="248">
        <v>1030.5999999999999</v>
      </c>
      <c r="T54" s="248">
        <v>1033.5</v>
      </c>
      <c r="U54" s="5">
        <v>23</v>
      </c>
    </row>
    <row r="55" spans="1:21" ht="15.6">
      <c r="A55" s="3">
        <v>7</v>
      </c>
      <c r="B55" s="3" t="s">
        <v>668</v>
      </c>
      <c r="C55" s="3">
        <v>40</v>
      </c>
      <c r="E55" s="1" t="s">
        <v>61</v>
      </c>
      <c r="F55" s="15">
        <f>'NW do inst. solarnej'!E216-(('NW do inst. solarnej'!E216*('NW do inst. solarnej'!E217+1))/('NW do inst. solarnej'!E218+1))</f>
        <v>3.0016048910966902</v>
      </c>
      <c r="I55" s="5">
        <v>24</v>
      </c>
      <c r="J55" s="248">
        <v>997.2</v>
      </c>
      <c r="K55" s="247">
        <v>1026.5</v>
      </c>
      <c r="L55" s="248">
        <v>1033.5999999999999</v>
      </c>
      <c r="M55" s="247">
        <v>1039.5999999999999</v>
      </c>
      <c r="N55" s="248">
        <v>1048.0999999999999</v>
      </c>
      <c r="O55" s="247">
        <v>1053.9000000000001</v>
      </c>
      <c r="P55" s="247">
        <v>1019.1</v>
      </c>
      <c r="Q55" s="248">
        <v>1023.4</v>
      </c>
      <c r="R55" s="247">
        <v>1027</v>
      </c>
      <c r="S55" s="248">
        <v>1030</v>
      </c>
      <c r="T55" s="248">
        <v>1032.8</v>
      </c>
      <c r="U55" s="5">
        <v>24</v>
      </c>
    </row>
    <row r="56" spans="1:21">
      <c r="A56" s="3">
        <v>8</v>
      </c>
      <c r="B56" s="475" t="s">
        <v>1016</v>
      </c>
      <c r="C56" s="3">
        <v>15</v>
      </c>
      <c r="E56" s="9" t="s">
        <v>217</v>
      </c>
      <c r="F56" s="31">
        <f>0.7*('NW do inst. solarnej'!E178)^0.5</f>
        <v>3.6799588349061807</v>
      </c>
      <c r="I56" s="5">
        <v>25</v>
      </c>
      <c r="J56" s="248">
        <v>997</v>
      </c>
      <c r="K56" s="247">
        <v>1026.0999999999999</v>
      </c>
      <c r="L56" s="248">
        <v>1033.3</v>
      </c>
      <c r="M56" s="247">
        <v>1039.2</v>
      </c>
      <c r="N56" s="248">
        <v>1047.5999999999999</v>
      </c>
      <c r="O56" s="247">
        <v>1053.4000000000001</v>
      </c>
      <c r="P56" s="247">
        <v>1018.6</v>
      </c>
      <c r="Q56" s="248">
        <v>1022.8</v>
      </c>
      <c r="R56" s="247">
        <v>1026.5</v>
      </c>
      <c r="S56" s="248">
        <v>1029.4000000000001</v>
      </c>
      <c r="T56" s="248">
        <v>1032.2</v>
      </c>
      <c r="U56" s="5">
        <v>25</v>
      </c>
    </row>
    <row r="57" spans="1:21" ht="15.6">
      <c r="A57" s="3">
        <v>9</v>
      </c>
      <c r="B57" s="3" t="s">
        <v>673</v>
      </c>
      <c r="C57" s="3">
        <v>20</v>
      </c>
      <c r="E57" s="249" t="s">
        <v>641</v>
      </c>
      <c r="F57" s="3">
        <f>INDEX(J5:T181,MATCH(E48,I5:I181,0),MATCH(C48,J4:T4,0))</f>
        <v>958.5</v>
      </c>
      <c r="I57" s="5">
        <v>26</v>
      </c>
      <c r="J57" s="248">
        <v>996.7</v>
      </c>
      <c r="K57" s="247">
        <v>1025.8</v>
      </c>
      <c r="L57" s="248">
        <v>1032.9000000000001</v>
      </c>
      <c r="M57" s="247">
        <v>1038.8</v>
      </c>
      <c r="N57" s="248">
        <v>1047.0999999999999</v>
      </c>
      <c r="O57" s="247">
        <v>1052.9000000000001</v>
      </c>
      <c r="P57" s="247">
        <v>1018.1</v>
      </c>
      <c r="Q57" s="248">
        <v>1022.3</v>
      </c>
      <c r="R57" s="247">
        <v>1025.9000000000001</v>
      </c>
      <c r="S57" s="248">
        <v>1028.8</v>
      </c>
      <c r="T57" s="248">
        <v>1031.5999999999999</v>
      </c>
      <c r="U57" s="5">
        <v>26</v>
      </c>
    </row>
    <row r="58" spans="1:21" ht="15.6">
      <c r="A58" s="3">
        <v>10</v>
      </c>
      <c r="B58" s="3" t="s">
        <v>674</v>
      </c>
      <c r="C58" s="3">
        <v>25</v>
      </c>
      <c r="E58" s="249" t="s">
        <v>642</v>
      </c>
      <c r="F58" s="3">
        <f>INDEX(J5:T181,MATCH(B48,I5:I181,0),MATCH(C48,J4:T4,0))</f>
        <v>1046.8</v>
      </c>
      <c r="I58" s="5">
        <v>27</v>
      </c>
      <c r="J58" s="248">
        <v>996.5</v>
      </c>
      <c r="K58" s="247">
        <v>1025.4000000000001</v>
      </c>
      <c r="L58" s="248">
        <v>1032.5</v>
      </c>
      <c r="M58" s="247">
        <v>1038.4000000000001</v>
      </c>
      <c r="N58" s="248">
        <v>1046.5999999999999</v>
      </c>
      <c r="O58" s="247">
        <v>1052.4000000000001</v>
      </c>
      <c r="P58" s="247">
        <v>1017.6</v>
      </c>
      <c r="Q58" s="248">
        <v>1021.7</v>
      </c>
      <c r="R58" s="247">
        <v>1025.3</v>
      </c>
      <c r="S58" s="248">
        <v>1028.2</v>
      </c>
      <c r="T58" s="248">
        <v>1031</v>
      </c>
      <c r="U58" s="5">
        <v>27</v>
      </c>
    </row>
    <row r="59" spans="1:21" ht="15.6">
      <c r="A59" s="3">
        <v>11</v>
      </c>
      <c r="B59" s="3" t="s">
        <v>675</v>
      </c>
      <c r="C59" s="3">
        <v>30</v>
      </c>
      <c r="E59" s="3" t="s">
        <v>644</v>
      </c>
      <c r="F59" s="3">
        <f>1/F57</f>
        <v>1.0432968179447052E-3</v>
      </c>
      <c r="I59" s="5">
        <v>28</v>
      </c>
      <c r="J59" s="248">
        <v>996.2</v>
      </c>
      <c r="K59" s="247">
        <v>1025</v>
      </c>
      <c r="L59" s="248">
        <v>1032.0999999999999</v>
      </c>
      <c r="M59" s="247">
        <v>1038</v>
      </c>
      <c r="N59" s="248">
        <v>1046.2</v>
      </c>
      <c r="O59" s="247">
        <v>1051.9000000000001</v>
      </c>
      <c r="P59" s="247">
        <v>1017.1</v>
      </c>
      <c r="Q59" s="248">
        <v>1021.2</v>
      </c>
      <c r="R59" s="247">
        <v>1024.7</v>
      </c>
      <c r="S59" s="248">
        <v>1027.5999999999999</v>
      </c>
      <c r="T59" s="248">
        <v>1030.3</v>
      </c>
      <c r="U59" s="5">
        <v>28</v>
      </c>
    </row>
    <row r="60" spans="1:21" ht="15.6">
      <c r="A60" s="3">
        <v>12</v>
      </c>
      <c r="B60" s="3" t="s">
        <v>676</v>
      </c>
      <c r="C60" s="3">
        <v>35</v>
      </c>
      <c r="E60" s="3" t="s">
        <v>645</v>
      </c>
      <c r="F60" s="3">
        <f>1/F58</f>
        <v>9.5529231944975165E-4</v>
      </c>
      <c r="I60" s="5">
        <v>29</v>
      </c>
      <c r="J60" s="248">
        <v>996</v>
      </c>
      <c r="K60" s="247">
        <v>1024.7</v>
      </c>
      <c r="L60" s="248">
        <v>1031.7</v>
      </c>
      <c r="M60" s="247">
        <v>1037.5999999999999</v>
      </c>
      <c r="N60" s="248">
        <v>1045.7</v>
      </c>
      <c r="O60" s="247">
        <v>1051.4000000000001</v>
      </c>
      <c r="P60" s="247">
        <v>1016.6</v>
      </c>
      <c r="Q60" s="248">
        <v>1020.6</v>
      </c>
      <c r="R60" s="247">
        <v>1024.2</v>
      </c>
      <c r="S60" s="248">
        <v>1027</v>
      </c>
      <c r="T60" s="248">
        <v>1029.7</v>
      </c>
      <c r="U60" s="5">
        <v>29</v>
      </c>
    </row>
    <row r="61" spans="1:21">
      <c r="A61" s="3">
        <v>13</v>
      </c>
      <c r="B61" s="3" t="s">
        <v>677</v>
      </c>
      <c r="C61" s="3">
        <v>40</v>
      </c>
      <c r="E61" s="250" t="s">
        <v>646</v>
      </c>
      <c r="F61" s="251">
        <f>ABS(F59-F60)</f>
        <v>8.8004498494953574E-5</v>
      </c>
      <c r="I61" s="5">
        <v>30</v>
      </c>
      <c r="J61" s="248">
        <v>995.7</v>
      </c>
      <c r="K61" s="247">
        <v>1024.3</v>
      </c>
      <c r="L61" s="248">
        <v>1031.4000000000001</v>
      </c>
      <c r="M61" s="247">
        <v>1037.2</v>
      </c>
      <c r="N61" s="248">
        <v>1045.2</v>
      </c>
      <c r="O61" s="247">
        <v>1050.9000000000001</v>
      </c>
      <c r="P61" s="247">
        <v>1016.1</v>
      </c>
      <c r="Q61" s="248">
        <v>1020.1</v>
      </c>
      <c r="R61" s="247">
        <v>1023.6</v>
      </c>
      <c r="S61" s="248">
        <v>1026.4000000000001</v>
      </c>
      <c r="T61" s="248">
        <v>1029.0999999999999</v>
      </c>
      <c r="U61" s="5">
        <v>30</v>
      </c>
    </row>
    <row r="62" spans="1:21">
      <c r="E62" s="9" t="s">
        <v>59</v>
      </c>
      <c r="F62" s="3">
        <f>F58*F61</f>
        <v>9.2123109024517397E-2</v>
      </c>
      <c r="I62" s="5">
        <v>31</v>
      </c>
      <c r="J62" s="248">
        <v>995.4</v>
      </c>
      <c r="K62" s="247">
        <v>1024</v>
      </c>
      <c r="L62" s="248">
        <v>1031</v>
      </c>
      <c r="M62" s="247">
        <v>1036.8</v>
      </c>
      <c r="N62" s="248">
        <v>1044.8</v>
      </c>
      <c r="O62" s="247">
        <v>1050.4000000000001</v>
      </c>
      <c r="P62" s="247">
        <v>1015.5</v>
      </c>
      <c r="Q62" s="248">
        <v>1019.5</v>
      </c>
      <c r="R62" s="247">
        <v>1023</v>
      </c>
      <c r="S62" s="248">
        <v>1025.8</v>
      </c>
      <c r="T62" s="248">
        <v>1028.4000000000001</v>
      </c>
      <c r="U62" s="5">
        <v>31</v>
      </c>
    </row>
    <row r="63" spans="1:21">
      <c r="B63" s="9" t="s">
        <v>16</v>
      </c>
      <c r="C63" s="3">
        <v>60</v>
      </c>
      <c r="I63" s="5">
        <v>32</v>
      </c>
      <c r="J63" s="248">
        <v>995</v>
      </c>
      <c r="K63" s="247">
        <v>1023.6</v>
      </c>
      <c r="L63" s="248">
        <v>1030.5999999999999</v>
      </c>
      <c r="M63" s="247">
        <v>1036.3</v>
      </c>
      <c r="N63" s="248">
        <v>1044.3</v>
      </c>
      <c r="O63" s="247">
        <v>1049.8</v>
      </c>
      <c r="P63" s="247">
        <v>1015</v>
      </c>
      <c r="Q63" s="248">
        <v>1018.9</v>
      </c>
      <c r="R63" s="247">
        <v>1022.4</v>
      </c>
      <c r="S63" s="248">
        <v>1025.2</v>
      </c>
      <c r="T63" s="248">
        <v>1027.8</v>
      </c>
      <c r="U63" s="5">
        <v>32</v>
      </c>
    </row>
    <row r="64" spans="1:21">
      <c r="I64" s="5">
        <v>33</v>
      </c>
      <c r="J64" s="248">
        <v>994.7</v>
      </c>
      <c r="K64" s="247">
        <v>1023.2</v>
      </c>
      <c r="L64" s="248">
        <v>1030.2</v>
      </c>
      <c r="M64" s="247">
        <v>1035.9000000000001</v>
      </c>
      <c r="N64" s="248">
        <v>1043.8</v>
      </c>
      <c r="O64" s="247">
        <v>1049.3</v>
      </c>
      <c r="P64" s="247">
        <v>1014.4</v>
      </c>
      <c r="Q64" s="248">
        <v>1018.4</v>
      </c>
      <c r="R64" s="247">
        <v>1021.8</v>
      </c>
      <c r="S64" s="248">
        <v>1024.5</v>
      </c>
      <c r="T64" s="248">
        <v>1027.0999999999999</v>
      </c>
      <c r="U64" s="5">
        <v>33</v>
      </c>
    </row>
    <row r="65" spans="1:21">
      <c r="B65" s="9" t="s">
        <v>17</v>
      </c>
      <c r="C65" s="10">
        <f>IF(D65&gt;E65,D65,E65)</f>
        <v>3.01</v>
      </c>
      <c r="D65" s="10">
        <f>IF('NW do inst. solarnej'!K21&lt;38,'NW do inst. solarnej'!K21/10+1.3,('NW do inst. solarnej'!K21/10+1)/0.9)</f>
        <v>2</v>
      </c>
      <c r="E65" s="10">
        <f>IF('NW do inst. solarnej'!K23&gt;5,('NW do inst. solarnej'!E105+0.1*'NW do inst. solarnej'!K23)+0.5,'NW do inst. solarnej'!E105+1)</f>
        <v>3.01</v>
      </c>
      <c r="I65" s="5">
        <v>34</v>
      </c>
      <c r="J65" s="248">
        <v>994.3</v>
      </c>
      <c r="K65" s="247">
        <v>1022.9</v>
      </c>
      <c r="L65" s="248">
        <v>1029.8</v>
      </c>
      <c r="M65" s="247">
        <v>1035.5</v>
      </c>
      <c r="N65" s="248">
        <v>1043.3</v>
      </c>
      <c r="O65" s="247">
        <v>1048.8</v>
      </c>
      <c r="P65" s="247">
        <v>1013.9</v>
      </c>
      <c r="Q65" s="248">
        <v>1017.8</v>
      </c>
      <c r="R65" s="247">
        <v>1021.2</v>
      </c>
      <c r="S65" s="248">
        <v>1023.9</v>
      </c>
      <c r="T65" s="248">
        <v>1026.4000000000001</v>
      </c>
      <c r="U65" s="5">
        <v>34</v>
      </c>
    </row>
    <row r="66" spans="1:21">
      <c r="C66" s="3">
        <f>IF(C67,1,0)</f>
        <v>0</v>
      </c>
      <c r="I66" s="5">
        <v>35</v>
      </c>
      <c r="J66" s="248">
        <v>994</v>
      </c>
      <c r="K66" s="247">
        <v>1022.5</v>
      </c>
      <c r="L66" s="248">
        <v>1029.5</v>
      </c>
      <c r="M66" s="247">
        <v>1035.0999999999999</v>
      </c>
      <c r="N66" s="248">
        <v>1042.9000000000001</v>
      </c>
      <c r="O66" s="247">
        <v>1048.3</v>
      </c>
      <c r="P66" s="247">
        <v>1013.4</v>
      </c>
      <c r="Q66" s="248">
        <v>1017.2</v>
      </c>
      <c r="R66" s="247">
        <v>1020.6</v>
      </c>
      <c r="S66" s="248">
        <v>1023.3</v>
      </c>
      <c r="T66" s="248">
        <v>1025.8</v>
      </c>
      <c r="U66" s="5">
        <v>35</v>
      </c>
    </row>
    <row r="67" spans="1:21">
      <c r="B67" s="9" t="s">
        <v>19</v>
      </c>
      <c r="C67" s="26" t="b">
        <v>0</v>
      </c>
      <c r="D67" s="3">
        <f>IF(C66=1,5,0)</f>
        <v>0</v>
      </c>
      <c r="I67" s="5">
        <v>36</v>
      </c>
      <c r="J67" s="248">
        <v>993.6</v>
      </c>
      <c r="K67" s="247">
        <v>1022.1</v>
      </c>
      <c r="L67" s="248">
        <v>1029.0999999999999</v>
      </c>
      <c r="M67" s="247">
        <v>1034.7</v>
      </c>
      <c r="N67" s="248">
        <v>1042.4000000000001</v>
      </c>
      <c r="O67" s="247">
        <v>1047.8</v>
      </c>
      <c r="P67" s="247">
        <v>1012.8</v>
      </c>
      <c r="Q67" s="248">
        <v>1016.6</v>
      </c>
      <c r="R67" s="247">
        <v>1020</v>
      </c>
      <c r="S67" s="248">
        <v>1022.6</v>
      </c>
      <c r="T67" s="248">
        <v>1025.0999999999999</v>
      </c>
      <c r="U67" s="5">
        <v>36</v>
      </c>
    </row>
    <row r="68" spans="1:21">
      <c r="I68" s="5">
        <v>37</v>
      </c>
      <c r="J68" s="248">
        <v>993.3</v>
      </c>
      <c r="K68" s="247">
        <v>1021.8</v>
      </c>
      <c r="L68" s="248">
        <v>1028.7</v>
      </c>
      <c r="M68" s="247">
        <v>1034.3</v>
      </c>
      <c r="N68" s="248">
        <v>1041.9000000000001</v>
      </c>
      <c r="O68" s="247">
        <v>1047.3</v>
      </c>
      <c r="P68" s="247">
        <v>1012.3</v>
      </c>
      <c r="Q68" s="248">
        <v>1016.1</v>
      </c>
      <c r="R68" s="247">
        <v>1019.3</v>
      </c>
      <c r="S68" s="248">
        <v>1022</v>
      </c>
      <c r="T68" s="248">
        <v>1024.5</v>
      </c>
      <c r="U68" s="5">
        <v>37</v>
      </c>
    </row>
    <row r="69" spans="1:21">
      <c r="B69" s="9" t="s">
        <v>29</v>
      </c>
      <c r="C69" s="13">
        <f>F62</f>
        <v>9.2123109024517397E-2</v>
      </c>
      <c r="E69" s="9" t="s">
        <v>4</v>
      </c>
      <c r="F69" s="3">
        <f>VLOOKUP('5'!B73,'5'!A75:F120,3,0)</f>
        <v>300</v>
      </c>
      <c r="I69" s="5">
        <v>38</v>
      </c>
      <c r="J69" s="248">
        <v>992.9</v>
      </c>
      <c r="K69" s="247">
        <v>1021.4</v>
      </c>
      <c r="L69" s="248">
        <v>1028.3</v>
      </c>
      <c r="M69" s="247">
        <v>1033.9000000000001</v>
      </c>
      <c r="N69" s="248">
        <v>1041.5</v>
      </c>
      <c r="O69" s="247">
        <v>1046.8</v>
      </c>
      <c r="P69" s="247">
        <v>1011.7</v>
      </c>
      <c r="Q69" s="248">
        <v>1015.5</v>
      </c>
      <c r="R69" s="247">
        <v>1018.7</v>
      </c>
      <c r="S69" s="248">
        <v>1021.4</v>
      </c>
      <c r="T69" s="248">
        <v>1023.8</v>
      </c>
      <c r="U69" s="5">
        <v>38</v>
      </c>
    </row>
    <row r="70" spans="1:21" ht="15.6">
      <c r="B70" s="1" t="s">
        <v>39</v>
      </c>
      <c r="C70" s="15">
        <f>'NW do inst. solarnej'!E88*'NW do inst. solarnej'!E87/100</f>
        <v>1.5</v>
      </c>
      <c r="E70" s="9" t="s">
        <v>138</v>
      </c>
      <c r="F70" s="3">
        <f>VLOOKUP('5'!B73,'5'!A75:F120,4,0)</f>
        <v>6</v>
      </c>
      <c r="I70" s="5">
        <v>39</v>
      </c>
      <c r="J70" s="248">
        <v>992.6</v>
      </c>
      <c r="K70" s="247">
        <v>1021.1</v>
      </c>
      <c r="L70" s="248">
        <v>1028</v>
      </c>
      <c r="M70" s="247">
        <v>1033.5</v>
      </c>
      <c r="N70" s="248">
        <v>1041</v>
      </c>
      <c r="O70" s="247">
        <v>1046.2</v>
      </c>
      <c r="P70" s="247">
        <v>1011.2</v>
      </c>
      <c r="Q70" s="248">
        <v>1014.9</v>
      </c>
      <c r="R70" s="247">
        <v>1018.1</v>
      </c>
      <c r="S70" s="248">
        <v>1020.7</v>
      </c>
      <c r="T70" s="248">
        <v>1023.2</v>
      </c>
      <c r="U70" s="5">
        <v>39</v>
      </c>
    </row>
    <row r="71" spans="1:21" ht="15.6">
      <c r="B71" s="1" t="s">
        <v>47</v>
      </c>
      <c r="C71" s="3">
        <f>INDEX(J205:T255,MATCH(E48,I205:I255,0),MATCH(D48,J204:T204,0))</f>
        <v>0.90999999999999992</v>
      </c>
      <c r="E71" s="9" t="s">
        <v>144</v>
      </c>
      <c r="F71" s="3">
        <f>VLOOKUP('5'!B73,'5'!A75:G120,7,0)</f>
        <v>43</v>
      </c>
      <c r="I71" s="5">
        <v>40</v>
      </c>
      <c r="J71" s="248">
        <v>992.2</v>
      </c>
      <c r="K71" s="247">
        <v>1020.7</v>
      </c>
      <c r="L71" s="248">
        <v>1027.5999999999999</v>
      </c>
      <c r="M71" s="247">
        <v>1033.0999999999999</v>
      </c>
      <c r="N71" s="248">
        <v>1040.5</v>
      </c>
      <c r="O71" s="247">
        <v>1045.7</v>
      </c>
      <c r="P71" s="247">
        <v>1010.6</v>
      </c>
      <c r="Q71" s="248">
        <v>1014.3</v>
      </c>
      <c r="R71" s="247">
        <v>1017.5</v>
      </c>
      <c r="S71" s="248">
        <v>1020.1</v>
      </c>
      <c r="T71" s="248">
        <v>1022.5</v>
      </c>
      <c r="U71" s="5">
        <v>40</v>
      </c>
    </row>
    <row r="72" spans="1:21">
      <c r="I72" s="5">
        <v>41</v>
      </c>
      <c r="J72" s="248">
        <v>991.8</v>
      </c>
      <c r="K72" s="247">
        <v>1020.2</v>
      </c>
      <c r="L72" s="248">
        <v>1027</v>
      </c>
      <c r="M72" s="247">
        <v>1032.5999999999999</v>
      </c>
      <c r="N72" s="248">
        <v>1039.9000000000001</v>
      </c>
      <c r="O72" s="247">
        <v>1045.0999999999999</v>
      </c>
      <c r="P72" s="247">
        <v>1010</v>
      </c>
      <c r="Q72" s="248">
        <v>1013.7</v>
      </c>
      <c r="R72" s="247">
        <v>1016.9</v>
      </c>
      <c r="S72" s="248">
        <v>1019.4</v>
      </c>
      <c r="T72" s="248">
        <v>1021.8</v>
      </c>
      <c r="U72" s="5">
        <v>41</v>
      </c>
    </row>
    <row r="73" spans="1:21">
      <c r="B73" s="27">
        <v>24</v>
      </c>
      <c r="C73" s="27"/>
      <c r="D73" s="27"/>
      <c r="E73" s="27"/>
      <c r="F73" s="27"/>
      <c r="I73" s="5">
        <v>42</v>
      </c>
      <c r="J73" s="248">
        <v>991.4</v>
      </c>
      <c r="K73" s="247">
        <v>1019.6</v>
      </c>
      <c r="L73" s="248">
        <v>1026.5</v>
      </c>
      <c r="M73" s="247">
        <v>1032</v>
      </c>
      <c r="N73" s="248">
        <v>1039.3</v>
      </c>
      <c r="O73" s="247">
        <v>1044.5</v>
      </c>
      <c r="P73" s="247">
        <v>1009.5</v>
      </c>
      <c r="Q73" s="248">
        <v>1013.1</v>
      </c>
      <c r="R73" s="247">
        <v>1016.2</v>
      </c>
      <c r="S73" s="248">
        <v>1018.8</v>
      </c>
      <c r="T73" s="248">
        <v>1021.1</v>
      </c>
      <c r="U73" s="5">
        <v>42</v>
      </c>
    </row>
    <row r="74" spans="1:21">
      <c r="B74" s="27"/>
      <c r="C74" s="27" t="s">
        <v>125</v>
      </c>
      <c r="D74" s="27" t="s">
        <v>126</v>
      </c>
      <c r="E74" s="27" t="s">
        <v>127</v>
      </c>
      <c r="F74" s="27" t="s">
        <v>128</v>
      </c>
      <c r="G74" s="27" t="s">
        <v>143</v>
      </c>
      <c r="H74" s="27"/>
      <c r="I74" s="5">
        <v>43</v>
      </c>
      <c r="J74" s="248">
        <v>991</v>
      </c>
      <c r="K74" s="247">
        <v>1019.1</v>
      </c>
      <c r="L74" s="248">
        <v>1025.9000000000001</v>
      </c>
      <c r="M74" s="247">
        <v>1031.4000000000001</v>
      </c>
      <c r="N74" s="248">
        <v>1038.7</v>
      </c>
      <c r="O74" s="247">
        <v>1043.9000000000001</v>
      </c>
      <c r="P74" s="247">
        <v>1008.9</v>
      </c>
      <c r="Q74" s="248">
        <v>1012.5</v>
      </c>
      <c r="R74" s="247">
        <v>1015.6</v>
      </c>
      <c r="S74" s="248">
        <v>1018.1</v>
      </c>
      <c r="T74" s="248">
        <v>1020.5</v>
      </c>
      <c r="U74" s="5">
        <v>43</v>
      </c>
    </row>
    <row r="75" spans="1:21">
      <c r="A75" s="27">
        <v>1</v>
      </c>
      <c r="B75" s="28" t="s">
        <v>83</v>
      </c>
      <c r="C75" s="27">
        <v>8</v>
      </c>
      <c r="D75" s="27">
        <v>3</v>
      </c>
      <c r="E75" s="27">
        <v>1</v>
      </c>
      <c r="F75" s="29">
        <v>7101000</v>
      </c>
      <c r="G75" s="27">
        <v>3.5</v>
      </c>
      <c r="H75" s="27"/>
      <c r="I75" s="5">
        <v>44</v>
      </c>
      <c r="J75" s="248">
        <v>990.6</v>
      </c>
      <c r="K75" s="247">
        <v>1018.6</v>
      </c>
      <c r="L75" s="248">
        <v>1025.4000000000001</v>
      </c>
      <c r="M75" s="247">
        <v>1030.9000000000001</v>
      </c>
      <c r="N75" s="248">
        <v>1038.0999999999999</v>
      </c>
      <c r="O75" s="247">
        <v>1043.3</v>
      </c>
      <c r="P75" s="247">
        <v>1008.3</v>
      </c>
      <c r="Q75" s="248">
        <v>1011.9</v>
      </c>
      <c r="R75" s="247">
        <v>1014.9</v>
      </c>
      <c r="S75" s="248">
        <v>1017.4</v>
      </c>
      <c r="T75" s="248">
        <v>1019.8</v>
      </c>
      <c r="U75" s="5">
        <v>44</v>
      </c>
    </row>
    <row r="76" spans="1:21">
      <c r="A76" s="27">
        <v>2</v>
      </c>
      <c r="B76" s="28" t="s">
        <v>77</v>
      </c>
      <c r="C76" s="27">
        <v>12</v>
      </c>
      <c r="D76" s="27">
        <v>3</v>
      </c>
      <c r="E76" s="27">
        <v>1</v>
      </c>
      <c r="F76" s="29">
        <v>7101001</v>
      </c>
      <c r="G76" s="27">
        <v>3.7</v>
      </c>
      <c r="H76" s="27"/>
      <c r="I76" s="5">
        <v>45</v>
      </c>
      <c r="J76" s="248">
        <v>990.2</v>
      </c>
      <c r="K76" s="247">
        <v>1018</v>
      </c>
      <c r="L76" s="248">
        <v>1024.8</v>
      </c>
      <c r="M76" s="247">
        <v>1030.3</v>
      </c>
      <c r="N76" s="248">
        <v>1037.5</v>
      </c>
      <c r="O76" s="247">
        <v>1042.7</v>
      </c>
      <c r="P76" s="247">
        <v>1007.7</v>
      </c>
      <c r="Q76" s="248">
        <v>1011.3</v>
      </c>
      <c r="R76" s="247">
        <v>1014.3</v>
      </c>
      <c r="S76" s="248">
        <v>1016.8</v>
      </c>
      <c r="T76" s="248">
        <v>1019.1</v>
      </c>
      <c r="U76" s="5">
        <v>45</v>
      </c>
    </row>
    <row r="77" spans="1:21">
      <c r="A77" s="27">
        <v>3</v>
      </c>
      <c r="B77" s="28" t="s">
        <v>78</v>
      </c>
      <c r="C77" s="27">
        <v>18</v>
      </c>
      <c r="D77" s="27">
        <v>3</v>
      </c>
      <c r="E77" s="27">
        <v>1</v>
      </c>
      <c r="F77" s="29">
        <v>7101002</v>
      </c>
      <c r="G77" s="27">
        <v>4.0999999999999996</v>
      </c>
      <c r="H77" s="27"/>
      <c r="I77" s="5">
        <v>46</v>
      </c>
      <c r="J77" s="248">
        <v>989.8</v>
      </c>
      <c r="K77" s="247">
        <v>1017.5</v>
      </c>
      <c r="L77" s="248">
        <v>1024.3</v>
      </c>
      <c r="M77" s="247">
        <v>1029.7</v>
      </c>
      <c r="N77" s="248">
        <v>1036.9000000000001</v>
      </c>
      <c r="O77" s="247">
        <v>1042.0999999999999</v>
      </c>
      <c r="P77" s="247">
        <v>1007.1</v>
      </c>
      <c r="Q77" s="248">
        <v>1010.6</v>
      </c>
      <c r="R77" s="247">
        <v>1013.6</v>
      </c>
      <c r="S77" s="248">
        <v>1016.1</v>
      </c>
      <c r="T77" s="248">
        <v>1018.4</v>
      </c>
      <c r="U77" s="5">
        <v>46</v>
      </c>
    </row>
    <row r="78" spans="1:21">
      <c r="A78" s="27">
        <v>4</v>
      </c>
      <c r="B78" s="28" t="s">
        <v>79</v>
      </c>
      <c r="C78" s="27">
        <v>25</v>
      </c>
      <c r="D78" s="27">
        <v>3</v>
      </c>
      <c r="E78" s="27">
        <v>1</v>
      </c>
      <c r="F78" s="29">
        <v>7101003</v>
      </c>
      <c r="G78" s="27">
        <v>5</v>
      </c>
      <c r="H78" s="27"/>
      <c r="I78" s="5">
        <v>47</v>
      </c>
      <c r="J78" s="248">
        <v>989.4</v>
      </c>
      <c r="K78" s="247">
        <v>1017</v>
      </c>
      <c r="L78" s="248">
        <v>1023.7</v>
      </c>
      <c r="M78" s="247">
        <v>1029.2</v>
      </c>
      <c r="N78" s="248">
        <v>1036.3</v>
      </c>
      <c r="O78" s="247">
        <v>1041.4000000000001</v>
      </c>
      <c r="P78" s="247">
        <v>1006.5</v>
      </c>
      <c r="Q78" s="248">
        <v>1010</v>
      </c>
      <c r="R78" s="247">
        <v>1013</v>
      </c>
      <c r="S78" s="248">
        <v>1015.4</v>
      </c>
      <c r="T78" s="248">
        <v>1017.7</v>
      </c>
      <c r="U78" s="5">
        <v>47</v>
      </c>
    </row>
    <row r="79" spans="1:21">
      <c r="A79" s="27">
        <v>5</v>
      </c>
      <c r="B79" s="28" t="s">
        <v>80</v>
      </c>
      <c r="C79" s="27">
        <v>35</v>
      </c>
      <c r="D79" s="27">
        <v>3</v>
      </c>
      <c r="E79" s="27">
        <v>1</v>
      </c>
      <c r="F79" s="29">
        <v>7101004</v>
      </c>
      <c r="G79" s="27">
        <v>6.4</v>
      </c>
      <c r="H79" s="27"/>
      <c r="I79" s="5">
        <v>48</v>
      </c>
      <c r="J79" s="248">
        <v>988.9</v>
      </c>
      <c r="K79" s="247">
        <v>1016.4</v>
      </c>
      <c r="L79" s="248">
        <v>1023.2</v>
      </c>
      <c r="M79" s="247">
        <v>1028.5999999999999</v>
      </c>
      <c r="N79" s="248">
        <v>1035.7</v>
      </c>
      <c r="O79" s="247">
        <v>1040.8</v>
      </c>
      <c r="P79" s="247">
        <v>1006</v>
      </c>
      <c r="Q79" s="248">
        <v>1009.4</v>
      </c>
      <c r="R79" s="247">
        <v>1012.3</v>
      </c>
      <c r="S79" s="248">
        <v>1014.7</v>
      </c>
      <c r="T79" s="248">
        <v>1017</v>
      </c>
      <c r="U79" s="5">
        <v>48</v>
      </c>
    </row>
    <row r="80" spans="1:21">
      <c r="A80" s="27">
        <v>6</v>
      </c>
      <c r="B80" s="28" t="s">
        <v>81</v>
      </c>
      <c r="C80" s="27">
        <v>50</v>
      </c>
      <c r="D80" s="27">
        <v>3</v>
      </c>
      <c r="E80" s="27">
        <v>1.5</v>
      </c>
      <c r="F80" s="29">
        <v>7101005</v>
      </c>
      <c r="G80" s="27">
        <v>8</v>
      </c>
      <c r="H80" s="27"/>
      <c r="I80" s="5">
        <v>49</v>
      </c>
      <c r="J80" s="248">
        <v>988.5</v>
      </c>
      <c r="K80" s="247">
        <v>1015.9</v>
      </c>
      <c r="L80" s="248">
        <v>1022.6</v>
      </c>
      <c r="M80" s="247">
        <v>1028</v>
      </c>
      <c r="N80" s="248">
        <v>1035.0999999999999</v>
      </c>
      <c r="O80" s="247">
        <v>1040.2</v>
      </c>
      <c r="P80" s="247">
        <v>1005.4</v>
      </c>
      <c r="Q80" s="248">
        <v>1008.8</v>
      </c>
      <c r="R80" s="247">
        <v>1011.7</v>
      </c>
      <c r="S80" s="248">
        <v>1014.1</v>
      </c>
      <c r="T80" s="248">
        <v>1016.3</v>
      </c>
      <c r="U80" s="5">
        <v>49</v>
      </c>
    </row>
    <row r="81" spans="1:21">
      <c r="A81" s="27">
        <v>7</v>
      </c>
      <c r="B81" s="28" t="s">
        <v>82</v>
      </c>
      <c r="C81" s="27">
        <v>80</v>
      </c>
      <c r="D81" s="27">
        <v>3</v>
      </c>
      <c r="E81" s="27">
        <v>1.5</v>
      </c>
      <c r="F81" s="29">
        <v>7101006</v>
      </c>
      <c r="G81" s="27">
        <v>12.7</v>
      </c>
      <c r="H81" s="27"/>
      <c r="I81" s="5">
        <v>50</v>
      </c>
      <c r="J81" s="248">
        <v>988</v>
      </c>
      <c r="K81" s="247">
        <v>1015.4</v>
      </c>
      <c r="L81" s="248">
        <v>1022.1</v>
      </c>
      <c r="M81" s="247">
        <v>1027.4000000000001</v>
      </c>
      <c r="N81" s="248">
        <v>1034.5</v>
      </c>
      <c r="O81" s="247">
        <v>1039.5999999999999</v>
      </c>
      <c r="P81" s="247">
        <v>1004.8</v>
      </c>
      <c r="Q81" s="248">
        <v>1008.2</v>
      </c>
      <c r="R81" s="247">
        <v>1011.1</v>
      </c>
      <c r="S81" s="248">
        <v>1013.4</v>
      </c>
      <c r="T81" s="248">
        <v>1015.7</v>
      </c>
      <c r="U81" s="5">
        <v>50</v>
      </c>
    </row>
    <row r="82" spans="1:21">
      <c r="A82" s="27">
        <v>8</v>
      </c>
      <c r="B82" s="28" t="s">
        <v>84</v>
      </c>
      <c r="C82" s="27">
        <v>8</v>
      </c>
      <c r="D82" s="27">
        <v>10</v>
      </c>
      <c r="E82" s="27">
        <v>4</v>
      </c>
      <c r="F82" s="29">
        <v>7103000</v>
      </c>
      <c r="G82" s="27">
        <v>4</v>
      </c>
      <c r="H82" s="27"/>
      <c r="I82" s="5">
        <v>51</v>
      </c>
      <c r="J82" s="248">
        <v>987.6</v>
      </c>
      <c r="K82" s="247">
        <v>1014.8</v>
      </c>
      <c r="L82" s="248">
        <v>1021.5</v>
      </c>
      <c r="M82" s="247">
        <v>1026.8</v>
      </c>
      <c r="N82" s="248">
        <v>1033.9000000000001</v>
      </c>
      <c r="O82" s="247">
        <v>1039</v>
      </c>
      <c r="P82" s="247">
        <v>1004.2</v>
      </c>
      <c r="Q82" s="248">
        <v>1007.5</v>
      </c>
      <c r="R82" s="247">
        <v>1010.4</v>
      </c>
      <c r="S82" s="248">
        <v>1012.7</v>
      </c>
      <c r="T82" s="248">
        <v>1014.9</v>
      </c>
      <c r="U82" s="5">
        <v>51</v>
      </c>
    </row>
    <row r="83" spans="1:21">
      <c r="A83" s="27">
        <v>9</v>
      </c>
      <c r="B83" s="28" t="s">
        <v>85</v>
      </c>
      <c r="C83" s="27">
        <v>12</v>
      </c>
      <c r="D83" s="27">
        <v>10</v>
      </c>
      <c r="E83" s="27">
        <v>4</v>
      </c>
      <c r="F83" s="29">
        <v>7103001</v>
      </c>
      <c r="G83" s="27">
        <v>5.0999999999999996</v>
      </c>
      <c r="H83" s="27"/>
      <c r="I83" s="5">
        <v>52</v>
      </c>
      <c r="J83" s="248">
        <v>987.1</v>
      </c>
      <c r="K83" s="247">
        <v>1014.2</v>
      </c>
      <c r="L83" s="248">
        <v>1020.9</v>
      </c>
      <c r="M83" s="247">
        <v>1026.2</v>
      </c>
      <c r="N83" s="248">
        <v>1033.3</v>
      </c>
      <c r="O83" s="247">
        <v>1038.3</v>
      </c>
      <c r="P83" s="247">
        <v>1003.6</v>
      </c>
      <c r="Q83" s="248">
        <v>1006.9</v>
      </c>
      <c r="R83" s="247">
        <v>1009.7</v>
      </c>
      <c r="S83" s="248">
        <v>1012</v>
      </c>
      <c r="T83" s="248">
        <v>1014.2</v>
      </c>
      <c r="U83" s="5">
        <v>52</v>
      </c>
    </row>
    <row r="84" spans="1:21">
      <c r="A84" s="27">
        <v>10</v>
      </c>
      <c r="B84" s="28" t="s">
        <v>86</v>
      </c>
      <c r="C84" s="27">
        <v>18</v>
      </c>
      <c r="D84" s="27">
        <v>10</v>
      </c>
      <c r="E84" s="27">
        <v>4</v>
      </c>
      <c r="F84" s="29">
        <v>7103002</v>
      </c>
      <c r="G84" s="27">
        <v>6.5</v>
      </c>
      <c r="H84" s="27"/>
      <c r="I84" s="5">
        <v>53</v>
      </c>
      <c r="J84" s="248">
        <v>986.6</v>
      </c>
      <c r="K84" s="247">
        <v>1013.6</v>
      </c>
      <c r="L84" s="248">
        <v>1020.3</v>
      </c>
      <c r="M84" s="247">
        <v>1025.5999999999999</v>
      </c>
      <c r="N84" s="248">
        <v>1032.7</v>
      </c>
      <c r="O84" s="247">
        <v>1037.7</v>
      </c>
      <c r="P84" s="247">
        <v>1002.9</v>
      </c>
      <c r="Q84" s="248">
        <v>1006.2</v>
      </c>
      <c r="R84" s="247">
        <v>1009</v>
      </c>
      <c r="S84" s="248">
        <v>1011.3</v>
      </c>
      <c r="T84" s="248">
        <v>1013.5</v>
      </c>
      <c r="U84" s="5">
        <v>53</v>
      </c>
    </row>
    <row r="85" spans="1:21">
      <c r="A85" s="27">
        <v>11</v>
      </c>
      <c r="B85" s="28" t="s">
        <v>87</v>
      </c>
      <c r="C85" s="27">
        <v>25</v>
      </c>
      <c r="D85" s="27">
        <v>10</v>
      </c>
      <c r="E85" s="27">
        <v>4</v>
      </c>
      <c r="F85" s="29">
        <v>7103003</v>
      </c>
      <c r="G85" s="27">
        <v>8</v>
      </c>
      <c r="H85" s="27"/>
      <c r="I85" s="5">
        <v>54</v>
      </c>
      <c r="J85" s="248">
        <v>986.2</v>
      </c>
      <c r="K85" s="247">
        <v>1013.1</v>
      </c>
      <c r="L85" s="248">
        <v>1019.7</v>
      </c>
      <c r="M85" s="247">
        <v>1025</v>
      </c>
      <c r="N85" s="248">
        <v>1032</v>
      </c>
      <c r="O85" s="247">
        <v>1037</v>
      </c>
      <c r="P85" s="247">
        <v>1002.3</v>
      </c>
      <c r="Q85" s="248">
        <v>1005.6</v>
      </c>
      <c r="R85" s="247">
        <v>1008.4</v>
      </c>
      <c r="S85" s="248">
        <v>1010.6</v>
      </c>
      <c r="T85" s="248">
        <v>1012.8</v>
      </c>
      <c r="U85" s="5">
        <v>54</v>
      </c>
    </row>
    <row r="86" spans="1:21">
      <c r="A86" s="27">
        <v>12</v>
      </c>
      <c r="B86" s="28" t="s">
        <v>88</v>
      </c>
      <c r="C86" s="27">
        <v>35</v>
      </c>
      <c r="D86" s="27">
        <v>10</v>
      </c>
      <c r="E86" s="27">
        <v>4</v>
      </c>
      <c r="F86" s="29">
        <v>7103004</v>
      </c>
      <c r="G86" s="27">
        <v>9.6999999999999993</v>
      </c>
      <c r="H86" s="27"/>
      <c r="I86" s="5">
        <v>55</v>
      </c>
      <c r="J86" s="248">
        <v>985.7</v>
      </c>
      <c r="K86" s="247">
        <v>1012.5</v>
      </c>
      <c r="L86" s="248">
        <v>1019.1</v>
      </c>
      <c r="M86" s="247">
        <v>1024.4000000000001</v>
      </c>
      <c r="N86" s="248">
        <v>1031.4000000000001</v>
      </c>
      <c r="O86" s="247">
        <v>1036.4000000000001</v>
      </c>
      <c r="P86" s="247">
        <v>1001.7</v>
      </c>
      <c r="Q86" s="248">
        <v>1005</v>
      </c>
      <c r="R86" s="247">
        <v>1007.7</v>
      </c>
      <c r="S86" s="248">
        <v>1009.9</v>
      </c>
      <c r="T86" s="248">
        <v>1012.1</v>
      </c>
      <c r="U86" s="5">
        <v>55</v>
      </c>
    </row>
    <row r="87" spans="1:21">
      <c r="A87" s="27">
        <v>13</v>
      </c>
      <c r="B87" s="28" t="s">
        <v>89</v>
      </c>
      <c r="C87" s="27">
        <v>50</v>
      </c>
      <c r="D87" s="27">
        <v>10</v>
      </c>
      <c r="E87" s="27">
        <v>4</v>
      </c>
      <c r="F87" s="29">
        <v>7103005</v>
      </c>
      <c r="G87" s="27">
        <v>12</v>
      </c>
      <c r="H87" s="27"/>
      <c r="I87" s="5">
        <v>56</v>
      </c>
      <c r="J87" s="248">
        <v>985.2</v>
      </c>
      <c r="K87" s="247">
        <v>1011.9</v>
      </c>
      <c r="L87" s="248">
        <v>1018.5</v>
      </c>
      <c r="M87" s="247">
        <v>1023.8</v>
      </c>
      <c r="N87" s="248">
        <v>1030.8</v>
      </c>
      <c r="O87" s="247">
        <v>1035.7</v>
      </c>
      <c r="P87" s="247">
        <v>1001.1</v>
      </c>
      <c r="Q87" s="248">
        <v>1004.3</v>
      </c>
      <c r="R87" s="247">
        <v>1007</v>
      </c>
      <c r="S87" s="248">
        <v>1009.3</v>
      </c>
      <c r="T87" s="248">
        <v>1011.4</v>
      </c>
      <c r="U87" s="5">
        <v>56</v>
      </c>
    </row>
    <row r="88" spans="1:21">
      <c r="A88" s="27">
        <v>14</v>
      </c>
      <c r="B88" s="28" t="s">
        <v>90</v>
      </c>
      <c r="C88" s="27">
        <v>80</v>
      </c>
      <c r="D88" s="27">
        <v>10</v>
      </c>
      <c r="E88" s="27">
        <v>4</v>
      </c>
      <c r="F88" s="29">
        <v>7103006</v>
      </c>
      <c r="G88" s="27">
        <v>16</v>
      </c>
      <c r="H88" s="27"/>
      <c r="I88" s="5">
        <v>57</v>
      </c>
      <c r="J88" s="248">
        <v>984.7</v>
      </c>
      <c r="K88" s="247">
        <v>1011.3</v>
      </c>
      <c r="L88" s="248">
        <v>1017.9</v>
      </c>
      <c r="M88" s="247">
        <v>1023.2</v>
      </c>
      <c r="N88" s="248">
        <v>1030.0999999999999</v>
      </c>
      <c r="O88" s="247">
        <v>1035.0999999999999</v>
      </c>
      <c r="P88" s="247">
        <v>1000.5</v>
      </c>
      <c r="Q88" s="248">
        <v>1003.7</v>
      </c>
      <c r="R88" s="247">
        <v>1006.4</v>
      </c>
      <c r="S88" s="248">
        <v>1008.6</v>
      </c>
      <c r="T88" s="248">
        <v>1010.7</v>
      </c>
      <c r="U88" s="5">
        <v>57</v>
      </c>
    </row>
    <row r="89" spans="1:21">
      <c r="A89" s="27">
        <v>15</v>
      </c>
      <c r="B89" s="28" t="s">
        <v>94</v>
      </c>
      <c r="C89" s="27">
        <v>140</v>
      </c>
      <c r="D89" s="27">
        <v>3</v>
      </c>
      <c r="E89" s="27">
        <v>1.5</v>
      </c>
      <c r="F89" s="27">
        <v>7101008</v>
      </c>
      <c r="G89" s="27">
        <v>26</v>
      </c>
      <c r="H89" s="27"/>
      <c r="I89" s="5">
        <v>58</v>
      </c>
      <c r="J89" s="248">
        <v>984.2</v>
      </c>
      <c r="K89" s="247">
        <v>1010.8</v>
      </c>
      <c r="L89" s="248">
        <v>1017.3</v>
      </c>
      <c r="M89" s="247">
        <v>1022.5</v>
      </c>
      <c r="N89" s="248">
        <v>1029.5</v>
      </c>
      <c r="O89" s="247">
        <v>1034.4000000000001</v>
      </c>
      <c r="P89" s="247">
        <v>999.8</v>
      </c>
      <c r="Q89" s="248">
        <v>1003</v>
      </c>
      <c r="R89" s="247">
        <v>1005.7</v>
      </c>
      <c r="S89" s="248">
        <v>1007.9</v>
      </c>
      <c r="T89" s="248">
        <v>1009.9</v>
      </c>
      <c r="U89" s="5">
        <v>58</v>
      </c>
    </row>
    <row r="90" spans="1:21">
      <c r="A90" s="27">
        <v>16</v>
      </c>
      <c r="B90" s="28" t="s">
        <v>91</v>
      </c>
      <c r="C90" s="27">
        <v>200</v>
      </c>
      <c r="D90" s="27">
        <v>3</v>
      </c>
      <c r="E90" s="27">
        <v>1.5</v>
      </c>
      <c r="F90" s="27">
        <v>7101010</v>
      </c>
      <c r="G90" s="27">
        <v>30</v>
      </c>
      <c r="H90" s="27"/>
      <c r="I90" s="5">
        <v>59</v>
      </c>
      <c r="J90" s="248">
        <v>983.7</v>
      </c>
      <c r="K90" s="247">
        <v>1010.2</v>
      </c>
      <c r="L90" s="248">
        <v>1016.7</v>
      </c>
      <c r="M90" s="247">
        <v>1021.9</v>
      </c>
      <c r="N90" s="248">
        <v>1028.9000000000001</v>
      </c>
      <c r="O90" s="247">
        <v>1033.8</v>
      </c>
      <c r="P90" s="247">
        <v>999.2</v>
      </c>
      <c r="Q90" s="248">
        <v>1002.4</v>
      </c>
      <c r="R90" s="247">
        <v>1005</v>
      </c>
      <c r="S90" s="248">
        <v>1007.2</v>
      </c>
      <c r="T90" s="248">
        <v>1009.2</v>
      </c>
      <c r="U90" s="5">
        <v>59</v>
      </c>
    </row>
    <row r="91" spans="1:21">
      <c r="A91" s="27">
        <v>17</v>
      </c>
      <c r="B91" s="28" t="s">
        <v>95</v>
      </c>
      <c r="C91" s="27">
        <v>300</v>
      </c>
      <c r="D91" s="27">
        <v>3</v>
      </c>
      <c r="E91" s="27">
        <v>1.5</v>
      </c>
      <c r="F91" s="27">
        <v>7101011</v>
      </c>
      <c r="G91" s="27">
        <v>37</v>
      </c>
      <c r="H91" s="27"/>
      <c r="I91" s="5">
        <v>60</v>
      </c>
      <c r="J91" s="248">
        <v>983.2</v>
      </c>
      <c r="K91" s="247">
        <v>1009.6</v>
      </c>
      <c r="L91" s="248">
        <v>1016.1</v>
      </c>
      <c r="M91" s="247">
        <v>1021.3</v>
      </c>
      <c r="N91" s="248">
        <v>1028.3</v>
      </c>
      <c r="O91" s="247">
        <v>1033.0999999999999</v>
      </c>
      <c r="P91" s="247">
        <v>998.6</v>
      </c>
      <c r="Q91" s="248">
        <v>1001.7</v>
      </c>
      <c r="R91" s="247">
        <v>1004.4</v>
      </c>
      <c r="S91" s="248">
        <v>1006.5</v>
      </c>
      <c r="T91" s="248">
        <v>1008.5</v>
      </c>
      <c r="U91" s="5">
        <v>60</v>
      </c>
    </row>
    <row r="92" spans="1:21">
      <c r="A92" s="27">
        <v>18</v>
      </c>
      <c r="B92" s="28" t="s">
        <v>96</v>
      </c>
      <c r="C92" s="27">
        <v>400</v>
      </c>
      <c r="D92" s="27">
        <v>3</v>
      </c>
      <c r="E92" s="27">
        <v>1.5</v>
      </c>
      <c r="F92" s="27">
        <v>7101012</v>
      </c>
      <c r="G92" s="27">
        <v>54</v>
      </c>
      <c r="H92" s="27"/>
      <c r="I92" s="5">
        <v>61</v>
      </c>
      <c r="J92" s="248">
        <v>982.7</v>
      </c>
      <c r="K92" s="247">
        <v>1009</v>
      </c>
      <c r="L92" s="248">
        <v>1015.4</v>
      </c>
      <c r="M92" s="247">
        <v>1020.7</v>
      </c>
      <c r="N92" s="248">
        <v>1027.5999999999999</v>
      </c>
      <c r="O92" s="247">
        <v>1032.5</v>
      </c>
      <c r="P92" s="247">
        <v>997.9</v>
      </c>
      <c r="Q92" s="248">
        <v>1001</v>
      </c>
      <c r="R92" s="247">
        <v>1003.6</v>
      </c>
      <c r="S92" s="248">
        <v>1005.7</v>
      </c>
      <c r="T92" s="248">
        <v>1007.7</v>
      </c>
      <c r="U92" s="5">
        <v>61</v>
      </c>
    </row>
    <row r="93" spans="1:21">
      <c r="A93" s="27">
        <v>19</v>
      </c>
      <c r="B93" s="28" t="s">
        <v>97</v>
      </c>
      <c r="C93" s="27">
        <v>500</v>
      </c>
      <c r="D93" s="27">
        <v>3</v>
      </c>
      <c r="E93" s="27">
        <v>1.5</v>
      </c>
      <c r="F93" s="27">
        <v>7101013</v>
      </c>
      <c r="G93" s="27">
        <v>63</v>
      </c>
      <c r="H93" s="27"/>
      <c r="I93" s="5">
        <v>62</v>
      </c>
      <c r="J93" s="248">
        <v>982.2</v>
      </c>
      <c r="K93" s="247">
        <v>1008.4</v>
      </c>
      <c r="L93" s="248">
        <v>1014.8</v>
      </c>
      <c r="M93" s="247">
        <v>1020</v>
      </c>
      <c r="N93" s="248">
        <v>1026.9000000000001</v>
      </c>
      <c r="O93" s="247">
        <v>1031.8</v>
      </c>
      <c r="P93" s="247">
        <v>997.3</v>
      </c>
      <c r="Q93" s="248">
        <v>1000.3</v>
      </c>
      <c r="R93" s="247">
        <v>1002.9</v>
      </c>
      <c r="S93" s="248">
        <v>1005</v>
      </c>
      <c r="T93" s="248">
        <v>1007</v>
      </c>
      <c r="U93" s="5">
        <v>62</v>
      </c>
    </row>
    <row r="94" spans="1:21">
      <c r="A94" s="27">
        <v>20</v>
      </c>
      <c r="B94" s="28" t="s">
        <v>98</v>
      </c>
      <c r="C94" s="27">
        <v>600</v>
      </c>
      <c r="D94" s="27">
        <v>3</v>
      </c>
      <c r="E94" s="27">
        <v>1.5</v>
      </c>
      <c r="F94" s="27">
        <v>7101014</v>
      </c>
      <c r="G94" s="27">
        <v>70</v>
      </c>
      <c r="H94" s="27"/>
      <c r="I94" s="5">
        <v>63</v>
      </c>
      <c r="J94" s="248">
        <v>981.6</v>
      </c>
      <c r="K94" s="247">
        <v>1007.8</v>
      </c>
      <c r="L94" s="248">
        <v>1014.2</v>
      </c>
      <c r="M94" s="247">
        <v>1019.4</v>
      </c>
      <c r="N94" s="248">
        <v>1026.2</v>
      </c>
      <c r="O94" s="247">
        <v>1031.0999999999999</v>
      </c>
      <c r="P94" s="247">
        <v>996.6</v>
      </c>
      <c r="Q94" s="248">
        <v>999.6</v>
      </c>
      <c r="R94" s="247">
        <v>1002.2</v>
      </c>
      <c r="S94" s="248">
        <v>1004.3</v>
      </c>
      <c r="T94" s="248">
        <v>1006.2</v>
      </c>
      <c r="U94" s="5">
        <v>63</v>
      </c>
    </row>
    <row r="95" spans="1:21">
      <c r="A95" s="27">
        <v>21</v>
      </c>
      <c r="B95" s="28" t="s">
        <v>99</v>
      </c>
      <c r="C95" s="27">
        <v>800</v>
      </c>
      <c r="D95" s="27">
        <v>3</v>
      </c>
      <c r="E95" s="27">
        <v>1.5</v>
      </c>
      <c r="F95" s="27">
        <v>7101015</v>
      </c>
      <c r="G95" s="27">
        <v>91</v>
      </c>
      <c r="H95" s="27"/>
      <c r="I95" s="5">
        <v>64</v>
      </c>
      <c r="J95" s="248">
        <v>981.1</v>
      </c>
      <c r="K95" s="247">
        <v>1007.2</v>
      </c>
      <c r="L95" s="248">
        <v>1013.5</v>
      </c>
      <c r="M95" s="247">
        <v>1018.7</v>
      </c>
      <c r="N95" s="248">
        <v>1025.5999999999999</v>
      </c>
      <c r="O95" s="247">
        <v>1030.4000000000001</v>
      </c>
      <c r="P95" s="247">
        <v>995.9</v>
      </c>
      <c r="Q95" s="248">
        <v>998.9</v>
      </c>
      <c r="R95" s="247">
        <v>1001.5</v>
      </c>
      <c r="S95" s="248">
        <v>1003.5</v>
      </c>
      <c r="T95" s="248">
        <v>1005.5</v>
      </c>
      <c r="U95" s="5">
        <v>64</v>
      </c>
    </row>
    <row r="96" spans="1:21">
      <c r="A96" s="27">
        <v>22</v>
      </c>
      <c r="B96" s="28" t="s">
        <v>100</v>
      </c>
      <c r="C96" s="27">
        <v>140</v>
      </c>
      <c r="D96" s="27">
        <v>6</v>
      </c>
      <c r="E96" s="27">
        <v>3.5</v>
      </c>
      <c r="F96" s="27">
        <v>7102008</v>
      </c>
      <c r="G96" s="27">
        <v>30</v>
      </c>
      <c r="H96" s="27"/>
      <c r="I96" s="5">
        <v>65</v>
      </c>
      <c r="J96" s="248">
        <v>980.5</v>
      </c>
      <c r="K96" s="247">
        <v>1006.5</v>
      </c>
      <c r="L96" s="248">
        <v>1012.9</v>
      </c>
      <c r="M96" s="247">
        <v>1018</v>
      </c>
      <c r="N96" s="248">
        <v>1024.9000000000001</v>
      </c>
      <c r="O96" s="247">
        <v>1029.7</v>
      </c>
      <c r="P96" s="247">
        <v>995.3</v>
      </c>
      <c r="Q96" s="248">
        <v>998.3</v>
      </c>
      <c r="R96" s="247">
        <v>1000.8</v>
      </c>
      <c r="S96" s="248">
        <v>1002.8</v>
      </c>
      <c r="T96" s="248">
        <v>1004.7</v>
      </c>
      <c r="U96" s="5">
        <v>65</v>
      </c>
    </row>
    <row r="97" spans="1:21">
      <c r="A97" s="27">
        <v>23</v>
      </c>
      <c r="B97" s="28" t="s">
        <v>92</v>
      </c>
      <c r="C97" s="27">
        <v>200</v>
      </c>
      <c r="D97" s="27">
        <v>6</v>
      </c>
      <c r="E97" s="27">
        <v>3.5</v>
      </c>
      <c r="F97" s="27">
        <v>7102009</v>
      </c>
      <c r="G97" s="27">
        <v>35</v>
      </c>
      <c r="H97" s="27"/>
      <c r="I97" s="5">
        <v>66</v>
      </c>
      <c r="J97" s="248">
        <v>980</v>
      </c>
      <c r="K97" s="247">
        <v>1005.9</v>
      </c>
      <c r="L97" s="248">
        <v>1012.3</v>
      </c>
      <c r="M97" s="247">
        <v>1017.4</v>
      </c>
      <c r="N97" s="248">
        <v>1024.2</v>
      </c>
      <c r="O97" s="247">
        <v>1029</v>
      </c>
      <c r="P97" s="247">
        <v>994.6</v>
      </c>
      <c r="Q97" s="248">
        <v>997.6</v>
      </c>
      <c r="R97" s="247">
        <v>1000</v>
      </c>
      <c r="S97" s="248">
        <v>1002.1</v>
      </c>
      <c r="T97" s="248">
        <v>1004</v>
      </c>
      <c r="U97" s="5">
        <v>66</v>
      </c>
    </row>
    <row r="98" spans="1:21">
      <c r="A98" s="27">
        <v>24</v>
      </c>
      <c r="B98" s="28" t="s">
        <v>101</v>
      </c>
      <c r="C98" s="27">
        <v>300</v>
      </c>
      <c r="D98" s="27">
        <v>6</v>
      </c>
      <c r="E98" s="27">
        <v>3.5</v>
      </c>
      <c r="F98" s="27">
        <v>7102010</v>
      </c>
      <c r="G98" s="27">
        <v>43</v>
      </c>
      <c r="H98" s="27"/>
      <c r="I98" s="5">
        <v>67</v>
      </c>
      <c r="J98" s="248">
        <v>979.4</v>
      </c>
      <c r="K98" s="247">
        <v>1005.3</v>
      </c>
      <c r="L98" s="248">
        <v>1011.6</v>
      </c>
      <c r="M98" s="247">
        <v>1016.7</v>
      </c>
      <c r="N98" s="248">
        <v>1023.5</v>
      </c>
      <c r="O98" s="247">
        <v>1028.4000000000001</v>
      </c>
      <c r="P98" s="247">
        <v>993.9</v>
      </c>
      <c r="Q98" s="248">
        <v>996.9</v>
      </c>
      <c r="R98" s="247">
        <v>999.3</v>
      </c>
      <c r="S98" s="248">
        <v>1001.3</v>
      </c>
      <c r="T98" s="248">
        <v>1003.2</v>
      </c>
      <c r="U98" s="5">
        <v>67</v>
      </c>
    </row>
    <row r="99" spans="1:21">
      <c r="A99" s="27">
        <v>25</v>
      </c>
      <c r="B99" s="28" t="s">
        <v>102</v>
      </c>
      <c r="C99" s="27">
        <v>400</v>
      </c>
      <c r="D99" s="27">
        <v>6</v>
      </c>
      <c r="E99" s="27">
        <v>3.5</v>
      </c>
      <c r="F99" s="27">
        <v>7102011</v>
      </c>
      <c r="G99" s="27">
        <v>62</v>
      </c>
      <c r="H99" s="27"/>
      <c r="I99" s="5">
        <v>68</v>
      </c>
      <c r="J99" s="248">
        <v>978.9</v>
      </c>
      <c r="K99" s="247">
        <v>1004.7</v>
      </c>
      <c r="L99" s="248">
        <v>1011</v>
      </c>
      <c r="M99" s="247">
        <v>1016.1</v>
      </c>
      <c r="N99" s="248">
        <v>1022.9</v>
      </c>
      <c r="O99" s="247">
        <v>1027.7</v>
      </c>
      <c r="P99" s="247">
        <v>993.3</v>
      </c>
      <c r="Q99" s="248">
        <v>996.2</v>
      </c>
      <c r="R99" s="247">
        <v>998.6</v>
      </c>
      <c r="S99" s="248">
        <v>1000.6</v>
      </c>
      <c r="T99" s="248">
        <v>1002.5</v>
      </c>
      <c r="U99" s="5">
        <v>68</v>
      </c>
    </row>
    <row r="100" spans="1:21">
      <c r="A100" s="27">
        <v>26</v>
      </c>
      <c r="B100" s="28" t="s">
        <v>103</v>
      </c>
      <c r="C100" s="27">
        <v>500</v>
      </c>
      <c r="D100" s="27">
        <v>6</v>
      </c>
      <c r="E100" s="27">
        <v>3.5</v>
      </c>
      <c r="F100" s="27">
        <v>7102012</v>
      </c>
      <c r="G100" s="27">
        <v>73</v>
      </c>
      <c r="H100" s="27"/>
      <c r="I100" s="5">
        <v>69</v>
      </c>
      <c r="J100" s="248">
        <v>978.3</v>
      </c>
      <c r="K100" s="247">
        <v>1004.1</v>
      </c>
      <c r="L100" s="248">
        <v>1010.4</v>
      </c>
      <c r="M100" s="247">
        <v>1015.4</v>
      </c>
      <c r="N100" s="248">
        <v>1022.2</v>
      </c>
      <c r="O100" s="247">
        <v>1027</v>
      </c>
      <c r="P100" s="247">
        <v>992.6</v>
      </c>
      <c r="Q100" s="248">
        <v>995.5</v>
      </c>
      <c r="R100" s="247">
        <v>997.9</v>
      </c>
      <c r="S100" s="248">
        <v>999.8</v>
      </c>
      <c r="T100" s="248">
        <v>1001.7</v>
      </c>
      <c r="U100" s="5">
        <v>69</v>
      </c>
    </row>
    <row r="101" spans="1:21">
      <c r="A101" s="27">
        <v>27</v>
      </c>
      <c r="B101" s="28" t="s">
        <v>104</v>
      </c>
      <c r="C101" s="27">
        <v>600</v>
      </c>
      <c r="D101" s="27">
        <v>6</v>
      </c>
      <c r="E101" s="27">
        <v>3.5</v>
      </c>
      <c r="F101" s="27">
        <v>7102013</v>
      </c>
      <c r="G101" s="27">
        <v>81</v>
      </c>
      <c r="H101" s="27"/>
      <c r="I101" s="5">
        <v>70</v>
      </c>
      <c r="J101" s="248">
        <v>977.8</v>
      </c>
      <c r="K101" s="247">
        <v>1003.5</v>
      </c>
      <c r="L101" s="248">
        <v>1009.7</v>
      </c>
      <c r="M101" s="247">
        <v>1014.8</v>
      </c>
      <c r="N101" s="248">
        <v>1021.5</v>
      </c>
      <c r="O101" s="247">
        <v>1026.3</v>
      </c>
      <c r="P101" s="247">
        <v>991.9</v>
      </c>
      <c r="Q101" s="248">
        <v>994.8</v>
      </c>
      <c r="R101" s="247">
        <v>997.1</v>
      </c>
      <c r="S101" s="248">
        <v>999.1</v>
      </c>
      <c r="T101" s="248">
        <v>1000.9</v>
      </c>
      <c r="U101" s="5">
        <v>70</v>
      </c>
    </row>
    <row r="102" spans="1:21">
      <c r="A102" s="27">
        <v>28</v>
      </c>
      <c r="B102" s="28" t="s">
        <v>105</v>
      </c>
      <c r="C102" s="27">
        <v>800</v>
      </c>
      <c r="D102" s="27">
        <v>6</v>
      </c>
      <c r="E102" s="27">
        <v>3.5</v>
      </c>
      <c r="F102" s="27">
        <v>7102014</v>
      </c>
      <c r="G102" s="27">
        <v>105</v>
      </c>
      <c r="H102" s="27"/>
      <c r="I102" s="5">
        <v>71</v>
      </c>
      <c r="J102" s="248">
        <v>977.2</v>
      </c>
      <c r="K102" s="247">
        <v>1002.8</v>
      </c>
      <c r="L102" s="248">
        <v>1009</v>
      </c>
      <c r="M102" s="247">
        <v>1014.1</v>
      </c>
      <c r="N102" s="248">
        <v>1020.8</v>
      </c>
      <c r="O102" s="247">
        <v>1025.5999999999999</v>
      </c>
      <c r="P102" s="247">
        <v>991.2</v>
      </c>
      <c r="Q102" s="248">
        <v>994.1</v>
      </c>
      <c r="R102" s="247">
        <v>996.4</v>
      </c>
      <c r="S102" s="248">
        <v>998.3</v>
      </c>
      <c r="T102" s="248">
        <v>1000.2</v>
      </c>
      <c r="U102" s="5">
        <v>71</v>
      </c>
    </row>
    <row r="103" spans="1:21">
      <c r="A103" s="27">
        <v>29</v>
      </c>
      <c r="B103" s="28" t="s">
        <v>106</v>
      </c>
      <c r="C103" s="27">
        <v>140</v>
      </c>
      <c r="D103" s="27">
        <v>10</v>
      </c>
      <c r="E103" s="27">
        <v>4</v>
      </c>
      <c r="F103" s="27">
        <v>7103007</v>
      </c>
      <c r="G103" s="27">
        <v>34</v>
      </c>
      <c r="H103" s="27"/>
      <c r="I103" s="5">
        <v>72</v>
      </c>
      <c r="J103" s="248">
        <v>976.6</v>
      </c>
      <c r="K103" s="247">
        <v>1002.1</v>
      </c>
      <c r="L103" s="248">
        <v>1008.4</v>
      </c>
      <c r="M103" s="247">
        <v>1013.4</v>
      </c>
      <c r="N103" s="248">
        <v>1020.1</v>
      </c>
      <c r="O103" s="247">
        <v>1024.9000000000001</v>
      </c>
      <c r="P103" s="247">
        <v>990.5</v>
      </c>
      <c r="Q103" s="248">
        <v>993.3</v>
      </c>
      <c r="R103" s="247">
        <v>995.7</v>
      </c>
      <c r="S103" s="248">
        <v>997.6</v>
      </c>
      <c r="T103" s="248">
        <v>999.4</v>
      </c>
      <c r="U103" s="5">
        <v>72</v>
      </c>
    </row>
    <row r="104" spans="1:21">
      <c r="A104" s="27">
        <v>30</v>
      </c>
      <c r="B104" s="28" t="s">
        <v>93</v>
      </c>
      <c r="C104" s="27">
        <v>200</v>
      </c>
      <c r="D104" s="27">
        <v>10</v>
      </c>
      <c r="E104" s="27">
        <v>4</v>
      </c>
      <c r="F104" s="27">
        <v>7103008</v>
      </c>
      <c r="G104" s="27">
        <v>42</v>
      </c>
      <c r="H104" s="27"/>
      <c r="I104" s="5">
        <v>73</v>
      </c>
      <c r="J104" s="248">
        <v>976</v>
      </c>
      <c r="K104" s="247">
        <v>1001.5</v>
      </c>
      <c r="L104" s="248">
        <v>1007.7</v>
      </c>
      <c r="M104" s="247">
        <v>1012.7</v>
      </c>
      <c r="N104" s="248">
        <v>1019.4</v>
      </c>
      <c r="O104" s="247">
        <v>1024.2</v>
      </c>
      <c r="P104" s="247">
        <v>989.8</v>
      </c>
      <c r="Q104" s="248">
        <v>992.6</v>
      </c>
      <c r="R104" s="247">
        <v>994.9</v>
      </c>
      <c r="S104" s="248">
        <v>996.8</v>
      </c>
      <c r="T104" s="248">
        <v>998.6</v>
      </c>
      <c r="U104" s="5">
        <v>73</v>
      </c>
    </row>
    <row r="105" spans="1:21">
      <c r="A105" s="27">
        <v>31</v>
      </c>
      <c r="B105" s="28" t="s">
        <v>107</v>
      </c>
      <c r="C105" s="27">
        <v>300</v>
      </c>
      <c r="D105" s="27">
        <v>10</v>
      </c>
      <c r="E105" s="27">
        <v>4</v>
      </c>
      <c r="F105" s="27">
        <v>7103009</v>
      </c>
      <c r="G105" s="27">
        <v>66</v>
      </c>
      <c r="H105" s="27"/>
      <c r="I105" s="5">
        <v>74</v>
      </c>
      <c r="J105" s="248">
        <v>975.4</v>
      </c>
      <c r="K105" s="247">
        <v>1000.8</v>
      </c>
      <c r="L105" s="248">
        <v>1007</v>
      </c>
      <c r="M105" s="247">
        <v>1012</v>
      </c>
      <c r="N105" s="248">
        <v>1018.7</v>
      </c>
      <c r="O105" s="247">
        <v>1023.4</v>
      </c>
      <c r="P105" s="247">
        <v>989.1</v>
      </c>
      <c r="Q105" s="248">
        <v>991.9</v>
      </c>
      <c r="R105" s="247">
        <v>994.2</v>
      </c>
      <c r="S105" s="248">
        <v>996.1</v>
      </c>
      <c r="T105" s="248">
        <v>997.8</v>
      </c>
      <c r="U105" s="5">
        <v>74</v>
      </c>
    </row>
    <row r="106" spans="1:21">
      <c r="A106" s="27">
        <v>32</v>
      </c>
      <c r="B106" s="28" t="s">
        <v>108</v>
      </c>
      <c r="C106" s="27">
        <v>400</v>
      </c>
      <c r="D106" s="27">
        <v>10</v>
      </c>
      <c r="E106" s="27">
        <v>4</v>
      </c>
      <c r="F106" s="27">
        <v>7103010</v>
      </c>
      <c r="G106" s="27">
        <v>75</v>
      </c>
      <c r="H106" s="27"/>
      <c r="I106" s="5">
        <v>75</v>
      </c>
      <c r="J106" s="248">
        <v>974.8</v>
      </c>
      <c r="K106" s="247">
        <v>1000.1</v>
      </c>
      <c r="L106" s="248">
        <v>1006.3</v>
      </c>
      <c r="M106" s="247">
        <v>1011.3</v>
      </c>
      <c r="N106" s="248">
        <v>1018</v>
      </c>
      <c r="O106" s="247">
        <v>1022.7</v>
      </c>
      <c r="P106" s="247">
        <v>988.4</v>
      </c>
      <c r="Q106" s="248">
        <v>991.2</v>
      </c>
      <c r="R106" s="247">
        <v>993.4</v>
      </c>
      <c r="S106" s="248">
        <v>995.3</v>
      </c>
      <c r="T106" s="248">
        <v>997</v>
      </c>
      <c r="U106" s="5">
        <v>75</v>
      </c>
    </row>
    <row r="107" spans="1:21">
      <c r="A107" s="27">
        <v>33</v>
      </c>
      <c r="B107" s="28" t="s">
        <v>109</v>
      </c>
      <c r="C107" s="27">
        <v>500</v>
      </c>
      <c r="D107" s="27">
        <v>10</v>
      </c>
      <c r="E107" s="27">
        <v>4</v>
      </c>
      <c r="F107" s="27">
        <v>7103011</v>
      </c>
      <c r="G107" s="27">
        <v>103</v>
      </c>
      <c r="H107" s="27"/>
      <c r="I107" s="5">
        <v>76</v>
      </c>
      <c r="J107" s="248">
        <v>974.2</v>
      </c>
      <c r="K107" s="247">
        <v>999.5</v>
      </c>
      <c r="L107" s="248">
        <v>1005.7</v>
      </c>
      <c r="M107" s="247">
        <v>1010.7</v>
      </c>
      <c r="N107" s="248">
        <v>1017.3</v>
      </c>
      <c r="O107" s="247">
        <v>1022</v>
      </c>
      <c r="P107" s="247">
        <v>987.7</v>
      </c>
      <c r="Q107" s="248">
        <v>990.4</v>
      </c>
      <c r="R107" s="247">
        <v>992.7</v>
      </c>
      <c r="S107" s="248">
        <v>994.5</v>
      </c>
      <c r="T107" s="248">
        <v>996.3</v>
      </c>
      <c r="U107" s="5">
        <v>76</v>
      </c>
    </row>
    <row r="108" spans="1:21">
      <c r="A108" s="27">
        <v>34</v>
      </c>
      <c r="B108" s="28" t="s">
        <v>110</v>
      </c>
      <c r="C108" s="27">
        <v>600</v>
      </c>
      <c r="D108" s="27">
        <v>10</v>
      </c>
      <c r="E108" s="27">
        <v>4</v>
      </c>
      <c r="F108" s="27">
        <v>7103012</v>
      </c>
      <c r="G108" s="27">
        <v>113</v>
      </c>
      <c r="H108" s="27"/>
      <c r="I108" s="5">
        <v>77</v>
      </c>
      <c r="J108" s="248">
        <v>973.6</v>
      </c>
      <c r="K108" s="247">
        <v>998.8</v>
      </c>
      <c r="L108" s="248">
        <v>1005</v>
      </c>
      <c r="M108" s="247">
        <v>1010</v>
      </c>
      <c r="N108" s="248">
        <v>1016.6</v>
      </c>
      <c r="O108" s="247">
        <v>1021.3</v>
      </c>
      <c r="P108" s="247">
        <v>987</v>
      </c>
      <c r="Q108" s="248">
        <v>989.7</v>
      </c>
      <c r="R108" s="247">
        <v>992</v>
      </c>
      <c r="S108" s="248">
        <v>993.8</v>
      </c>
      <c r="T108" s="248">
        <v>995.5</v>
      </c>
      <c r="U108" s="5">
        <v>77</v>
      </c>
    </row>
    <row r="109" spans="1:21">
      <c r="A109" s="27">
        <v>35</v>
      </c>
      <c r="B109" s="28" t="s">
        <v>112</v>
      </c>
      <c r="C109" s="27">
        <v>1000</v>
      </c>
      <c r="D109" s="27">
        <v>6</v>
      </c>
      <c r="E109" s="27">
        <v>3.5</v>
      </c>
      <c r="F109" s="27">
        <v>7102015</v>
      </c>
      <c r="G109" s="27">
        <v>290</v>
      </c>
      <c r="H109" s="27"/>
      <c r="I109" s="5">
        <v>78</v>
      </c>
      <c r="J109" s="248">
        <v>973</v>
      </c>
      <c r="K109" s="247">
        <v>998.1</v>
      </c>
      <c r="L109" s="248">
        <v>1004.3</v>
      </c>
      <c r="M109" s="247">
        <v>1009.3</v>
      </c>
      <c r="N109" s="248">
        <v>1015.9</v>
      </c>
      <c r="O109" s="247">
        <v>1020.6</v>
      </c>
      <c r="P109" s="247">
        <v>986.3</v>
      </c>
      <c r="Q109" s="248">
        <v>989</v>
      </c>
      <c r="R109" s="247">
        <v>991.2</v>
      </c>
      <c r="S109" s="248">
        <v>993</v>
      </c>
      <c r="T109" s="248">
        <v>994.7</v>
      </c>
      <c r="U109" s="5">
        <v>78</v>
      </c>
    </row>
    <row r="110" spans="1:21">
      <c r="A110" s="27">
        <v>36</v>
      </c>
      <c r="B110" s="28" t="s">
        <v>113</v>
      </c>
      <c r="C110" s="27">
        <v>1500</v>
      </c>
      <c r="D110" s="27">
        <v>6</v>
      </c>
      <c r="E110" s="27">
        <v>3.5</v>
      </c>
      <c r="F110" s="27">
        <v>7102016</v>
      </c>
      <c r="G110" s="27">
        <v>400</v>
      </c>
      <c r="H110" s="27"/>
      <c r="I110" s="5">
        <v>79</v>
      </c>
      <c r="J110" s="248">
        <v>972.4</v>
      </c>
      <c r="K110" s="247">
        <v>997.5</v>
      </c>
      <c r="L110" s="248">
        <v>1003.6</v>
      </c>
      <c r="M110" s="247">
        <v>1008.6</v>
      </c>
      <c r="N110" s="248">
        <v>1015.2</v>
      </c>
      <c r="O110" s="247">
        <v>1019.9</v>
      </c>
      <c r="P110" s="247">
        <v>985.6</v>
      </c>
      <c r="Q110" s="248">
        <v>988.3</v>
      </c>
      <c r="R110" s="247">
        <v>990.5</v>
      </c>
      <c r="S110" s="248">
        <v>992.2</v>
      </c>
      <c r="T110" s="248">
        <v>993.9</v>
      </c>
      <c r="U110" s="5">
        <v>79</v>
      </c>
    </row>
    <row r="111" spans="1:21">
      <c r="A111" s="27">
        <v>37</v>
      </c>
      <c r="B111" s="28" t="s">
        <v>114</v>
      </c>
      <c r="C111" s="27">
        <v>2000</v>
      </c>
      <c r="D111" s="27">
        <v>6</v>
      </c>
      <c r="E111" s="27">
        <v>3.5</v>
      </c>
      <c r="F111" s="27">
        <v>7102017</v>
      </c>
      <c r="G111" s="27">
        <v>680</v>
      </c>
      <c r="H111" s="27"/>
      <c r="I111" s="5">
        <v>80</v>
      </c>
      <c r="J111" s="248">
        <v>971.8</v>
      </c>
      <c r="K111" s="247">
        <v>996.8</v>
      </c>
      <c r="L111" s="248">
        <v>1003</v>
      </c>
      <c r="M111" s="247">
        <v>1007.9</v>
      </c>
      <c r="N111" s="248">
        <v>1014.5</v>
      </c>
      <c r="O111" s="247">
        <v>1019.2</v>
      </c>
      <c r="P111" s="247">
        <v>984.9</v>
      </c>
      <c r="Q111" s="248">
        <v>987.5</v>
      </c>
      <c r="R111" s="247">
        <v>989.7</v>
      </c>
      <c r="S111" s="248">
        <v>991.5</v>
      </c>
      <c r="T111" s="248">
        <v>993.1</v>
      </c>
      <c r="U111" s="5">
        <v>80</v>
      </c>
    </row>
    <row r="112" spans="1:21">
      <c r="A112" s="27">
        <v>38</v>
      </c>
      <c r="B112" s="28" t="s">
        <v>115</v>
      </c>
      <c r="C112" s="27">
        <v>3000</v>
      </c>
      <c r="D112" s="27">
        <v>6</v>
      </c>
      <c r="E112" s="27">
        <v>3.5</v>
      </c>
      <c r="F112" s="27">
        <v>7102018</v>
      </c>
      <c r="G112" s="27">
        <v>840</v>
      </c>
      <c r="H112" s="27"/>
      <c r="I112" s="5">
        <v>81</v>
      </c>
      <c r="J112" s="248">
        <v>971.2</v>
      </c>
      <c r="K112" s="247">
        <v>996.1</v>
      </c>
      <c r="L112" s="248">
        <v>1002.2</v>
      </c>
      <c r="M112" s="247">
        <v>1007.2</v>
      </c>
      <c r="N112" s="248">
        <v>1013.7</v>
      </c>
      <c r="O112" s="247">
        <v>1018.4</v>
      </c>
      <c r="P112" s="247">
        <v>984.2</v>
      </c>
      <c r="Q112" s="248">
        <v>986.8</v>
      </c>
      <c r="R112" s="247">
        <v>988.9</v>
      </c>
      <c r="S112" s="248">
        <v>990.7</v>
      </c>
      <c r="T112" s="248">
        <v>992.3</v>
      </c>
      <c r="U112" s="5">
        <v>81</v>
      </c>
    </row>
    <row r="113" spans="1:21">
      <c r="A113" s="27">
        <v>39</v>
      </c>
      <c r="B113" s="28" t="s">
        <v>116</v>
      </c>
      <c r="C113" s="27">
        <v>4000</v>
      </c>
      <c r="D113" s="27">
        <v>6</v>
      </c>
      <c r="E113" s="27">
        <v>3.5</v>
      </c>
      <c r="F113" s="27">
        <v>7102019</v>
      </c>
      <c r="G113" s="27">
        <v>950</v>
      </c>
      <c r="H113" s="27"/>
      <c r="I113" s="5">
        <v>82</v>
      </c>
      <c r="J113" s="248">
        <v>970.5</v>
      </c>
      <c r="K113" s="247">
        <v>995.4</v>
      </c>
      <c r="L113" s="248">
        <v>1001.5</v>
      </c>
      <c r="M113" s="247">
        <v>1006.4</v>
      </c>
      <c r="N113" s="248">
        <v>1013</v>
      </c>
      <c r="O113" s="247">
        <v>1017.7</v>
      </c>
      <c r="P113" s="247">
        <v>983.5</v>
      </c>
      <c r="Q113" s="248">
        <v>986</v>
      </c>
      <c r="R113" s="247">
        <v>988.1</v>
      </c>
      <c r="S113" s="248">
        <v>989.9</v>
      </c>
      <c r="T113" s="248">
        <v>991.5</v>
      </c>
      <c r="U113" s="5">
        <v>82</v>
      </c>
    </row>
    <row r="114" spans="1:21">
      <c r="A114" s="27">
        <v>40</v>
      </c>
      <c r="B114" s="28" t="s">
        <v>117</v>
      </c>
      <c r="C114" s="27">
        <v>5000</v>
      </c>
      <c r="D114" s="27">
        <v>6</v>
      </c>
      <c r="E114" s="27">
        <v>3.5</v>
      </c>
      <c r="F114" s="27">
        <v>7102020</v>
      </c>
      <c r="G114" s="27">
        <v>1050</v>
      </c>
      <c r="H114" s="27"/>
      <c r="I114" s="5">
        <v>83</v>
      </c>
      <c r="J114" s="248">
        <v>969.9</v>
      </c>
      <c r="K114" s="247">
        <v>994.7</v>
      </c>
      <c r="L114" s="248">
        <v>1000.8</v>
      </c>
      <c r="M114" s="247">
        <v>1005.7</v>
      </c>
      <c r="N114" s="248">
        <v>1012.3</v>
      </c>
      <c r="O114" s="247">
        <v>1016.9</v>
      </c>
      <c r="P114" s="247">
        <v>982.7</v>
      </c>
      <c r="Q114" s="248">
        <v>985.2</v>
      </c>
      <c r="R114" s="247">
        <v>987.4</v>
      </c>
      <c r="S114" s="248">
        <v>989.1</v>
      </c>
      <c r="T114" s="248">
        <v>990.7</v>
      </c>
      <c r="U114" s="5">
        <v>83</v>
      </c>
    </row>
    <row r="115" spans="1:21">
      <c r="A115" s="27">
        <v>41</v>
      </c>
      <c r="B115" s="28" t="s">
        <v>111</v>
      </c>
      <c r="C115" s="27">
        <v>1000</v>
      </c>
      <c r="D115" s="27">
        <v>10</v>
      </c>
      <c r="E115" s="27">
        <v>4</v>
      </c>
      <c r="F115" s="27">
        <v>7103013</v>
      </c>
      <c r="G115" s="27">
        <v>340</v>
      </c>
      <c r="H115" s="27"/>
      <c r="I115" s="5">
        <v>84</v>
      </c>
      <c r="J115" s="248">
        <v>969.3</v>
      </c>
      <c r="K115" s="247">
        <v>994</v>
      </c>
      <c r="L115" s="248">
        <v>1000.1</v>
      </c>
      <c r="M115" s="247">
        <v>1005</v>
      </c>
      <c r="N115" s="248">
        <v>1011.5</v>
      </c>
      <c r="O115" s="247">
        <v>1016.2</v>
      </c>
      <c r="P115" s="247">
        <v>982</v>
      </c>
      <c r="Q115" s="248">
        <v>984.5</v>
      </c>
      <c r="R115" s="247">
        <v>986.6</v>
      </c>
      <c r="S115" s="248">
        <v>988.3</v>
      </c>
      <c r="T115" s="248">
        <v>989.9</v>
      </c>
      <c r="U115" s="5">
        <v>84</v>
      </c>
    </row>
    <row r="116" spans="1:21">
      <c r="A116" s="27">
        <v>42</v>
      </c>
      <c r="B116" s="28" t="s">
        <v>118</v>
      </c>
      <c r="C116" s="27">
        <v>1500</v>
      </c>
      <c r="D116" s="27">
        <v>10</v>
      </c>
      <c r="E116" s="27">
        <v>4</v>
      </c>
      <c r="F116" s="27">
        <v>7103014</v>
      </c>
      <c r="G116" s="27">
        <v>460</v>
      </c>
      <c r="H116" s="27"/>
      <c r="I116" s="5">
        <v>85</v>
      </c>
      <c r="J116" s="248">
        <v>968.6</v>
      </c>
      <c r="K116" s="247">
        <v>993.3</v>
      </c>
      <c r="L116" s="248">
        <v>999.4</v>
      </c>
      <c r="M116" s="247">
        <v>1004.3</v>
      </c>
      <c r="N116" s="248">
        <v>1010.8</v>
      </c>
      <c r="O116" s="247">
        <v>1015.5</v>
      </c>
      <c r="P116" s="247">
        <v>981.2</v>
      </c>
      <c r="Q116" s="248">
        <v>983.7</v>
      </c>
      <c r="R116" s="247">
        <v>985.8</v>
      </c>
      <c r="S116" s="248">
        <v>987.5</v>
      </c>
      <c r="T116" s="248">
        <v>989</v>
      </c>
      <c r="U116" s="5">
        <v>85</v>
      </c>
    </row>
    <row r="117" spans="1:21">
      <c r="A117" s="27">
        <v>43</v>
      </c>
      <c r="B117" s="28" t="s">
        <v>119</v>
      </c>
      <c r="C117" s="27">
        <v>2000</v>
      </c>
      <c r="D117" s="27">
        <v>10</v>
      </c>
      <c r="E117" s="27">
        <v>4</v>
      </c>
      <c r="F117" s="27">
        <v>7103015</v>
      </c>
      <c r="G117" s="27">
        <v>760</v>
      </c>
      <c r="H117" s="27"/>
      <c r="I117" s="5">
        <v>86</v>
      </c>
      <c r="J117" s="248">
        <v>968</v>
      </c>
      <c r="K117" s="247">
        <v>992.6</v>
      </c>
      <c r="L117" s="248">
        <v>998.6</v>
      </c>
      <c r="M117" s="247">
        <v>1003.5</v>
      </c>
      <c r="N117" s="248">
        <v>1010.1</v>
      </c>
      <c r="O117" s="247">
        <v>1014.7</v>
      </c>
      <c r="P117" s="247">
        <v>980.5</v>
      </c>
      <c r="Q117" s="248">
        <v>982.9</v>
      </c>
      <c r="R117" s="247">
        <v>985</v>
      </c>
      <c r="S117" s="248">
        <v>986.6</v>
      </c>
      <c r="T117" s="248">
        <v>988.2</v>
      </c>
      <c r="U117" s="5">
        <v>86</v>
      </c>
    </row>
    <row r="118" spans="1:21">
      <c r="A118" s="27">
        <v>44</v>
      </c>
      <c r="B118" s="28" t="s">
        <v>120</v>
      </c>
      <c r="C118" s="27">
        <v>3000</v>
      </c>
      <c r="D118" s="27">
        <v>10</v>
      </c>
      <c r="E118" s="27">
        <v>4</v>
      </c>
      <c r="F118" s="27">
        <v>7103016</v>
      </c>
      <c r="G118" s="27">
        <v>920</v>
      </c>
      <c r="H118" s="27"/>
      <c r="I118" s="5">
        <v>87</v>
      </c>
      <c r="J118" s="248">
        <v>967.3</v>
      </c>
      <c r="K118" s="247">
        <v>991.9</v>
      </c>
      <c r="L118" s="248">
        <v>997.9</v>
      </c>
      <c r="M118" s="247">
        <v>1002.8</v>
      </c>
      <c r="N118" s="248">
        <v>1009.3</v>
      </c>
      <c r="O118" s="247">
        <v>1014</v>
      </c>
      <c r="P118" s="247">
        <v>979.8</v>
      </c>
      <c r="Q118" s="248">
        <v>982.2</v>
      </c>
      <c r="R118" s="247">
        <v>984.2</v>
      </c>
      <c r="S118" s="248">
        <v>985.8</v>
      </c>
      <c r="T118" s="248">
        <v>987.4</v>
      </c>
      <c r="U118" s="5">
        <v>87</v>
      </c>
    </row>
    <row r="119" spans="1:21">
      <c r="A119" s="27">
        <v>45</v>
      </c>
      <c r="B119" s="28" t="s">
        <v>121</v>
      </c>
      <c r="C119" s="27">
        <v>4000</v>
      </c>
      <c r="D119" s="27">
        <v>10</v>
      </c>
      <c r="E119" s="27">
        <v>4</v>
      </c>
      <c r="F119" s="27">
        <v>7103017</v>
      </c>
      <c r="G119" s="27">
        <v>1060</v>
      </c>
      <c r="H119" s="27"/>
      <c r="I119" s="5">
        <v>88</v>
      </c>
      <c r="J119" s="248">
        <v>966.6</v>
      </c>
      <c r="K119" s="247">
        <v>991.2</v>
      </c>
      <c r="L119" s="248">
        <v>997.2</v>
      </c>
      <c r="M119" s="247">
        <v>1002.1</v>
      </c>
      <c r="N119" s="248">
        <v>1008.6</v>
      </c>
      <c r="O119" s="247">
        <v>1013.2</v>
      </c>
      <c r="P119" s="247">
        <v>979</v>
      </c>
      <c r="Q119" s="248">
        <v>981.4</v>
      </c>
      <c r="R119" s="247">
        <v>983.4</v>
      </c>
      <c r="S119" s="248">
        <v>985</v>
      </c>
      <c r="T119" s="248">
        <v>986.6</v>
      </c>
      <c r="U119" s="5">
        <v>88</v>
      </c>
    </row>
    <row r="120" spans="1:21">
      <c r="A120" s="27">
        <v>46</v>
      </c>
      <c r="B120" s="28" t="s">
        <v>122</v>
      </c>
      <c r="C120" s="27">
        <v>5000</v>
      </c>
      <c r="D120" s="27">
        <v>10</v>
      </c>
      <c r="E120" s="27">
        <v>4</v>
      </c>
      <c r="F120" s="27">
        <v>7103018</v>
      </c>
      <c r="G120" s="27">
        <v>1180</v>
      </c>
      <c r="H120" s="27"/>
      <c r="I120" s="5">
        <v>89</v>
      </c>
      <c r="J120" s="248">
        <v>966</v>
      </c>
      <c r="K120" s="247">
        <v>990.5</v>
      </c>
      <c r="L120" s="248">
        <v>996.5</v>
      </c>
      <c r="M120" s="247">
        <v>1001.3</v>
      </c>
      <c r="N120" s="248">
        <v>1007.9</v>
      </c>
      <c r="O120" s="247">
        <v>1012.5</v>
      </c>
      <c r="P120" s="247">
        <v>978.3</v>
      </c>
      <c r="Q120" s="248">
        <v>980.7</v>
      </c>
      <c r="R120" s="247">
        <v>982.6</v>
      </c>
      <c r="S120" s="248">
        <v>984.2</v>
      </c>
      <c r="T120" s="248">
        <v>985.8</v>
      </c>
      <c r="U120" s="5">
        <v>89</v>
      </c>
    </row>
    <row r="121" spans="1:21">
      <c r="I121" s="5">
        <v>90</v>
      </c>
      <c r="J121" s="248">
        <v>965.3</v>
      </c>
      <c r="K121" s="247">
        <v>989.8</v>
      </c>
      <c r="L121" s="248">
        <v>995.7</v>
      </c>
      <c r="M121" s="247">
        <v>1000.6</v>
      </c>
      <c r="N121" s="248">
        <v>1007.1</v>
      </c>
      <c r="O121" s="247">
        <v>1011.7</v>
      </c>
      <c r="P121" s="247">
        <v>977.5</v>
      </c>
      <c r="Q121" s="248">
        <v>979.9</v>
      </c>
      <c r="R121" s="247">
        <v>981.8</v>
      </c>
      <c r="S121" s="248">
        <v>983.4</v>
      </c>
      <c r="T121" s="248">
        <v>985</v>
      </c>
      <c r="U121" s="5">
        <v>90</v>
      </c>
    </row>
    <row r="122" spans="1:21">
      <c r="B122" s="27">
        <v>9</v>
      </c>
      <c r="C122" s="27" t="s">
        <v>125</v>
      </c>
      <c r="D122" s="27" t="s">
        <v>126</v>
      </c>
      <c r="E122" s="27"/>
      <c r="F122" s="27" t="s">
        <v>128</v>
      </c>
      <c r="G122" s="27" t="s">
        <v>143</v>
      </c>
      <c r="I122" s="5">
        <v>91</v>
      </c>
      <c r="J122" s="248">
        <v>964.6</v>
      </c>
      <c r="K122" s="247">
        <v>989</v>
      </c>
      <c r="L122" s="248">
        <v>995</v>
      </c>
      <c r="M122" s="247">
        <v>999.8</v>
      </c>
      <c r="N122" s="248">
        <v>1006.4</v>
      </c>
      <c r="O122" s="247">
        <v>1011</v>
      </c>
      <c r="P122" s="247">
        <v>976.8</v>
      </c>
      <c r="Q122" s="248">
        <v>979.1</v>
      </c>
      <c r="R122" s="247">
        <v>981</v>
      </c>
      <c r="S122" s="248">
        <v>982.6</v>
      </c>
      <c r="T122" s="248">
        <v>984.1</v>
      </c>
      <c r="U122" s="5">
        <v>91</v>
      </c>
    </row>
    <row r="123" spans="1:21">
      <c r="A123" s="27">
        <v>1</v>
      </c>
      <c r="B123" s="28" t="s">
        <v>208</v>
      </c>
      <c r="C123" s="28" t="s">
        <v>208</v>
      </c>
      <c r="D123" s="28" t="s">
        <v>208</v>
      </c>
      <c r="E123" s="28" t="s">
        <v>208</v>
      </c>
      <c r="F123" s="28" t="s">
        <v>208</v>
      </c>
      <c r="G123" s="28" t="s">
        <v>208</v>
      </c>
      <c r="I123" s="5">
        <v>92</v>
      </c>
      <c r="J123" s="248">
        <v>964</v>
      </c>
      <c r="K123" s="247">
        <v>988.3</v>
      </c>
      <c r="L123" s="248">
        <v>994.2</v>
      </c>
      <c r="M123" s="247">
        <v>999.1</v>
      </c>
      <c r="N123" s="248">
        <v>1005.6</v>
      </c>
      <c r="O123" s="247">
        <v>1010.2</v>
      </c>
      <c r="P123" s="247">
        <v>976</v>
      </c>
      <c r="Q123" s="248">
        <v>978.3</v>
      </c>
      <c r="R123" s="247">
        <v>980.2</v>
      </c>
      <c r="S123" s="248">
        <v>981.8</v>
      </c>
      <c r="T123" s="248">
        <v>983.3</v>
      </c>
      <c r="U123" s="5">
        <v>92</v>
      </c>
    </row>
    <row r="124" spans="1:21">
      <c r="A124" s="27">
        <v>2</v>
      </c>
      <c r="B124" s="28" t="s">
        <v>174</v>
      </c>
      <c r="C124" s="27">
        <v>8</v>
      </c>
      <c r="D124" s="27">
        <v>10</v>
      </c>
      <c r="E124" s="27"/>
      <c r="F124" s="29">
        <v>7142020</v>
      </c>
      <c r="G124" s="27">
        <v>3.9</v>
      </c>
      <c r="I124" s="5">
        <v>93</v>
      </c>
      <c r="J124" s="248">
        <v>963.3</v>
      </c>
      <c r="K124" s="247">
        <v>987.5</v>
      </c>
      <c r="L124" s="248">
        <v>993.5</v>
      </c>
      <c r="M124" s="247">
        <v>998.3</v>
      </c>
      <c r="N124" s="248">
        <v>1004.8</v>
      </c>
      <c r="O124" s="247">
        <v>1009.4</v>
      </c>
      <c r="P124" s="247">
        <v>975.2</v>
      </c>
      <c r="Q124" s="248">
        <v>977.5</v>
      </c>
      <c r="R124" s="247">
        <v>979.4</v>
      </c>
      <c r="S124" s="248">
        <v>980.9</v>
      </c>
      <c r="T124" s="248">
        <v>982.4</v>
      </c>
      <c r="U124" s="5">
        <v>93</v>
      </c>
    </row>
    <row r="125" spans="1:21">
      <c r="A125" s="27">
        <v>3</v>
      </c>
      <c r="B125" s="28" t="s">
        <v>175</v>
      </c>
      <c r="C125" s="27">
        <v>12</v>
      </c>
      <c r="D125" s="27">
        <v>10</v>
      </c>
      <c r="E125" s="27"/>
      <c r="F125" s="29">
        <v>7142021</v>
      </c>
      <c r="G125" s="27">
        <v>5.0999999999999996</v>
      </c>
      <c r="I125" s="5">
        <v>94</v>
      </c>
      <c r="J125" s="248">
        <v>962.6</v>
      </c>
      <c r="K125" s="247">
        <v>986.8</v>
      </c>
      <c r="L125" s="248">
        <v>992.7</v>
      </c>
      <c r="M125" s="247">
        <v>997.6</v>
      </c>
      <c r="N125" s="248">
        <v>1004</v>
      </c>
      <c r="O125" s="247">
        <v>1008.6</v>
      </c>
      <c r="P125" s="247">
        <v>974.4</v>
      </c>
      <c r="Q125" s="248">
        <v>976.7</v>
      </c>
      <c r="R125" s="247">
        <v>978.6</v>
      </c>
      <c r="S125" s="248">
        <v>980.1</v>
      </c>
      <c r="T125" s="248">
        <v>981.6</v>
      </c>
      <c r="U125" s="5">
        <v>94</v>
      </c>
    </row>
    <row r="126" spans="1:21">
      <c r="A126" s="27">
        <v>4</v>
      </c>
      <c r="B126" s="28" t="s">
        <v>176</v>
      </c>
      <c r="C126" s="27">
        <v>18</v>
      </c>
      <c r="D126" s="27">
        <v>10</v>
      </c>
      <c r="E126" s="27"/>
      <c r="F126" s="29">
        <v>7142022</v>
      </c>
      <c r="G126" s="27">
        <v>6.3</v>
      </c>
      <c r="I126" s="5">
        <v>95</v>
      </c>
      <c r="J126" s="248">
        <v>961.9</v>
      </c>
      <c r="K126" s="247">
        <v>986</v>
      </c>
      <c r="L126" s="248">
        <v>992</v>
      </c>
      <c r="M126" s="247">
        <v>996.8</v>
      </c>
      <c r="N126" s="248">
        <v>1003.3</v>
      </c>
      <c r="O126" s="247">
        <v>1007.8</v>
      </c>
      <c r="P126" s="247">
        <v>973.6</v>
      </c>
      <c r="Q126" s="248">
        <v>975.9</v>
      </c>
      <c r="R126" s="247">
        <v>977.8</v>
      </c>
      <c r="S126" s="248">
        <v>979.3</v>
      </c>
      <c r="T126" s="248">
        <v>980.7</v>
      </c>
      <c r="U126" s="5">
        <v>95</v>
      </c>
    </row>
    <row r="127" spans="1:21">
      <c r="A127" s="27">
        <v>5</v>
      </c>
      <c r="B127" s="28" t="s">
        <v>177</v>
      </c>
      <c r="C127" s="27">
        <v>25</v>
      </c>
      <c r="D127" s="27">
        <v>10</v>
      </c>
      <c r="E127" s="27"/>
      <c r="F127" s="29">
        <v>7142023</v>
      </c>
      <c r="G127" s="27">
        <v>8.1</v>
      </c>
      <c r="I127" s="5">
        <v>96</v>
      </c>
      <c r="J127" s="248">
        <v>961.2</v>
      </c>
      <c r="K127" s="247">
        <v>985.3</v>
      </c>
      <c r="L127" s="248">
        <v>991.2</v>
      </c>
      <c r="M127" s="247">
        <v>996</v>
      </c>
      <c r="N127" s="248">
        <v>1002.5</v>
      </c>
      <c r="O127" s="247">
        <v>1007.1</v>
      </c>
      <c r="P127" s="247">
        <v>972.8</v>
      </c>
      <c r="Q127" s="248">
        <v>975.1</v>
      </c>
      <c r="R127" s="247">
        <v>976.9</v>
      </c>
      <c r="S127" s="248">
        <v>978.4</v>
      </c>
      <c r="T127" s="248">
        <v>979.8</v>
      </c>
      <c r="U127" s="5">
        <v>96</v>
      </c>
    </row>
    <row r="128" spans="1:21">
      <c r="A128" s="27">
        <v>6</v>
      </c>
      <c r="B128" s="28" t="s">
        <v>178</v>
      </c>
      <c r="C128" s="27">
        <v>35</v>
      </c>
      <c r="D128" s="27">
        <v>10</v>
      </c>
      <c r="E128" s="27"/>
      <c r="F128" s="29">
        <v>7142024</v>
      </c>
      <c r="G128" s="27">
        <v>10</v>
      </c>
      <c r="I128" s="5">
        <v>97</v>
      </c>
      <c r="J128" s="248">
        <v>960.5</v>
      </c>
      <c r="K128" s="247">
        <v>984.5</v>
      </c>
      <c r="L128" s="248">
        <v>990.5</v>
      </c>
      <c r="M128" s="247">
        <v>995.3</v>
      </c>
      <c r="N128" s="248">
        <v>1001.7</v>
      </c>
      <c r="O128" s="247">
        <v>1006.3</v>
      </c>
      <c r="P128" s="247">
        <v>972.1</v>
      </c>
      <c r="Q128" s="248">
        <v>974.3</v>
      </c>
      <c r="R128" s="247">
        <v>976.1</v>
      </c>
      <c r="S128" s="248">
        <v>977.6</v>
      </c>
      <c r="T128" s="248">
        <v>979</v>
      </c>
      <c r="U128" s="5">
        <v>97</v>
      </c>
    </row>
    <row r="129" spans="1:21">
      <c r="A129" s="27">
        <v>7</v>
      </c>
      <c r="B129" s="28" t="s">
        <v>179</v>
      </c>
      <c r="C129" s="27">
        <v>50</v>
      </c>
      <c r="D129" s="27">
        <v>10</v>
      </c>
      <c r="E129" s="27"/>
      <c r="F129" s="29">
        <v>7142025</v>
      </c>
      <c r="G129" s="27">
        <v>12.2</v>
      </c>
      <c r="I129" s="5">
        <v>98</v>
      </c>
      <c r="J129" s="248">
        <v>959.8</v>
      </c>
      <c r="K129" s="247">
        <v>983.8</v>
      </c>
      <c r="L129" s="248">
        <v>989.7</v>
      </c>
      <c r="M129" s="247">
        <v>994.5</v>
      </c>
      <c r="N129" s="248">
        <v>1000.9</v>
      </c>
      <c r="O129" s="247">
        <v>1005.5</v>
      </c>
      <c r="P129" s="247">
        <v>971.3</v>
      </c>
      <c r="Q129" s="248">
        <v>973.5</v>
      </c>
      <c r="R129" s="247">
        <v>975.3</v>
      </c>
      <c r="S129" s="248">
        <v>976.8</v>
      </c>
      <c r="T129" s="248">
        <v>978.1</v>
      </c>
      <c r="U129" s="5">
        <v>98</v>
      </c>
    </row>
    <row r="130" spans="1:21">
      <c r="A130" s="27">
        <v>8</v>
      </c>
      <c r="B130" s="28" t="s">
        <v>180</v>
      </c>
      <c r="C130" s="27">
        <v>80</v>
      </c>
      <c r="D130" s="27">
        <v>10</v>
      </c>
      <c r="E130" s="27"/>
      <c r="F130" s="29">
        <v>7142026</v>
      </c>
      <c r="G130" s="27">
        <v>16.399999999999999</v>
      </c>
      <c r="I130" s="5">
        <v>99</v>
      </c>
      <c r="J130" s="248">
        <v>959.1</v>
      </c>
      <c r="K130" s="247">
        <v>983</v>
      </c>
      <c r="L130" s="248">
        <v>988.9</v>
      </c>
      <c r="M130" s="247">
        <v>993.7</v>
      </c>
      <c r="N130" s="248">
        <v>1000.2</v>
      </c>
      <c r="O130" s="247">
        <v>1004.7</v>
      </c>
      <c r="P130" s="247">
        <v>970.5</v>
      </c>
      <c r="Q130" s="248">
        <v>972.7</v>
      </c>
      <c r="R130" s="247">
        <v>974.5</v>
      </c>
      <c r="S130" s="248">
        <v>975.9</v>
      </c>
      <c r="T130" s="248">
        <v>977.3</v>
      </c>
      <c r="U130" s="5">
        <v>99</v>
      </c>
    </row>
    <row r="131" spans="1:21">
      <c r="A131" s="27">
        <v>9</v>
      </c>
      <c r="B131" s="28" t="s">
        <v>181</v>
      </c>
      <c r="C131" s="27">
        <v>140</v>
      </c>
      <c r="D131" s="27">
        <v>6</v>
      </c>
      <c r="E131" s="27"/>
      <c r="F131" s="29">
        <v>7141002</v>
      </c>
      <c r="G131" s="27">
        <v>25</v>
      </c>
      <c r="I131" s="5">
        <v>100</v>
      </c>
      <c r="J131" s="248">
        <v>958.3</v>
      </c>
      <c r="K131" s="247">
        <v>982.3</v>
      </c>
      <c r="L131" s="248">
        <v>988.2</v>
      </c>
      <c r="M131" s="247">
        <v>993</v>
      </c>
      <c r="N131" s="248">
        <v>999.4</v>
      </c>
      <c r="O131" s="247">
        <v>1003.9</v>
      </c>
      <c r="P131" s="247">
        <v>969.7</v>
      </c>
      <c r="Q131" s="248">
        <v>971.9</v>
      </c>
      <c r="R131" s="247">
        <v>973.7</v>
      </c>
      <c r="S131" s="248">
        <v>975.1</v>
      </c>
      <c r="T131" s="248">
        <v>976.4</v>
      </c>
      <c r="U131" s="5">
        <v>100</v>
      </c>
    </row>
    <row r="132" spans="1:21">
      <c r="A132" s="27">
        <v>10</v>
      </c>
      <c r="B132" s="28" t="s">
        <v>182</v>
      </c>
      <c r="C132" s="27">
        <v>200</v>
      </c>
      <c r="D132" s="27">
        <v>6</v>
      </c>
      <c r="E132" s="27"/>
      <c r="F132" s="29">
        <v>7141003</v>
      </c>
      <c r="G132" s="27">
        <v>30</v>
      </c>
      <c r="I132" s="5">
        <v>101</v>
      </c>
      <c r="J132" s="248">
        <v>957.6</v>
      </c>
      <c r="K132" s="247">
        <v>981.5</v>
      </c>
      <c r="L132" s="248">
        <v>987.4</v>
      </c>
      <c r="M132" s="247">
        <v>992.2</v>
      </c>
      <c r="N132" s="248">
        <v>998.6</v>
      </c>
      <c r="O132" s="247">
        <v>1003.1</v>
      </c>
      <c r="P132" s="247">
        <v>968.9</v>
      </c>
      <c r="Q132" s="248">
        <v>971</v>
      </c>
      <c r="R132" s="247">
        <v>972.8</v>
      </c>
      <c r="S132" s="248">
        <v>974.2</v>
      </c>
      <c r="T132" s="248">
        <v>975.6</v>
      </c>
      <c r="U132" s="5">
        <v>101</v>
      </c>
    </row>
    <row r="133" spans="1:21">
      <c r="A133" s="27">
        <v>11</v>
      </c>
      <c r="B133" s="28" t="s">
        <v>183</v>
      </c>
      <c r="C133" s="27">
        <v>300</v>
      </c>
      <c r="D133" s="27">
        <v>6</v>
      </c>
      <c r="E133" s="27"/>
      <c r="F133" s="29">
        <v>7141004</v>
      </c>
      <c r="G133" s="27">
        <v>35</v>
      </c>
      <c r="I133" s="5">
        <v>102</v>
      </c>
      <c r="J133" s="248">
        <v>956.8</v>
      </c>
      <c r="K133" s="247">
        <v>980.7</v>
      </c>
      <c r="L133" s="248">
        <v>986.6</v>
      </c>
      <c r="M133" s="247">
        <v>991.4</v>
      </c>
      <c r="N133" s="248">
        <v>997.8</v>
      </c>
      <c r="O133" s="247">
        <v>1002.3</v>
      </c>
      <c r="P133" s="247">
        <v>968.1</v>
      </c>
      <c r="Q133" s="248">
        <v>970.2</v>
      </c>
      <c r="R133" s="247">
        <v>972</v>
      </c>
      <c r="S133" s="248">
        <v>973.4</v>
      </c>
      <c r="T133" s="248">
        <v>974.7</v>
      </c>
      <c r="U133" s="5">
        <v>102</v>
      </c>
    </row>
    <row r="134" spans="1:21">
      <c r="A134" s="27">
        <v>12</v>
      </c>
      <c r="B134" s="28" t="s">
        <v>184</v>
      </c>
      <c r="C134" s="27">
        <v>400</v>
      </c>
      <c r="D134" s="27">
        <v>6</v>
      </c>
      <c r="E134" s="27"/>
      <c r="F134" s="29">
        <v>7141005</v>
      </c>
      <c r="G134" s="27">
        <v>55</v>
      </c>
      <c r="I134" s="5">
        <v>103</v>
      </c>
      <c r="J134" s="248">
        <v>956.1</v>
      </c>
      <c r="K134" s="247">
        <v>979.9</v>
      </c>
      <c r="L134" s="248">
        <v>985.8</v>
      </c>
      <c r="M134" s="247">
        <v>990.6</v>
      </c>
      <c r="N134" s="248">
        <v>997</v>
      </c>
      <c r="O134" s="247">
        <v>1001.5</v>
      </c>
      <c r="P134" s="247">
        <v>967.2</v>
      </c>
      <c r="Q134" s="248">
        <v>969.3</v>
      </c>
      <c r="R134" s="247">
        <v>971.1</v>
      </c>
      <c r="S134" s="248">
        <v>972.5</v>
      </c>
      <c r="T134" s="248">
        <v>973.8</v>
      </c>
      <c r="U134" s="5">
        <v>103</v>
      </c>
    </row>
    <row r="135" spans="1:21">
      <c r="A135" s="27">
        <v>13</v>
      </c>
      <c r="B135" s="28" t="s">
        <v>185</v>
      </c>
      <c r="C135" s="27">
        <v>500</v>
      </c>
      <c r="D135" s="27">
        <v>6</v>
      </c>
      <c r="E135" s="27"/>
      <c r="F135" s="29">
        <v>7141006</v>
      </c>
      <c r="G135" s="27">
        <v>61</v>
      </c>
      <c r="I135" s="5">
        <v>104</v>
      </c>
      <c r="J135" s="248">
        <v>955.4</v>
      </c>
      <c r="K135" s="247">
        <v>979.1</v>
      </c>
      <c r="L135" s="248">
        <v>985</v>
      </c>
      <c r="M135" s="247">
        <v>989.8</v>
      </c>
      <c r="N135" s="248">
        <v>996.2</v>
      </c>
      <c r="O135" s="247">
        <v>1000.7</v>
      </c>
      <c r="P135" s="247">
        <v>966.4</v>
      </c>
      <c r="Q135" s="248">
        <v>968.5</v>
      </c>
      <c r="R135" s="247">
        <v>970.2</v>
      </c>
      <c r="S135" s="248">
        <v>971.6</v>
      </c>
      <c r="T135" s="248">
        <v>972.9</v>
      </c>
      <c r="U135" s="5">
        <v>104</v>
      </c>
    </row>
    <row r="136" spans="1:21">
      <c r="A136" s="27">
        <v>14</v>
      </c>
      <c r="B136" s="28" t="s">
        <v>186</v>
      </c>
      <c r="C136" s="27">
        <v>600</v>
      </c>
      <c r="D136" s="27">
        <v>6</v>
      </c>
      <c r="E136" s="27"/>
      <c r="F136" s="29">
        <v>7141007</v>
      </c>
      <c r="G136" s="27">
        <v>67</v>
      </c>
      <c r="I136" s="5">
        <v>105</v>
      </c>
      <c r="J136" s="248">
        <v>954.6</v>
      </c>
      <c r="K136" s="247">
        <v>978.3</v>
      </c>
      <c r="L136" s="248">
        <v>984.2</v>
      </c>
      <c r="M136" s="247">
        <v>989</v>
      </c>
      <c r="N136" s="248">
        <v>995.4</v>
      </c>
      <c r="O136" s="247">
        <v>999.9</v>
      </c>
      <c r="P136" s="247">
        <v>965.6</v>
      </c>
      <c r="Q136" s="248">
        <v>967.6</v>
      </c>
      <c r="R136" s="247">
        <v>969.4</v>
      </c>
      <c r="S136" s="248">
        <v>970.7</v>
      </c>
      <c r="T136" s="248">
        <v>972</v>
      </c>
      <c r="U136" s="5">
        <v>105</v>
      </c>
    </row>
    <row r="137" spans="1:21">
      <c r="A137" s="27">
        <v>15</v>
      </c>
      <c r="B137" s="28" t="s">
        <v>187</v>
      </c>
      <c r="C137" s="27">
        <v>200</v>
      </c>
      <c r="D137" s="27">
        <v>10</v>
      </c>
      <c r="E137" s="27"/>
      <c r="F137" s="27">
        <v>7142003</v>
      </c>
      <c r="G137" s="27">
        <v>50</v>
      </c>
      <c r="I137" s="5">
        <v>106</v>
      </c>
      <c r="J137" s="248">
        <v>953.9</v>
      </c>
      <c r="K137" s="247">
        <v>977.6</v>
      </c>
      <c r="L137" s="248">
        <v>983.4</v>
      </c>
      <c r="M137" s="247">
        <v>988.2</v>
      </c>
      <c r="N137" s="248">
        <v>994.6</v>
      </c>
      <c r="O137" s="247">
        <v>999.1</v>
      </c>
      <c r="P137" s="247">
        <v>964.8</v>
      </c>
      <c r="Q137" s="248">
        <v>966.8</v>
      </c>
      <c r="R137" s="247">
        <v>968.5</v>
      </c>
      <c r="S137" s="248">
        <v>969.9</v>
      </c>
      <c r="T137" s="248">
        <v>971.1</v>
      </c>
      <c r="U137" s="5">
        <v>106</v>
      </c>
    </row>
    <row r="138" spans="1:21">
      <c r="A138" s="27">
        <v>16</v>
      </c>
      <c r="B138" s="28" t="s">
        <v>188</v>
      </c>
      <c r="C138" s="27">
        <v>300</v>
      </c>
      <c r="D138" s="27">
        <v>10</v>
      </c>
      <c r="E138" s="27"/>
      <c r="F138" s="27">
        <v>7142004</v>
      </c>
      <c r="G138" s="27">
        <v>55</v>
      </c>
      <c r="I138" s="5">
        <v>107</v>
      </c>
      <c r="J138" s="248">
        <v>953.2</v>
      </c>
      <c r="K138" s="247">
        <v>976.8</v>
      </c>
      <c r="L138" s="248">
        <v>982.6</v>
      </c>
      <c r="M138" s="247">
        <v>987.4</v>
      </c>
      <c r="N138" s="248">
        <v>993.8</v>
      </c>
      <c r="O138" s="247">
        <v>998.3</v>
      </c>
      <c r="P138" s="247">
        <v>963.9</v>
      </c>
      <c r="Q138" s="248">
        <v>966</v>
      </c>
      <c r="R138" s="247">
        <v>967.6</v>
      </c>
      <c r="S138" s="248">
        <v>969</v>
      </c>
      <c r="T138" s="248">
        <v>970.3</v>
      </c>
      <c r="U138" s="5">
        <v>107</v>
      </c>
    </row>
    <row r="139" spans="1:21">
      <c r="A139" s="27">
        <v>17</v>
      </c>
      <c r="B139" s="28" t="s">
        <v>189</v>
      </c>
      <c r="C139" s="27">
        <v>500</v>
      </c>
      <c r="D139" s="27">
        <v>10</v>
      </c>
      <c r="E139" s="27"/>
      <c r="F139" s="27">
        <v>7142006</v>
      </c>
      <c r="G139" s="27">
        <v>83</v>
      </c>
      <c r="I139" s="5">
        <v>108</v>
      </c>
      <c r="J139" s="248">
        <v>952.5</v>
      </c>
      <c r="K139" s="247">
        <v>976</v>
      </c>
      <c r="L139" s="248">
        <v>981.8</v>
      </c>
      <c r="M139" s="247">
        <v>986.6</v>
      </c>
      <c r="N139" s="248">
        <v>993</v>
      </c>
      <c r="O139" s="247">
        <v>997.5</v>
      </c>
      <c r="P139" s="247">
        <v>963.1</v>
      </c>
      <c r="Q139" s="248">
        <v>965.1</v>
      </c>
      <c r="R139" s="247">
        <v>966.8</v>
      </c>
      <c r="S139" s="248">
        <v>968.1</v>
      </c>
      <c r="T139" s="248">
        <v>969.4</v>
      </c>
      <c r="U139" s="5">
        <v>108</v>
      </c>
    </row>
    <row r="140" spans="1:21">
      <c r="A140" s="27">
        <v>18</v>
      </c>
      <c r="B140" s="28" t="s">
        <v>168</v>
      </c>
      <c r="C140" s="27">
        <v>700</v>
      </c>
      <c r="D140" s="27">
        <v>6</v>
      </c>
      <c r="E140" s="27"/>
      <c r="F140" s="27">
        <v>7141008</v>
      </c>
      <c r="G140" s="27">
        <v>200</v>
      </c>
      <c r="I140" s="5">
        <v>109</v>
      </c>
      <c r="J140" s="248">
        <v>951.7</v>
      </c>
      <c r="K140" s="247">
        <v>975.2</v>
      </c>
      <c r="L140" s="248">
        <v>981</v>
      </c>
      <c r="M140" s="247">
        <v>985.8</v>
      </c>
      <c r="N140" s="248">
        <v>992.1</v>
      </c>
      <c r="O140" s="247">
        <v>996.6</v>
      </c>
      <c r="P140" s="247">
        <v>962.3</v>
      </c>
      <c r="Q140" s="248">
        <v>964.3</v>
      </c>
      <c r="R140" s="247">
        <v>965.9</v>
      </c>
      <c r="S140" s="248">
        <v>967.2</v>
      </c>
      <c r="T140" s="248">
        <v>968.5</v>
      </c>
      <c r="U140" s="5">
        <v>109</v>
      </c>
    </row>
    <row r="141" spans="1:21">
      <c r="A141" s="27">
        <v>19</v>
      </c>
      <c r="B141" s="28" t="s">
        <v>190</v>
      </c>
      <c r="C141" s="27">
        <v>1000</v>
      </c>
      <c r="D141" s="27">
        <v>6</v>
      </c>
      <c r="E141" s="27"/>
      <c r="F141" s="27">
        <v>7141009</v>
      </c>
      <c r="G141" s="27">
        <v>280</v>
      </c>
      <c r="I141" s="5">
        <v>110</v>
      </c>
      <c r="J141" s="248">
        <v>951</v>
      </c>
      <c r="K141" s="247">
        <v>974.4</v>
      </c>
      <c r="L141" s="248">
        <v>980.2</v>
      </c>
      <c r="M141" s="247">
        <v>985</v>
      </c>
      <c r="N141" s="248">
        <v>991.3</v>
      </c>
      <c r="O141" s="247">
        <v>995.8</v>
      </c>
      <c r="P141" s="247">
        <v>961.5</v>
      </c>
      <c r="Q141" s="248">
        <v>963.4</v>
      </c>
      <c r="R141" s="247">
        <v>965.1</v>
      </c>
      <c r="S141" s="248">
        <v>966.4</v>
      </c>
      <c r="T141" s="248">
        <v>967.6</v>
      </c>
      <c r="U141" s="5">
        <v>110</v>
      </c>
    </row>
    <row r="142" spans="1:21">
      <c r="A142" s="27">
        <v>20</v>
      </c>
      <c r="B142" s="28" t="s">
        <v>191</v>
      </c>
      <c r="C142" s="27">
        <v>1500</v>
      </c>
      <c r="D142" s="27">
        <v>6</v>
      </c>
      <c r="E142" s="27"/>
      <c r="F142" s="27">
        <v>7141010</v>
      </c>
      <c r="G142" s="27">
        <v>385</v>
      </c>
      <c r="I142" s="5">
        <v>111</v>
      </c>
      <c r="J142" s="248">
        <v>950.2</v>
      </c>
      <c r="K142" s="247">
        <v>973.6</v>
      </c>
      <c r="L142" s="248">
        <v>979.4</v>
      </c>
      <c r="M142" s="247">
        <v>984.1</v>
      </c>
      <c r="N142" s="248">
        <v>990.5</v>
      </c>
      <c r="O142" s="247">
        <v>995</v>
      </c>
      <c r="P142" s="247">
        <v>960.6</v>
      </c>
      <c r="Q142" s="248">
        <v>962.5</v>
      </c>
      <c r="R142" s="247">
        <v>964.2</v>
      </c>
      <c r="S142" s="248">
        <v>965.5</v>
      </c>
      <c r="T142" s="248">
        <v>966.7</v>
      </c>
      <c r="U142" s="5">
        <v>111</v>
      </c>
    </row>
    <row r="143" spans="1:21">
      <c r="A143" s="27">
        <v>21</v>
      </c>
      <c r="B143" s="28" t="s">
        <v>192</v>
      </c>
      <c r="C143" s="27">
        <v>2000</v>
      </c>
      <c r="D143" s="27">
        <v>6</v>
      </c>
      <c r="E143" s="27"/>
      <c r="F143" s="27">
        <v>7141015</v>
      </c>
      <c r="G143" s="27">
        <v>655</v>
      </c>
      <c r="I143" s="5">
        <v>112</v>
      </c>
      <c r="J143" s="248">
        <v>949.4</v>
      </c>
      <c r="K143" s="247">
        <v>972.8</v>
      </c>
      <c r="L143" s="248">
        <v>978.6</v>
      </c>
      <c r="M143" s="247">
        <v>983.3</v>
      </c>
      <c r="N143" s="248">
        <v>989.7</v>
      </c>
      <c r="O143" s="247">
        <v>994.2</v>
      </c>
      <c r="P143" s="247">
        <v>959.7</v>
      </c>
      <c r="Q143" s="248">
        <v>961.7</v>
      </c>
      <c r="R143" s="247">
        <v>963.3</v>
      </c>
      <c r="S143" s="248">
        <v>964.6</v>
      </c>
      <c r="T143" s="248">
        <v>965.8</v>
      </c>
      <c r="U143" s="5">
        <v>112</v>
      </c>
    </row>
    <row r="144" spans="1:21">
      <c r="A144" s="27">
        <v>22</v>
      </c>
      <c r="B144" s="28" t="s">
        <v>193</v>
      </c>
      <c r="C144" s="27">
        <v>3000</v>
      </c>
      <c r="D144" s="27">
        <v>6</v>
      </c>
      <c r="E144" s="27"/>
      <c r="F144" s="27">
        <v>7141012</v>
      </c>
      <c r="G144" s="27">
        <v>810</v>
      </c>
      <c r="I144" s="5">
        <v>113</v>
      </c>
      <c r="J144" s="248">
        <v>948.6</v>
      </c>
      <c r="K144" s="247">
        <v>971.9</v>
      </c>
      <c r="L144" s="248">
        <v>977.8</v>
      </c>
      <c r="M144" s="247">
        <v>982.5</v>
      </c>
      <c r="N144" s="248">
        <v>988.8</v>
      </c>
      <c r="O144" s="247">
        <v>993.3</v>
      </c>
      <c r="P144" s="247">
        <v>958.9</v>
      </c>
      <c r="Q144" s="248">
        <v>960.8</v>
      </c>
      <c r="R144" s="247">
        <v>962.4</v>
      </c>
      <c r="S144" s="248">
        <v>963.7</v>
      </c>
      <c r="T144" s="248">
        <v>964.9</v>
      </c>
      <c r="U144" s="5">
        <v>113</v>
      </c>
    </row>
    <row r="145" spans="1:21">
      <c r="A145" s="27">
        <v>23</v>
      </c>
      <c r="B145" s="28" t="s">
        <v>194</v>
      </c>
      <c r="C145" s="27">
        <v>4000</v>
      </c>
      <c r="D145" s="27">
        <v>6</v>
      </c>
      <c r="E145" s="27"/>
      <c r="F145" s="27">
        <v>7141013</v>
      </c>
      <c r="G145" s="27">
        <v>920</v>
      </c>
      <c r="I145" s="5">
        <v>114</v>
      </c>
      <c r="J145" s="248">
        <v>947.8</v>
      </c>
      <c r="K145" s="247">
        <v>971.1</v>
      </c>
      <c r="L145" s="248">
        <v>976.9</v>
      </c>
      <c r="M145" s="247">
        <v>981.7</v>
      </c>
      <c r="N145" s="248">
        <v>988</v>
      </c>
      <c r="O145" s="247">
        <v>992.5</v>
      </c>
      <c r="P145" s="247">
        <v>958</v>
      </c>
      <c r="Q145" s="248">
        <v>959.9</v>
      </c>
      <c r="R145" s="247">
        <v>961.5</v>
      </c>
      <c r="S145" s="248">
        <v>962.8</v>
      </c>
      <c r="T145" s="248">
        <v>964</v>
      </c>
      <c r="U145" s="5">
        <v>114</v>
      </c>
    </row>
    <row r="146" spans="1:21">
      <c r="A146" s="27">
        <v>24</v>
      </c>
      <c r="B146" s="28" t="s">
        <v>195</v>
      </c>
      <c r="C146" s="27">
        <v>5000</v>
      </c>
      <c r="D146" s="27">
        <v>6</v>
      </c>
      <c r="E146" s="27"/>
      <c r="F146" s="27">
        <v>7141014</v>
      </c>
      <c r="G146" s="27">
        <v>1015</v>
      </c>
      <c r="I146" s="5">
        <v>115</v>
      </c>
      <c r="J146" s="248">
        <v>947</v>
      </c>
      <c r="K146" s="247">
        <v>970.3</v>
      </c>
      <c r="L146" s="248">
        <v>976.1</v>
      </c>
      <c r="M146" s="247">
        <v>980.8</v>
      </c>
      <c r="N146" s="248">
        <v>987.1</v>
      </c>
      <c r="O146" s="247">
        <v>991.6</v>
      </c>
      <c r="P146" s="247">
        <v>957.1</v>
      </c>
      <c r="Q146" s="248">
        <v>959</v>
      </c>
      <c r="R146" s="247">
        <v>960.6</v>
      </c>
      <c r="S146" s="248">
        <v>961.9</v>
      </c>
      <c r="T146" s="248">
        <v>963</v>
      </c>
      <c r="U146" s="5">
        <v>115</v>
      </c>
    </row>
    <row r="147" spans="1:21">
      <c r="A147" s="27">
        <v>25</v>
      </c>
      <c r="B147" s="28" t="s">
        <v>169</v>
      </c>
      <c r="C147" s="27">
        <v>300</v>
      </c>
      <c r="D147" s="27">
        <v>10</v>
      </c>
      <c r="E147" s="27"/>
      <c r="F147" s="27">
        <v>7142008</v>
      </c>
      <c r="G147" s="27">
        <v>170</v>
      </c>
      <c r="I147" s="5">
        <v>116</v>
      </c>
      <c r="J147" s="248">
        <v>946.3</v>
      </c>
      <c r="K147" s="247">
        <v>969.5</v>
      </c>
      <c r="L147" s="248">
        <v>975.3</v>
      </c>
      <c r="M147" s="247">
        <v>980</v>
      </c>
      <c r="N147" s="248">
        <v>986.3</v>
      </c>
      <c r="O147" s="247">
        <v>990.8</v>
      </c>
      <c r="P147" s="247">
        <v>956.3</v>
      </c>
      <c r="Q147" s="248">
        <v>958.1</v>
      </c>
      <c r="R147" s="247">
        <v>959.7</v>
      </c>
      <c r="S147" s="248">
        <v>961</v>
      </c>
      <c r="T147" s="248">
        <v>962.1</v>
      </c>
      <c r="U147" s="5">
        <v>116</v>
      </c>
    </row>
    <row r="148" spans="1:21">
      <c r="A148" s="27">
        <v>26</v>
      </c>
      <c r="B148" s="28" t="s">
        <v>170</v>
      </c>
      <c r="C148" s="27">
        <v>500</v>
      </c>
      <c r="D148" s="27">
        <v>10</v>
      </c>
      <c r="E148" s="27"/>
      <c r="F148" s="27">
        <v>7142009</v>
      </c>
      <c r="G148" s="27">
        <v>225</v>
      </c>
      <c r="I148" s="5">
        <v>117</v>
      </c>
      <c r="J148" s="248">
        <v>945.5</v>
      </c>
      <c r="K148" s="247">
        <v>968.7</v>
      </c>
      <c r="L148" s="248">
        <v>974.4</v>
      </c>
      <c r="M148" s="247">
        <v>979.2</v>
      </c>
      <c r="N148" s="248">
        <v>985.5</v>
      </c>
      <c r="O148" s="247">
        <v>990</v>
      </c>
      <c r="P148" s="247">
        <v>955.4</v>
      </c>
      <c r="Q148" s="248">
        <v>957.3</v>
      </c>
      <c r="R148" s="247">
        <v>958.8</v>
      </c>
      <c r="S148" s="248">
        <v>960.1</v>
      </c>
      <c r="T148" s="248">
        <v>961.2</v>
      </c>
      <c r="U148" s="5">
        <v>117</v>
      </c>
    </row>
    <row r="149" spans="1:21">
      <c r="A149" s="27">
        <v>27</v>
      </c>
      <c r="B149" s="28" t="s">
        <v>167</v>
      </c>
      <c r="C149" s="27">
        <v>700</v>
      </c>
      <c r="D149" s="27">
        <v>10</v>
      </c>
      <c r="E149" s="27"/>
      <c r="F149" s="27">
        <v>7142010</v>
      </c>
      <c r="G149" s="27">
        <v>240</v>
      </c>
      <c r="I149" s="5">
        <v>118</v>
      </c>
      <c r="J149" s="248">
        <v>944.7</v>
      </c>
      <c r="K149" s="247">
        <v>967.9</v>
      </c>
      <c r="L149" s="248">
        <v>973.6</v>
      </c>
      <c r="M149" s="247">
        <v>978.3</v>
      </c>
      <c r="N149" s="248">
        <v>984.6</v>
      </c>
      <c r="O149" s="247">
        <v>989.1</v>
      </c>
      <c r="P149" s="247">
        <v>954.5</v>
      </c>
      <c r="Q149" s="248">
        <v>956.4</v>
      </c>
      <c r="R149" s="247">
        <v>957.9</v>
      </c>
      <c r="S149" s="248">
        <v>959.2</v>
      </c>
      <c r="T149" s="248">
        <v>960.3</v>
      </c>
      <c r="U149" s="5">
        <v>118</v>
      </c>
    </row>
    <row r="150" spans="1:21">
      <c r="A150" s="27">
        <v>28</v>
      </c>
      <c r="B150" s="28" t="s">
        <v>202</v>
      </c>
      <c r="C150" s="27">
        <v>1000</v>
      </c>
      <c r="D150" s="27">
        <v>16</v>
      </c>
      <c r="E150" s="27"/>
      <c r="F150" s="27">
        <v>7142011</v>
      </c>
      <c r="G150" s="27">
        <v>330</v>
      </c>
      <c r="I150" s="5">
        <v>119</v>
      </c>
      <c r="J150" s="248">
        <v>943.9</v>
      </c>
      <c r="K150" s="247">
        <v>967</v>
      </c>
      <c r="L150" s="248">
        <v>972.8</v>
      </c>
      <c r="M150" s="247">
        <v>977.5</v>
      </c>
      <c r="N150" s="248">
        <v>983.8</v>
      </c>
      <c r="O150" s="247">
        <v>988.3</v>
      </c>
      <c r="P150" s="247">
        <v>953.7</v>
      </c>
      <c r="Q150" s="248">
        <v>955.5</v>
      </c>
      <c r="R150" s="247">
        <v>957.1</v>
      </c>
      <c r="S150" s="248">
        <v>958.3</v>
      </c>
      <c r="T150" s="248">
        <v>959.4</v>
      </c>
      <c r="U150" s="5">
        <v>119</v>
      </c>
    </row>
    <row r="151" spans="1:21">
      <c r="A151" s="27">
        <v>29</v>
      </c>
      <c r="B151" s="28" t="s">
        <v>203</v>
      </c>
      <c r="C151" s="27">
        <v>1500</v>
      </c>
      <c r="D151" s="27">
        <v>16</v>
      </c>
      <c r="E151" s="27"/>
      <c r="F151" s="27">
        <v>7142012</v>
      </c>
      <c r="G151" s="27">
        <v>445</v>
      </c>
      <c r="I151" s="5">
        <v>120</v>
      </c>
      <c r="J151" s="248">
        <v>943.1</v>
      </c>
      <c r="K151" s="247">
        <v>966.2</v>
      </c>
      <c r="L151" s="248">
        <v>972</v>
      </c>
      <c r="M151" s="247">
        <v>976.7</v>
      </c>
      <c r="N151" s="248">
        <v>982.9</v>
      </c>
      <c r="O151" s="247">
        <v>987.4</v>
      </c>
      <c r="P151" s="247">
        <v>952.8</v>
      </c>
      <c r="Q151" s="248">
        <v>954.6</v>
      </c>
      <c r="R151" s="247">
        <v>956.2</v>
      </c>
      <c r="S151" s="248">
        <v>957.4</v>
      </c>
      <c r="T151" s="248">
        <v>958.5</v>
      </c>
      <c r="U151" s="5">
        <v>120</v>
      </c>
    </row>
    <row r="152" spans="1:21">
      <c r="A152" s="27">
        <v>30</v>
      </c>
      <c r="B152" s="28" t="s">
        <v>204</v>
      </c>
      <c r="C152" s="27">
        <v>2000</v>
      </c>
      <c r="D152" s="27">
        <v>16</v>
      </c>
      <c r="E152" s="27"/>
      <c r="F152" s="27">
        <v>7142017</v>
      </c>
      <c r="G152" s="27">
        <v>735</v>
      </c>
      <c r="I152" s="5">
        <v>121</v>
      </c>
      <c r="J152" s="248">
        <v>942.3</v>
      </c>
      <c r="K152" s="247"/>
      <c r="L152" s="248"/>
      <c r="M152" s="247"/>
      <c r="N152" s="248"/>
      <c r="O152" s="247"/>
      <c r="P152" s="267"/>
      <c r="Q152" s="247"/>
      <c r="R152" s="248"/>
      <c r="S152" s="247"/>
      <c r="T152" s="248"/>
      <c r="U152" s="5">
        <v>121</v>
      </c>
    </row>
    <row r="153" spans="1:21">
      <c r="A153" s="27">
        <v>31</v>
      </c>
      <c r="B153" s="28" t="s">
        <v>205</v>
      </c>
      <c r="C153" s="27">
        <v>3000</v>
      </c>
      <c r="D153" s="27">
        <v>16</v>
      </c>
      <c r="E153" s="27"/>
      <c r="F153" s="27">
        <v>7142014</v>
      </c>
      <c r="G153" s="27">
        <v>890</v>
      </c>
      <c r="I153" s="5">
        <v>122</v>
      </c>
      <c r="J153" s="248">
        <v>941.4</v>
      </c>
      <c r="K153" s="247"/>
      <c r="L153" s="248"/>
      <c r="M153" s="247"/>
      <c r="N153" s="248"/>
      <c r="O153" s="247"/>
      <c r="P153" s="267"/>
      <c r="Q153" s="247"/>
      <c r="R153" s="248"/>
      <c r="S153" s="247"/>
      <c r="T153" s="248"/>
      <c r="U153" s="5">
        <v>122</v>
      </c>
    </row>
    <row r="154" spans="1:21">
      <c r="A154" s="27">
        <v>32</v>
      </c>
      <c r="B154" s="28" t="s">
        <v>206</v>
      </c>
      <c r="C154" s="27">
        <v>4000</v>
      </c>
      <c r="D154" s="27">
        <v>16</v>
      </c>
      <c r="E154" s="27"/>
      <c r="F154" s="27">
        <v>7142015</v>
      </c>
      <c r="G154" s="27">
        <v>1030</v>
      </c>
      <c r="I154" s="5">
        <v>123</v>
      </c>
      <c r="J154" s="248">
        <v>940.6</v>
      </c>
      <c r="K154" s="247"/>
      <c r="L154" s="248"/>
      <c r="M154" s="247"/>
      <c r="N154" s="248"/>
      <c r="O154" s="247"/>
      <c r="P154" s="267"/>
      <c r="Q154" s="247"/>
      <c r="R154" s="248"/>
      <c r="S154" s="247"/>
      <c r="T154" s="248"/>
      <c r="U154" s="5">
        <v>123</v>
      </c>
    </row>
    <row r="155" spans="1:21">
      <c r="A155" s="27">
        <v>33</v>
      </c>
      <c r="B155" s="28" t="s">
        <v>207</v>
      </c>
      <c r="C155" s="27">
        <v>5000</v>
      </c>
      <c r="D155" s="27">
        <v>16</v>
      </c>
      <c r="E155" s="27"/>
      <c r="F155" s="27">
        <v>7142016</v>
      </c>
      <c r="G155" s="27">
        <v>1145</v>
      </c>
      <c r="I155" s="5">
        <v>124</v>
      </c>
      <c r="J155" s="248">
        <v>939.8</v>
      </c>
      <c r="K155" s="247"/>
      <c r="L155" s="248"/>
      <c r="M155" s="247"/>
      <c r="N155" s="248"/>
      <c r="O155" s="247"/>
      <c r="P155" s="267"/>
      <c r="Q155" s="247"/>
      <c r="R155" s="248"/>
      <c r="S155" s="247"/>
      <c r="T155" s="248"/>
      <c r="U155" s="5">
        <v>124</v>
      </c>
    </row>
    <row r="156" spans="1:21">
      <c r="A156" s="27">
        <v>34</v>
      </c>
      <c r="B156" s="28" t="s">
        <v>171</v>
      </c>
      <c r="C156" s="27">
        <v>300</v>
      </c>
      <c r="D156" s="27">
        <v>16</v>
      </c>
      <c r="E156" s="27"/>
      <c r="F156" s="27">
        <v>7143000</v>
      </c>
      <c r="G156" s="27">
        <v>190</v>
      </c>
      <c r="I156" s="5">
        <v>125</v>
      </c>
      <c r="J156" s="248">
        <v>939</v>
      </c>
      <c r="K156" s="247"/>
      <c r="L156" s="248"/>
      <c r="M156" s="247"/>
      <c r="N156" s="248"/>
      <c r="O156" s="247"/>
      <c r="P156" s="267"/>
      <c r="Q156" s="247"/>
      <c r="R156" s="248"/>
      <c r="S156" s="247"/>
      <c r="T156" s="248"/>
      <c r="U156" s="5">
        <v>125</v>
      </c>
    </row>
    <row r="157" spans="1:21">
      <c r="A157" s="27">
        <v>35</v>
      </c>
      <c r="B157" s="28" t="s">
        <v>172</v>
      </c>
      <c r="C157" s="27">
        <v>500</v>
      </c>
      <c r="D157" s="27">
        <v>16</v>
      </c>
      <c r="E157" s="27"/>
      <c r="F157" s="27">
        <v>7143001</v>
      </c>
      <c r="G157" s="27">
        <v>255</v>
      </c>
      <c r="I157" s="5">
        <v>126</v>
      </c>
      <c r="J157" s="248">
        <v>938.1</v>
      </c>
      <c r="K157" s="247"/>
      <c r="L157" s="248"/>
      <c r="M157" s="247"/>
      <c r="N157" s="248"/>
      <c r="O157" s="247"/>
      <c r="P157" s="267"/>
      <c r="Q157" s="247"/>
      <c r="R157" s="248"/>
      <c r="S157" s="247"/>
      <c r="T157" s="248"/>
      <c r="U157" s="5">
        <v>126</v>
      </c>
    </row>
    <row r="158" spans="1:21">
      <c r="A158" s="27">
        <v>36</v>
      </c>
      <c r="B158" s="28" t="s">
        <v>173</v>
      </c>
      <c r="C158" s="27">
        <v>700</v>
      </c>
      <c r="D158" s="27">
        <v>16</v>
      </c>
      <c r="E158" s="27"/>
      <c r="F158" s="27">
        <v>7143002</v>
      </c>
      <c r="G158" s="27">
        <v>280</v>
      </c>
      <c r="I158" s="5">
        <v>127</v>
      </c>
      <c r="J158" s="248">
        <v>937.3</v>
      </c>
      <c r="K158" s="247"/>
      <c r="L158" s="248"/>
      <c r="M158" s="247"/>
      <c r="N158" s="248"/>
      <c r="O158" s="247"/>
      <c r="P158" s="267"/>
      <c r="Q158" s="247"/>
      <c r="R158" s="248"/>
      <c r="S158" s="247"/>
      <c r="T158" s="248"/>
      <c r="U158" s="5">
        <v>127</v>
      </c>
    </row>
    <row r="159" spans="1:21">
      <c r="A159" s="27">
        <v>37</v>
      </c>
      <c r="B159" s="28" t="s">
        <v>196</v>
      </c>
      <c r="C159" s="27">
        <v>1000</v>
      </c>
      <c r="D159" s="27">
        <v>16</v>
      </c>
      <c r="E159" s="27"/>
      <c r="F159" s="27">
        <v>7143003</v>
      </c>
      <c r="G159" s="27">
        <v>385</v>
      </c>
      <c r="I159" s="5">
        <v>128</v>
      </c>
      <c r="J159" s="248">
        <v>936.5</v>
      </c>
      <c r="K159" s="247"/>
      <c r="L159" s="248"/>
      <c r="M159" s="247"/>
      <c r="N159" s="248"/>
      <c r="O159" s="247"/>
      <c r="P159" s="267"/>
      <c r="Q159" s="247"/>
      <c r="R159" s="248"/>
      <c r="S159" s="247"/>
      <c r="T159" s="248"/>
      <c r="U159" s="5">
        <v>128</v>
      </c>
    </row>
    <row r="160" spans="1:21">
      <c r="A160" s="27">
        <v>38</v>
      </c>
      <c r="B160" s="28" t="s">
        <v>197</v>
      </c>
      <c r="C160" s="27">
        <v>1500</v>
      </c>
      <c r="D160" s="27">
        <v>16</v>
      </c>
      <c r="E160" s="27"/>
      <c r="F160" s="27">
        <v>7143004</v>
      </c>
      <c r="G160" s="27">
        <v>510</v>
      </c>
      <c r="I160" s="5">
        <v>129</v>
      </c>
      <c r="J160" s="248">
        <v>935.6</v>
      </c>
      <c r="K160" s="247"/>
      <c r="L160" s="248"/>
      <c r="M160" s="247"/>
      <c r="N160" s="248"/>
      <c r="O160" s="247"/>
      <c r="P160" s="267"/>
      <c r="Q160" s="247"/>
      <c r="R160" s="248"/>
      <c r="S160" s="247"/>
      <c r="T160" s="248"/>
      <c r="U160" s="5">
        <v>129</v>
      </c>
    </row>
    <row r="161" spans="1:21">
      <c r="A161" s="27">
        <v>39</v>
      </c>
      <c r="B161" s="28" t="s">
        <v>198</v>
      </c>
      <c r="C161" s="27">
        <v>2000</v>
      </c>
      <c r="D161" s="27">
        <v>16</v>
      </c>
      <c r="E161" s="27"/>
      <c r="F161" s="27">
        <v>7143012</v>
      </c>
      <c r="G161" s="27">
        <v>820</v>
      </c>
      <c r="I161" s="5">
        <v>130</v>
      </c>
      <c r="J161" s="248">
        <v>934.8</v>
      </c>
      <c r="K161" s="247"/>
      <c r="L161" s="248"/>
      <c r="M161" s="247"/>
      <c r="N161" s="248"/>
      <c r="O161" s="247"/>
      <c r="P161" s="267"/>
      <c r="Q161" s="247"/>
      <c r="R161" s="248"/>
      <c r="S161" s="247"/>
      <c r="T161" s="248"/>
      <c r="U161" s="5">
        <v>130</v>
      </c>
    </row>
    <row r="162" spans="1:21">
      <c r="A162" s="27">
        <v>40</v>
      </c>
      <c r="B162" s="28" t="s">
        <v>199</v>
      </c>
      <c r="C162" s="27">
        <v>3000</v>
      </c>
      <c r="D162" s="27">
        <v>16</v>
      </c>
      <c r="E162" s="27"/>
      <c r="F162" s="27">
        <v>7143006</v>
      </c>
      <c r="G162" s="27">
        <v>995</v>
      </c>
      <c r="I162" s="5">
        <v>131</v>
      </c>
      <c r="J162" s="248">
        <v>933.9</v>
      </c>
      <c r="K162" s="247"/>
      <c r="L162" s="248"/>
      <c r="M162" s="247"/>
      <c r="N162" s="248"/>
      <c r="O162" s="247"/>
      <c r="P162" s="267"/>
      <c r="Q162" s="247"/>
      <c r="R162" s="248"/>
      <c r="S162" s="247"/>
      <c r="T162" s="248"/>
      <c r="U162" s="5">
        <v>131</v>
      </c>
    </row>
    <row r="163" spans="1:21">
      <c r="A163" s="27">
        <v>41</v>
      </c>
      <c r="B163" s="28" t="s">
        <v>200</v>
      </c>
      <c r="C163" s="27">
        <v>4000</v>
      </c>
      <c r="D163" s="27">
        <v>16</v>
      </c>
      <c r="E163" s="27"/>
      <c r="F163" s="27">
        <v>7143007</v>
      </c>
      <c r="G163" s="27">
        <v>1145</v>
      </c>
      <c r="I163" s="5">
        <v>132</v>
      </c>
      <c r="J163" s="248">
        <v>933.1</v>
      </c>
      <c r="K163" s="247"/>
      <c r="L163" s="248"/>
      <c r="M163" s="247"/>
      <c r="N163" s="248"/>
      <c r="O163" s="247"/>
      <c r="P163" s="267"/>
      <c r="Q163" s="247"/>
      <c r="R163" s="248"/>
      <c r="S163" s="247"/>
      <c r="T163" s="248"/>
      <c r="U163" s="5">
        <v>132</v>
      </c>
    </row>
    <row r="164" spans="1:21">
      <c r="A164" s="27">
        <v>42</v>
      </c>
      <c r="B164" s="28" t="s">
        <v>201</v>
      </c>
      <c r="C164" s="27">
        <v>5000</v>
      </c>
      <c r="D164" s="27">
        <v>16</v>
      </c>
      <c r="E164" s="27"/>
      <c r="F164" s="27">
        <v>7143008</v>
      </c>
      <c r="G164" s="27">
        <v>1280</v>
      </c>
      <c r="I164" s="5">
        <v>133</v>
      </c>
      <c r="J164" s="248">
        <v>932.2</v>
      </c>
      <c r="K164" s="247"/>
      <c r="L164" s="248"/>
      <c r="M164" s="247"/>
      <c r="N164" s="248"/>
      <c r="O164" s="247"/>
      <c r="P164" s="267"/>
      <c r="Q164" s="247"/>
      <c r="R164" s="248"/>
      <c r="S164" s="247"/>
      <c r="T164" s="248"/>
      <c r="U164" s="5">
        <v>133</v>
      </c>
    </row>
    <row r="165" spans="1:21">
      <c r="B165" s="28"/>
      <c r="I165" s="5">
        <v>134</v>
      </c>
      <c r="J165" s="248">
        <v>931.3</v>
      </c>
      <c r="K165" s="247"/>
      <c r="L165" s="248"/>
      <c r="M165" s="247"/>
      <c r="N165" s="248"/>
      <c r="O165" s="247"/>
      <c r="P165" s="267"/>
      <c r="Q165" s="247"/>
      <c r="R165" s="248"/>
      <c r="S165" s="247"/>
      <c r="T165" s="248"/>
      <c r="U165" s="5">
        <v>134</v>
      </c>
    </row>
    <row r="166" spans="1:21">
      <c r="B166" s="28"/>
      <c r="E166" s="9" t="s">
        <v>4</v>
      </c>
      <c r="F166" s="3">
        <f>VLOOKUP(B122,A123:G164,3,0)</f>
        <v>140</v>
      </c>
      <c r="I166" s="5">
        <v>135</v>
      </c>
      <c r="J166" s="248">
        <v>930.5</v>
      </c>
      <c r="K166" s="247"/>
      <c r="L166" s="248"/>
      <c r="M166" s="247"/>
      <c r="N166" s="248"/>
      <c r="O166" s="247"/>
      <c r="P166" s="267"/>
      <c r="Q166" s="247"/>
      <c r="R166" s="248"/>
      <c r="S166" s="247"/>
      <c r="T166" s="248"/>
      <c r="U166" s="5">
        <v>135</v>
      </c>
    </row>
    <row r="167" spans="1:21">
      <c r="B167" s="28"/>
      <c r="E167" s="9" t="s">
        <v>138</v>
      </c>
      <c r="F167" s="3">
        <f>VLOOKUP(B122,A123:G164,4,0)</f>
        <v>6</v>
      </c>
      <c r="I167" s="5">
        <v>136</v>
      </c>
      <c r="J167" s="248">
        <v>929.6</v>
      </c>
      <c r="K167" s="247"/>
      <c r="L167" s="248"/>
      <c r="M167" s="247"/>
      <c r="N167" s="248"/>
      <c r="O167" s="247"/>
      <c r="P167" s="267"/>
      <c r="Q167" s="247"/>
      <c r="R167" s="248"/>
      <c r="S167" s="247"/>
      <c r="T167" s="248"/>
      <c r="U167" s="5">
        <v>136</v>
      </c>
    </row>
    <row r="168" spans="1:21">
      <c r="B168" s="28"/>
      <c r="E168" s="9" t="s">
        <v>144</v>
      </c>
      <c r="F168" s="3">
        <f>VLOOKUP(B122,A123:G164,7,0)</f>
        <v>25</v>
      </c>
      <c r="I168" s="5">
        <v>137</v>
      </c>
      <c r="J168" s="248">
        <v>928.7</v>
      </c>
      <c r="K168" s="247"/>
      <c r="L168" s="248"/>
      <c r="M168" s="247"/>
      <c r="N168" s="248"/>
      <c r="O168" s="247"/>
      <c r="P168" s="267"/>
      <c r="Q168" s="247"/>
      <c r="R168" s="248"/>
      <c r="S168" s="247"/>
      <c r="T168" s="248"/>
      <c r="U168" s="5">
        <v>137</v>
      </c>
    </row>
    <row r="169" spans="1:21">
      <c r="B169" s="28"/>
      <c r="E169" s="9" t="s">
        <v>224</v>
      </c>
      <c r="F169" s="9" t="str">
        <f>VLOOKUP(B122,A123:G164,2,0)</f>
        <v>DU 140.6</v>
      </c>
      <c r="I169" s="5">
        <v>138</v>
      </c>
      <c r="J169" s="248">
        <v>927.8</v>
      </c>
      <c r="K169" s="247"/>
      <c r="L169" s="248"/>
      <c r="M169" s="247"/>
      <c r="N169" s="248"/>
      <c r="O169" s="247"/>
      <c r="P169" s="267"/>
      <c r="Q169" s="247"/>
      <c r="R169" s="248"/>
      <c r="S169" s="247"/>
      <c r="T169" s="248"/>
      <c r="U169" s="5">
        <v>138</v>
      </c>
    </row>
    <row r="170" spans="1:21">
      <c r="B170" s="28" t="s">
        <v>222</v>
      </c>
      <c r="C170" s="32">
        <v>5351434</v>
      </c>
      <c r="E170" s="9" t="s">
        <v>225</v>
      </c>
      <c r="F170" s="3">
        <f>VLOOKUP(B122,A123:G164,6,0)</f>
        <v>7141002</v>
      </c>
      <c r="I170" s="5">
        <v>139</v>
      </c>
      <c r="J170" s="248">
        <v>927</v>
      </c>
      <c r="K170" s="247"/>
      <c r="L170" s="248"/>
      <c r="M170" s="247"/>
      <c r="N170" s="248"/>
      <c r="O170" s="247"/>
      <c r="P170" s="267"/>
      <c r="Q170" s="247"/>
      <c r="R170" s="248"/>
      <c r="S170" s="247"/>
      <c r="T170" s="248"/>
      <c r="U170" s="5">
        <v>139</v>
      </c>
    </row>
    <row r="171" spans="1:21">
      <c r="B171" s="28" t="s">
        <v>223</v>
      </c>
      <c r="C171" s="32">
        <v>5351436</v>
      </c>
      <c r="E171" s="3" t="str">
        <f>IF('NW wg PN-EN-12828'!E173&lt;21,'5'!B170,IF('NW wg PN-EN-12828'!E173&gt;25,"dobierz zawór typ DLV innego producenta",B171))</f>
        <v>DLV 20</v>
      </c>
      <c r="I171" s="5">
        <v>140</v>
      </c>
      <c r="J171" s="248">
        <v>926.1</v>
      </c>
      <c r="K171" s="247"/>
      <c r="L171" s="248"/>
      <c r="M171" s="247"/>
      <c r="N171" s="248"/>
      <c r="O171" s="247"/>
      <c r="P171" s="267"/>
      <c r="Q171" s="247"/>
      <c r="R171" s="248"/>
      <c r="S171" s="247"/>
      <c r="T171" s="248"/>
      <c r="U171" s="5">
        <v>140</v>
      </c>
    </row>
    <row r="172" spans="1:21">
      <c r="I172" s="5">
        <v>141</v>
      </c>
      <c r="J172" s="248">
        <v>925.2</v>
      </c>
      <c r="K172" s="247"/>
      <c r="L172" s="248"/>
      <c r="M172" s="247"/>
      <c r="N172" s="248"/>
      <c r="O172" s="247"/>
      <c r="P172" s="267"/>
      <c r="Q172" s="247"/>
      <c r="R172" s="248"/>
      <c r="S172" s="247"/>
      <c r="T172" s="248"/>
      <c r="U172" s="5">
        <v>141</v>
      </c>
    </row>
    <row r="173" spans="1:21">
      <c r="I173" s="5">
        <v>142</v>
      </c>
      <c r="J173" s="248">
        <v>924.3</v>
      </c>
      <c r="K173" s="247"/>
      <c r="L173" s="248"/>
      <c r="M173" s="247"/>
      <c r="N173" s="248"/>
      <c r="O173" s="247"/>
      <c r="P173" s="267"/>
      <c r="Q173" s="247"/>
      <c r="R173" s="248"/>
      <c r="S173" s="247"/>
      <c r="T173" s="248"/>
      <c r="U173" s="5">
        <v>142</v>
      </c>
    </row>
    <row r="174" spans="1:21">
      <c r="I174" s="5">
        <v>143</v>
      </c>
      <c r="J174" s="248">
        <v>923.3</v>
      </c>
      <c r="K174" s="247"/>
      <c r="L174" s="248"/>
      <c r="M174" s="247"/>
      <c r="N174" s="248"/>
      <c r="O174" s="247"/>
      <c r="P174" s="267"/>
      <c r="Q174" s="247"/>
      <c r="R174" s="248"/>
      <c r="S174" s="247"/>
      <c r="T174" s="248"/>
      <c r="U174" s="5">
        <v>143</v>
      </c>
    </row>
    <row r="175" spans="1:21">
      <c r="I175" s="5">
        <v>144</v>
      </c>
      <c r="J175" s="248">
        <v>922.4</v>
      </c>
      <c r="K175" s="247"/>
      <c r="L175" s="248"/>
      <c r="M175" s="247"/>
      <c r="N175" s="248"/>
      <c r="O175" s="247"/>
      <c r="P175" s="267"/>
      <c r="Q175" s="247"/>
      <c r="R175" s="248"/>
      <c r="S175" s="247"/>
      <c r="T175" s="248"/>
      <c r="U175" s="5">
        <v>144</v>
      </c>
    </row>
    <row r="176" spans="1:21">
      <c r="I176" s="5">
        <v>145</v>
      </c>
      <c r="J176" s="248">
        <v>921.5</v>
      </c>
      <c r="K176" s="247"/>
      <c r="L176" s="248"/>
      <c r="M176" s="247"/>
      <c r="N176" s="248"/>
      <c r="O176" s="247"/>
      <c r="P176" s="267"/>
      <c r="Q176" s="247"/>
      <c r="R176" s="248"/>
      <c r="S176" s="247"/>
      <c r="T176" s="248"/>
      <c r="U176" s="5">
        <v>145</v>
      </c>
    </row>
    <row r="177" spans="9:21">
      <c r="I177" s="5">
        <v>146</v>
      </c>
      <c r="J177" s="248">
        <v>920.6</v>
      </c>
      <c r="K177" s="247"/>
      <c r="L177" s="248"/>
      <c r="M177" s="247"/>
      <c r="N177" s="248"/>
      <c r="O177" s="247"/>
      <c r="P177" s="267"/>
      <c r="Q177" s="247"/>
      <c r="R177" s="248"/>
      <c r="S177" s="247"/>
      <c r="T177" s="248"/>
      <c r="U177" s="5">
        <v>146</v>
      </c>
    </row>
    <row r="178" spans="9:21">
      <c r="I178" s="5">
        <v>147</v>
      </c>
      <c r="J178" s="248">
        <v>919.7</v>
      </c>
      <c r="K178" s="247"/>
      <c r="L178" s="248"/>
      <c r="M178" s="247"/>
      <c r="N178" s="248"/>
      <c r="O178" s="247"/>
      <c r="P178" s="267"/>
      <c r="Q178" s="247"/>
      <c r="R178" s="248"/>
      <c r="S178" s="247"/>
      <c r="T178" s="248"/>
      <c r="U178" s="5">
        <v>147</v>
      </c>
    </row>
    <row r="179" spans="9:21">
      <c r="I179" s="5">
        <v>148</v>
      </c>
      <c r="J179" s="248">
        <v>918.7</v>
      </c>
      <c r="K179" s="247"/>
      <c r="L179" s="248"/>
      <c r="M179" s="247"/>
      <c r="N179" s="248"/>
      <c r="O179" s="247"/>
      <c r="P179" s="267"/>
      <c r="Q179" s="247"/>
      <c r="R179" s="248"/>
      <c r="S179" s="247"/>
      <c r="T179" s="248"/>
      <c r="U179" s="5">
        <v>148</v>
      </c>
    </row>
    <row r="180" spans="9:21">
      <c r="I180" s="5">
        <v>149</v>
      </c>
      <c r="J180" s="248">
        <v>917.8</v>
      </c>
      <c r="K180" s="247"/>
      <c r="L180" s="248"/>
      <c r="M180" s="247"/>
      <c r="N180" s="248"/>
      <c r="O180" s="247"/>
      <c r="P180" s="267"/>
      <c r="Q180" s="247"/>
      <c r="R180" s="248"/>
      <c r="S180" s="247"/>
      <c r="T180" s="248"/>
      <c r="U180" s="5">
        <v>149</v>
      </c>
    </row>
    <row r="181" spans="9:21">
      <c r="I181" s="5">
        <v>150</v>
      </c>
      <c r="J181" s="248">
        <v>916.9</v>
      </c>
      <c r="K181" s="247"/>
      <c r="L181" s="248"/>
      <c r="M181" s="247"/>
      <c r="N181" s="248"/>
      <c r="O181" s="247"/>
      <c r="P181" s="267"/>
      <c r="Q181" s="247"/>
      <c r="R181" s="248"/>
      <c r="S181" s="247"/>
      <c r="T181" s="248"/>
      <c r="U181" s="5">
        <v>150</v>
      </c>
    </row>
    <row r="182" spans="9:21">
      <c r="I182" s="5"/>
      <c r="J182" s="11"/>
      <c r="K182" s="14"/>
      <c r="L182" s="11"/>
      <c r="M182" s="14"/>
      <c r="N182" s="11"/>
      <c r="O182" s="14"/>
      <c r="P182" s="11"/>
      <c r="Q182" s="14"/>
      <c r="R182" s="11"/>
      <c r="S182" s="14"/>
      <c r="T182" s="11"/>
      <c r="U182" s="8"/>
    </row>
    <row r="183" spans="9:21">
      <c r="I183" s="5"/>
      <c r="J183" s="11"/>
      <c r="K183" s="14"/>
      <c r="L183" s="11"/>
      <c r="M183" s="14"/>
      <c r="N183" s="11"/>
      <c r="O183" s="14"/>
      <c r="P183" s="11"/>
      <c r="Q183" s="14"/>
      <c r="R183" s="11"/>
      <c r="S183" s="14"/>
      <c r="T183" s="11"/>
      <c r="U183" s="8"/>
    </row>
    <row r="184" spans="9:21">
      <c r="I184" s="5"/>
      <c r="J184" s="11"/>
      <c r="K184" s="14"/>
      <c r="L184" s="11"/>
      <c r="M184" s="14"/>
      <c r="N184" s="11"/>
      <c r="O184" s="14"/>
      <c r="P184" s="11"/>
      <c r="Q184" s="14"/>
      <c r="R184" s="11"/>
      <c r="S184" s="14"/>
      <c r="T184" s="11"/>
      <c r="U184" s="8"/>
    </row>
    <row r="185" spans="9:21">
      <c r="I185" s="5"/>
      <c r="J185" s="11"/>
      <c r="K185" s="14"/>
      <c r="L185" s="11"/>
      <c r="M185" s="14"/>
      <c r="N185" s="11"/>
      <c r="O185" s="14"/>
      <c r="P185" s="11"/>
      <c r="Q185" s="14"/>
      <c r="R185" s="11"/>
      <c r="S185" s="14"/>
      <c r="T185" s="11"/>
      <c r="U185" s="8"/>
    </row>
    <row r="186" spans="9:21">
      <c r="I186" s="5"/>
      <c r="J186" s="11"/>
      <c r="K186" s="14"/>
      <c r="L186" s="11"/>
      <c r="M186" s="14"/>
      <c r="N186" s="11"/>
      <c r="O186" s="14"/>
      <c r="P186" s="11"/>
      <c r="Q186" s="14"/>
      <c r="R186" s="11"/>
      <c r="S186" s="14"/>
      <c r="T186" s="11"/>
      <c r="U186" s="8"/>
    </row>
    <row r="187" spans="9:21">
      <c r="I187" s="5"/>
      <c r="J187" s="11"/>
      <c r="K187" s="14"/>
      <c r="L187" s="11"/>
      <c r="M187" s="14"/>
      <c r="N187" s="11"/>
      <c r="O187" s="14"/>
      <c r="P187" s="11"/>
      <c r="Q187" s="14"/>
      <c r="R187" s="11"/>
      <c r="S187" s="14"/>
      <c r="T187" s="11"/>
      <c r="U187" s="8"/>
    </row>
    <row r="188" spans="9:21">
      <c r="I188" s="5"/>
      <c r="J188" s="11"/>
      <c r="K188" s="14"/>
      <c r="L188" s="11"/>
      <c r="M188" s="14"/>
      <c r="N188" s="11"/>
      <c r="O188" s="14"/>
      <c r="P188" s="11"/>
      <c r="Q188" s="14"/>
      <c r="R188" s="11"/>
      <c r="S188" s="14"/>
      <c r="T188" s="11"/>
      <c r="U188" s="8"/>
    </row>
    <row r="189" spans="9:21">
      <c r="I189" s="5"/>
      <c r="J189" s="11"/>
      <c r="K189" s="14"/>
      <c r="L189" s="11"/>
      <c r="M189" s="14"/>
      <c r="N189" s="11"/>
      <c r="O189" s="14"/>
      <c r="P189" s="11"/>
      <c r="Q189" s="14"/>
      <c r="R189" s="11"/>
      <c r="S189" s="14"/>
      <c r="T189" s="11"/>
      <c r="U189" s="8"/>
    </row>
    <row r="190" spans="9:21">
      <c r="I190" s="5"/>
      <c r="J190" s="11"/>
      <c r="K190" s="14"/>
      <c r="L190" s="11"/>
      <c r="M190" s="14"/>
      <c r="N190" s="11"/>
      <c r="O190" s="14"/>
      <c r="P190" s="11"/>
      <c r="Q190" s="14"/>
      <c r="R190" s="11"/>
      <c r="S190" s="14"/>
      <c r="T190" s="11"/>
      <c r="U190" s="8"/>
    </row>
    <row r="191" spans="9:21">
      <c r="I191" s="5"/>
      <c r="J191" s="11"/>
      <c r="K191" s="14"/>
      <c r="L191" s="11"/>
      <c r="M191" s="14"/>
      <c r="N191" s="11"/>
      <c r="O191" s="14"/>
      <c r="P191" s="11"/>
      <c r="Q191" s="14"/>
      <c r="R191" s="11"/>
      <c r="S191" s="14"/>
      <c r="T191" s="11"/>
      <c r="U191" s="8"/>
    </row>
    <row r="192" spans="9:21">
      <c r="I192" s="5"/>
      <c r="J192" s="11"/>
      <c r="K192" s="14"/>
      <c r="L192" s="11"/>
      <c r="M192" s="14"/>
      <c r="N192" s="11"/>
      <c r="O192" s="14"/>
      <c r="P192" s="11"/>
      <c r="Q192" s="14"/>
      <c r="R192" s="11"/>
      <c r="S192" s="14"/>
      <c r="T192" s="11"/>
      <c r="U192" s="8"/>
    </row>
    <row r="193" spans="9:44">
      <c r="I193" s="5"/>
      <c r="J193" s="11"/>
      <c r="K193" s="14"/>
      <c r="L193" s="11"/>
      <c r="M193" s="14"/>
      <c r="N193" s="11"/>
      <c r="O193" s="14"/>
      <c r="P193" s="11"/>
      <c r="Q193" s="14"/>
      <c r="R193" s="11"/>
      <c r="S193" s="14"/>
      <c r="T193" s="11"/>
      <c r="U193" s="8"/>
    </row>
    <row r="194" spans="9:44">
      <c r="I194" s="5"/>
      <c r="J194" s="11"/>
      <c r="K194" s="14"/>
      <c r="L194" s="11"/>
      <c r="M194" s="14"/>
      <c r="N194" s="11"/>
      <c r="O194" s="14"/>
      <c r="P194" s="11"/>
      <c r="Q194" s="14"/>
      <c r="R194" s="11"/>
      <c r="S194" s="14"/>
      <c r="T194" s="11"/>
      <c r="U194" s="8"/>
    </row>
    <row r="195" spans="9:44">
      <c r="I195" s="5"/>
      <c r="J195" s="11"/>
      <c r="K195" s="14"/>
      <c r="L195" s="11"/>
      <c r="M195" s="14"/>
      <c r="N195" s="11"/>
      <c r="O195" s="14"/>
      <c r="P195" s="11"/>
      <c r="Q195" s="14"/>
      <c r="R195" s="11"/>
      <c r="S195" s="14"/>
      <c r="T195" s="11"/>
      <c r="U195" s="8"/>
    </row>
    <row r="196" spans="9:44">
      <c r="I196" s="5"/>
      <c r="J196" s="11"/>
      <c r="K196" s="14"/>
      <c r="L196" s="11"/>
      <c r="M196" s="14"/>
      <c r="N196" s="11"/>
      <c r="O196" s="14"/>
      <c r="P196" s="11"/>
      <c r="Q196" s="14"/>
      <c r="R196" s="11"/>
      <c r="S196" s="14"/>
      <c r="T196" s="11"/>
      <c r="U196" s="8"/>
    </row>
    <row r="197" spans="9:44">
      <c r="I197" s="5"/>
      <c r="J197" s="11"/>
      <c r="K197" s="14"/>
      <c r="L197" s="11"/>
      <c r="M197" s="14"/>
      <c r="N197" s="11"/>
      <c r="O197" s="14"/>
      <c r="P197" s="11"/>
      <c r="Q197" s="14"/>
      <c r="R197" s="11"/>
      <c r="S197" s="14"/>
      <c r="T197" s="11"/>
      <c r="U197" s="8"/>
    </row>
    <row r="198" spans="9:44">
      <c r="I198" s="5"/>
      <c r="J198" s="11"/>
      <c r="K198" s="14"/>
      <c r="L198" s="11"/>
      <c r="M198" s="14"/>
      <c r="N198" s="11"/>
      <c r="O198" s="14"/>
      <c r="P198" s="11"/>
      <c r="Q198" s="14"/>
      <c r="R198" s="11"/>
      <c r="S198" s="14"/>
      <c r="T198" s="11"/>
      <c r="U198" s="8"/>
    </row>
    <row r="199" spans="9:44">
      <c r="I199" s="5"/>
      <c r="J199" s="11"/>
      <c r="K199" s="14"/>
      <c r="L199" s="11"/>
      <c r="M199" s="14"/>
      <c r="N199" s="11"/>
      <c r="O199" s="14"/>
      <c r="P199" s="11"/>
      <c r="Q199" s="14"/>
      <c r="R199" s="11"/>
      <c r="S199" s="14"/>
      <c r="T199" s="11"/>
      <c r="U199" s="8"/>
    </row>
    <row r="200" spans="9:44">
      <c r="I200" s="5"/>
      <c r="J200" s="11"/>
      <c r="K200" s="14"/>
      <c r="L200" s="11"/>
      <c r="M200" s="14"/>
      <c r="N200" s="11"/>
      <c r="O200" s="14"/>
      <c r="P200" s="11"/>
      <c r="Q200" s="14"/>
      <c r="R200" s="11"/>
      <c r="S200" s="14"/>
      <c r="T200" s="11"/>
      <c r="U200" s="8"/>
    </row>
    <row r="201" spans="9:44">
      <c r="I201" s="5"/>
      <c r="J201" s="11"/>
      <c r="K201" s="14"/>
      <c r="L201" s="11"/>
      <c r="M201" s="14"/>
      <c r="N201" s="11"/>
      <c r="O201" s="14"/>
      <c r="P201" s="11"/>
      <c r="Q201" s="14"/>
      <c r="R201" s="11"/>
      <c r="S201" s="14"/>
      <c r="T201" s="11"/>
      <c r="U201" s="8"/>
    </row>
    <row r="203" spans="9:44">
      <c r="J203" s="497" t="s">
        <v>31</v>
      </c>
      <c r="K203" s="497"/>
      <c r="L203" s="497"/>
      <c r="M203" s="497"/>
      <c r="N203" s="497"/>
      <c r="O203" s="497"/>
      <c r="P203" s="497"/>
      <c r="Q203" s="497"/>
      <c r="R203" s="497"/>
      <c r="S203" s="497"/>
      <c r="T203" s="497"/>
    </row>
    <row r="204" spans="9:44">
      <c r="I204" s="3" t="s">
        <v>30</v>
      </c>
      <c r="J204" s="4">
        <v>0</v>
      </c>
      <c r="K204" s="4">
        <v>5</v>
      </c>
      <c r="L204" s="4">
        <v>10</v>
      </c>
      <c r="M204" s="4">
        <v>15</v>
      </c>
      <c r="N204" s="4">
        <v>20</v>
      </c>
      <c r="O204" s="4">
        <v>25</v>
      </c>
      <c r="P204" s="4">
        <v>30</v>
      </c>
      <c r="Q204" s="4">
        <v>35</v>
      </c>
      <c r="R204" s="4">
        <v>40</v>
      </c>
      <c r="S204" s="4">
        <v>45</v>
      </c>
      <c r="T204" s="4">
        <v>50</v>
      </c>
    </row>
    <row r="205" spans="9:44">
      <c r="I205" s="5">
        <v>100</v>
      </c>
      <c r="J205" s="21">
        <v>0</v>
      </c>
      <c r="K205" s="21">
        <v>0</v>
      </c>
      <c r="L205" s="21">
        <v>0</v>
      </c>
      <c r="M205" s="21">
        <v>0</v>
      </c>
      <c r="N205" s="21">
        <v>0</v>
      </c>
      <c r="O205" s="21">
        <v>0</v>
      </c>
      <c r="P205" s="21">
        <v>0</v>
      </c>
      <c r="Q205" s="21">
        <v>0</v>
      </c>
      <c r="R205" s="21">
        <v>0</v>
      </c>
      <c r="S205" s="21">
        <v>0</v>
      </c>
      <c r="T205" s="21">
        <v>0</v>
      </c>
      <c r="U205" s="23"/>
    </row>
    <row r="206" spans="9:44">
      <c r="I206" s="5">
        <v>101</v>
      </c>
      <c r="J206" s="22">
        <f t="shared" ref="J206:T206" si="0">(J205+J208)/2</f>
        <v>0.05</v>
      </c>
      <c r="K206" s="22">
        <f t="shared" si="0"/>
        <v>4.7500000000000001E-2</v>
      </c>
      <c r="L206" s="22">
        <f t="shared" si="0"/>
        <v>4.6249999999999999E-2</v>
      </c>
      <c r="M206" s="22">
        <f t="shared" si="0"/>
        <v>4.3749999999999997E-2</v>
      </c>
      <c r="N206" s="22">
        <f t="shared" si="0"/>
        <v>4.1250000000000002E-2</v>
      </c>
      <c r="O206" s="22">
        <f t="shared" si="0"/>
        <v>0.04</v>
      </c>
      <c r="P206" s="22">
        <f t="shared" si="0"/>
        <v>3.7499999999999999E-2</v>
      </c>
      <c r="Q206" s="22">
        <f t="shared" si="0"/>
        <v>3.125E-2</v>
      </c>
      <c r="R206" s="22">
        <f t="shared" si="0"/>
        <v>2.5000000000000001E-2</v>
      </c>
      <c r="S206" s="22">
        <f t="shared" si="0"/>
        <v>1.8749999999999999E-2</v>
      </c>
      <c r="T206" s="22">
        <f t="shared" si="0"/>
        <v>1.2500000000000001E-2</v>
      </c>
      <c r="U206" s="24"/>
      <c r="V206" s="17"/>
      <c r="W206" s="17"/>
      <c r="X206" s="17"/>
      <c r="Y206" s="17"/>
      <c r="Z206" s="17"/>
      <c r="AA206" s="17"/>
      <c r="AB206" s="17"/>
      <c r="AC206" s="17"/>
    </row>
    <row r="207" spans="9:44">
      <c r="I207" s="5">
        <v>102</v>
      </c>
      <c r="J207" s="22">
        <f t="shared" ref="J207:T207" si="1">(J206+J208)/2</f>
        <v>7.5000000000000011E-2</v>
      </c>
      <c r="K207" s="22">
        <f t="shared" si="1"/>
        <v>7.1250000000000008E-2</v>
      </c>
      <c r="L207" s="22">
        <f t="shared" si="1"/>
        <v>6.9374999999999992E-2</v>
      </c>
      <c r="M207" s="22">
        <f t="shared" si="1"/>
        <v>6.5624999999999989E-2</v>
      </c>
      <c r="N207" s="22">
        <f t="shared" si="1"/>
        <v>6.1874999999999999E-2</v>
      </c>
      <c r="O207" s="22">
        <f t="shared" si="1"/>
        <v>0.06</v>
      </c>
      <c r="P207" s="22">
        <f t="shared" si="1"/>
        <v>5.6249999999999994E-2</v>
      </c>
      <c r="Q207" s="22">
        <f t="shared" si="1"/>
        <v>4.6875E-2</v>
      </c>
      <c r="R207" s="22">
        <f t="shared" si="1"/>
        <v>3.7500000000000006E-2</v>
      </c>
      <c r="S207" s="22">
        <f t="shared" si="1"/>
        <v>2.8124999999999997E-2</v>
      </c>
      <c r="T207" s="22">
        <f t="shared" si="1"/>
        <v>1.8750000000000003E-2</v>
      </c>
      <c r="U207" s="25"/>
      <c r="V207" s="18"/>
      <c r="W207" s="18"/>
      <c r="X207" s="18"/>
      <c r="Y207" s="18"/>
      <c r="Z207" s="18"/>
      <c r="AA207" s="18"/>
      <c r="AB207" s="18"/>
      <c r="AC207" s="19"/>
    </row>
    <row r="208" spans="9:44">
      <c r="I208" s="5">
        <v>103</v>
      </c>
      <c r="J208" s="22">
        <f t="shared" ref="J208:T208" si="2">(J205+J210)/2</f>
        <v>0.1</v>
      </c>
      <c r="K208" s="22">
        <f t="shared" si="2"/>
        <v>9.5000000000000001E-2</v>
      </c>
      <c r="L208" s="22">
        <f t="shared" si="2"/>
        <v>9.2499999999999999E-2</v>
      </c>
      <c r="M208" s="22">
        <f t="shared" si="2"/>
        <v>8.7499999999999994E-2</v>
      </c>
      <c r="N208" s="22">
        <f t="shared" si="2"/>
        <v>8.2500000000000004E-2</v>
      </c>
      <c r="O208" s="22">
        <f t="shared" si="2"/>
        <v>0.08</v>
      </c>
      <c r="P208" s="22">
        <f t="shared" si="2"/>
        <v>7.4999999999999997E-2</v>
      </c>
      <c r="Q208" s="22">
        <f t="shared" si="2"/>
        <v>6.25E-2</v>
      </c>
      <c r="R208" s="22">
        <f t="shared" si="2"/>
        <v>0.05</v>
      </c>
      <c r="S208" s="22">
        <f t="shared" si="2"/>
        <v>3.7499999999999999E-2</v>
      </c>
      <c r="T208" s="22">
        <f t="shared" si="2"/>
        <v>2.5000000000000001E-2</v>
      </c>
      <c r="U208" s="23"/>
      <c r="X208" s="16" t="s">
        <v>48</v>
      </c>
      <c r="Y208" s="16" t="s">
        <v>49</v>
      </c>
      <c r="Z208" s="17">
        <v>20</v>
      </c>
      <c r="AA208" s="17">
        <v>30</v>
      </c>
      <c r="AB208" s="17">
        <v>40</v>
      </c>
      <c r="AC208" s="17">
        <v>50</v>
      </c>
      <c r="AD208" s="17">
        <v>60</v>
      </c>
      <c r="AE208" s="17">
        <v>70</v>
      </c>
      <c r="AF208" s="17">
        <v>80</v>
      </c>
      <c r="AG208" s="17">
        <v>90</v>
      </c>
      <c r="AH208" s="17">
        <v>100</v>
      </c>
      <c r="AI208" s="17">
        <v>110</v>
      </c>
      <c r="AJ208" s="17">
        <v>120</v>
      </c>
      <c r="AK208" s="17">
        <v>130</v>
      </c>
      <c r="AL208" s="17">
        <v>140</v>
      </c>
      <c r="AM208" s="17">
        <v>150</v>
      </c>
      <c r="AN208" s="17">
        <v>160</v>
      </c>
      <c r="AO208" s="17">
        <v>170</v>
      </c>
      <c r="AP208" s="17">
        <v>180</v>
      </c>
      <c r="AQ208" s="17">
        <v>190</v>
      </c>
      <c r="AR208" s="17">
        <v>200</v>
      </c>
    </row>
    <row r="209" spans="9:44">
      <c r="I209" s="5">
        <v>104</v>
      </c>
      <c r="J209" s="22">
        <f t="shared" ref="J209:T209" si="3">(J208+J210)/2</f>
        <v>0.15000000000000002</v>
      </c>
      <c r="K209" s="22">
        <f t="shared" si="3"/>
        <v>0.14250000000000002</v>
      </c>
      <c r="L209" s="22">
        <f t="shared" si="3"/>
        <v>0.13874999999999998</v>
      </c>
      <c r="M209" s="22">
        <f t="shared" si="3"/>
        <v>0.13124999999999998</v>
      </c>
      <c r="N209" s="22">
        <f t="shared" si="3"/>
        <v>0.12375</v>
      </c>
      <c r="O209" s="22">
        <f t="shared" si="3"/>
        <v>0.12</v>
      </c>
      <c r="P209" s="22">
        <f t="shared" si="3"/>
        <v>0.11249999999999999</v>
      </c>
      <c r="Q209" s="22">
        <f t="shared" si="3"/>
        <v>9.375E-2</v>
      </c>
      <c r="R209" s="22">
        <f t="shared" si="3"/>
        <v>7.5000000000000011E-2</v>
      </c>
      <c r="S209" s="22">
        <f t="shared" si="3"/>
        <v>5.6249999999999994E-2</v>
      </c>
      <c r="T209" s="22">
        <f t="shared" si="3"/>
        <v>3.7500000000000006E-2</v>
      </c>
      <c r="U209" s="23"/>
      <c r="X209" s="16" t="s">
        <v>51</v>
      </c>
      <c r="Y209" s="16" t="s">
        <v>3</v>
      </c>
      <c r="Z209" s="18">
        <v>0</v>
      </c>
      <c r="AA209" s="18">
        <v>0</v>
      </c>
      <c r="AB209" s="18">
        <v>0</v>
      </c>
      <c r="AC209" s="18">
        <v>0</v>
      </c>
      <c r="AD209" s="18">
        <v>0</v>
      </c>
      <c r="AE209" s="18">
        <v>0</v>
      </c>
      <c r="AF209" s="18">
        <v>0</v>
      </c>
      <c r="AG209" s="18">
        <v>0</v>
      </c>
      <c r="AH209" s="18">
        <v>0</v>
      </c>
      <c r="AI209" s="18">
        <v>0.4</v>
      </c>
      <c r="AJ209" s="18">
        <v>1.03</v>
      </c>
      <c r="AK209" s="18">
        <v>1.75</v>
      </c>
      <c r="AL209" s="18">
        <v>2.69</v>
      </c>
      <c r="AM209" s="18">
        <v>3.85</v>
      </c>
      <c r="AN209" s="18">
        <v>5.3</v>
      </c>
      <c r="AO209" s="18">
        <v>7.08</v>
      </c>
      <c r="AP209" s="18">
        <v>9.25</v>
      </c>
      <c r="AQ209" s="18">
        <v>11.8</v>
      </c>
      <c r="AR209" s="19">
        <v>14.5</v>
      </c>
    </row>
    <row r="210" spans="9:44">
      <c r="I210" s="5">
        <v>105</v>
      </c>
      <c r="J210" s="22">
        <f t="shared" ref="J210:T210" si="4">(J205+J215)/2</f>
        <v>0.2</v>
      </c>
      <c r="K210" s="22">
        <f t="shared" si="4"/>
        <v>0.19</v>
      </c>
      <c r="L210" s="22">
        <f t="shared" si="4"/>
        <v>0.185</v>
      </c>
      <c r="M210" s="22">
        <f t="shared" si="4"/>
        <v>0.17499999999999999</v>
      </c>
      <c r="N210" s="22">
        <f t="shared" si="4"/>
        <v>0.16500000000000001</v>
      </c>
      <c r="O210" s="22">
        <f t="shared" si="4"/>
        <v>0.16</v>
      </c>
      <c r="P210" s="22">
        <f t="shared" si="4"/>
        <v>0.15</v>
      </c>
      <c r="Q210" s="22">
        <f t="shared" si="4"/>
        <v>0.125</v>
      </c>
      <c r="R210" s="22">
        <f t="shared" si="4"/>
        <v>0.1</v>
      </c>
      <c r="S210" s="22">
        <f t="shared" si="4"/>
        <v>7.4999999999999997E-2</v>
      </c>
      <c r="T210" s="22">
        <f t="shared" si="4"/>
        <v>0.05</v>
      </c>
      <c r="U210" s="23"/>
      <c r="X210" s="16" t="s">
        <v>48</v>
      </c>
      <c r="Y210" s="16" t="s">
        <v>49</v>
      </c>
      <c r="Z210" s="17">
        <v>20</v>
      </c>
      <c r="AA210" s="17">
        <v>30</v>
      </c>
      <c r="AB210" s="17">
        <v>40</v>
      </c>
      <c r="AC210" s="17">
        <v>50</v>
      </c>
      <c r="AD210" s="17">
        <v>60</v>
      </c>
      <c r="AE210" s="17">
        <v>70</v>
      </c>
      <c r="AF210" s="17">
        <v>80</v>
      </c>
      <c r="AG210" s="17">
        <v>90</v>
      </c>
      <c r="AH210" s="17">
        <v>100</v>
      </c>
      <c r="AI210" s="17">
        <v>110</v>
      </c>
      <c r="AJ210" s="17">
        <v>120</v>
      </c>
      <c r="AK210" s="17">
        <v>130</v>
      </c>
      <c r="AL210" s="17">
        <v>140</v>
      </c>
      <c r="AM210" s="17">
        <v>150</v>
      </c>
      <c r="AN210" s="17">
        <v>160</v>
      </c>
      <c r="AO210" s="17">
        <v>170</v>
      </c>
      <c r="AP210" s="17">
        <v>180</v>
      </c>
      <c r="AQ210" s="17">
        <v>190</v>
      </c>
      <c r="AR210" s="17">
        <v>200</v>
      </c>
    </row>
    <row r="211" spans="9:44">
      <c r="I211" s="5">
        <v>106</v>
      </c>
      <c r="J211" s="22">
        <f t="shared" ref="J211:T211" si="5">(J210+J212)/2</f>
        <v>0.23750000000000002</v>
      </c>
      <c r="K211" s="22">
        <f t="shared" si="5"/>
        <v>0.22562499999999999</v>
      </c>
      <c r="L211" s="22">
        <f t="shared" si="5"/>
        <v>0.21968750000000001</v>
      </c>
      <c r="M211" s="22">
        <f t="shared" si="5"/>
        <v>0.20781249999999998</v>
      </c>
      <c r="N211" s="22">
        <f t="shared" si="5"/>
        <v>0.19593749999999999</v>
      </c>
      <c r="O211" s="22">
        <f t="shared" si="5"/>
        <v>0.19</v>
      </c>
      <c r="P211" s="22">
        <f t="shared" si="5"/>
        <v>0.17812499999999998</v>
      </c>
      <c r="Q211" s="22">
        <f t="shared" si="5"/>
        <v>0.1484375</v>
      </c>
      <c r="R211" s="22">
        <f t="shared" si="5"/>
        <v>0.11875000000000001</v>
      </c>
      <c r="S211" s="22">
        <f t="shared" si="5"/>
        <v>8.9062499999999989E-2</v>
      </c>
      <c r="T211" s="22">
        <f t="shared" si="5"/>
        <v>5.9375000000000004E-2</v>
      </c>
      <c r="U211" s="23"/>
      <c r="X211" s="16" t="s">
        <v>52</v>
      </c>
      <c r="Y211" s="16"/>
      <c r="Z211" s="496" t="s">
        <v>53</v>
      </c>
      <c r="AA211" s="496"/>
      <c r="AB211" s="496"/>
      <c r="AC211" s="496"/>
      <c r="AD211" s="496"/>
      <c r="AE211" s="496"/>
      <c r="AF211" s="20">
        <v>6.8999999999999999E-3</v>
      </c>
      <c r="AG211" s="20">
        <v>1.43E-2</v>
      </c>
      <c r="AH211" s="20">
        <v>2.2100000000000002E-2</v>
      </c>
      <c r="AI211" s="20">
        <v>3.04E-2</v>
      </c>
      <c r="AJ211" s="20">
        <v>3.7650000000000003E-2</v>
      </c>
      <c r="AK211" s="20">
        <v>4.9430000000000002E-2</v>
      </c>
      <c r="AL211" s="20">
        <v>5.5320000000000001E-2</v>
      </c>
      <c r="AM211" s="20">
        <v>6.1210000000000001E-2</v>
      </c>
      <c r="AN211" s="20">
        <v>6.7100000000000007E-2</v>
      </c>
      <c r="AO211" s="20">
        <v>7.2989999999999999E-2</v>
      </c>
      <c r="AP211" s="20">
        <v>7.8880000000000006E-2</v>
      </c>
      <c r="AQ211" s="20">
        <v>8.4769999999999998E-2</v>
      </c>
      <c r="AR211" s="20">
        <v>9.0660000000000004E-2</v>
      </c>
    </row>
    <row r="212" spans="9:44">
      <c r="I212" s="5">
        <v>107</v>
      </c>
      <c r="J212" s="22">
        <f t="shared" ref="J212:T212" si="6">(J210+J214)/2</f>
        <v>0.27500000000000002</v>
      </c>
      <c r="K212" s="22">
        <f t="shared" si="6"/>
        <v>0.26124999999999998</v>
      </c>
      <c r="L212" s="22">
        <f t="shared" si="6"/>
        <v>0.25437500000000002</v>
      </c>
      <c r="M212" s="22">
        <f t="shared" si="6"/>
        <v>0.24062499999999998</v>
      </c>
      <c r="N212" s="22">
        <f t="shared" si="6"/>
        <v>0.22687499999999999</v>
      </c>
      <c r="O212" s="22">
        <f t="shared" si="6"/>
        <v>0.22000000000000003</v>
      </c>
      <c r="P212" s="22">
        <f t="shared" si="6"/>
        <v>0.20624999999999999</v>
      </c>
      <c r="Q212" s="22">
        <f t="shared" si="6"/>
        <v>0.171875</v>
      </c>
      <c r="R212" s="22">
        <f t="shared" si="6"/>
        <v>0.13750000000000001</v>
      </c>
      <c r="S212" s="22">
        <f t="shared" si="6"/>
        <v>0.10312499999999999</v>
      </c>
      <c r="T212" s="22">
        <f t="shared" si="6"/>
        <v>6.8750000000000006E-2</v>
      </c>
      <c r="U212" s="23"/>
      <c r="X212" s="16"/>
      <c r="Y212" s="16"/>
      <c r="Z212" s="18"/>
      <c r="AA212" s="18"/>
      <c r="AB212" s="18"/>
      <c r="AC212" s="18"/>
      <c r="AD212" s="18"/>
      <c r="AE212" s="18"/>
      <c r="AF212" s="18"/>
      <c r="AG212" s="18"/>
      <c r="AH212" s="18"/>
      <c r="AI212" s="18"/>
      <c r="AJ212" s="18"/>
      <c r="AK212" s="18"/>
      <c r="AL212" s="18"/>
      <c r="AM212" s="18"/>
      <c r="AN212" s="18"/>
      <c r="AO212" s="18"/>
      <c r="AP212" s="18"/>
      <c r="AQ212" s="18"/>
      <c r="AR212" s="18"/>
    </row>
    <row r="213" spans="9:44">
      <c r="I213" s="5">
        <v>108</v>
      </c>
      <c r="J213" s="22">
        <f t="shared" ref="J213:T213" si="7">(J210+J215)/2</f>
        <v>0.30000000000000004</v>
      </c>
      <c r="K213" s="22">
        <f t="shared" si="7"/>
        <v>0.28500000000000003</v>
      </c>
      <c r="L213" s="22">
        <f t="shared" si="7"/>
        <v>0.27749999999999997</v>
      </c>
      <c r="M213" s="22">
        <f t="shared" si="7"/>
        <v>0.26249999999999996</v>
      </c>
      <c r="N213" s="22">
        <f t="shared" si="7"/>
        <v>0.2475</v>
      </c>
      <c r="O213" s="22">
        <f t="shared" si="7"/>
        <v>0.24</v>
      </c>
      <c r="P213" s="22">
        <f t="shared" si="7"/>
        <v>0.22499999999999998</v>
      </c>
      <c r="Q213" s="22">
        <f t="shared" si="7"/>
        <v>0.1875</v>
      </c>
      <c r="R213" s="22">
        <f t="shared" si="7"/>
        <v>0.15000000000000002</v>
      </c>
      <c r="S213" s="22">
        <f t="shared" si="7"/>
        <v>0.11249999999999999</v>
      </c>
      <c r="T213" s="22">
        <f t="shared" si="7"/>
        <v>7.5000000000000011E-2</v>
      </c>
      <c r="U213" s="23"/>
      <c r="X213" s="16" t="s">
        <v>48</v>
      </c>
      <c r="Y213" s="16" t="s">
        <v>49</v>
      </c>
      <c r="Z213" s="17">
        <v>20</v>
      </c>
      <c r="AA213" s="17">
        <v>30</v>
      </c>
      <c r="AB213" s="17">
        <v>40</v>
      </c>
      <c r="AC213" s="17">
        <v>50</v>
      </c>
      <c r="AD213" s="17">
        <v>60</v>
      </c>
      <c r="AE213" s="17">
        <v>70</v>
      </c>
      <c r="AF213" s="17">
        <v>80</v>
      </c>
      <c r="AG213" s="17">
        <v>90</v>
      </c>
      <c r="AH213" s="17">
        <v>100</v>
      </c>
      <c r="AI213" s="17">
        <v>110</v>
      </c>
      <c r="AJ213" s="17">
        <v>120</v>
      </c>
      <c r="AK213" s="17">
        <v>130</v>
      </c>
      <c r="AL213" s="17">
        <v>140</v>
      </c>
      <c r="AM213" s="17">
        <v>150</v>
      </c>
      <c r="AN213" s="17">
        <v>160</v>
      </c>
      <c r="AO213" s="17">
        <v>170</v>
      </c>
      <c r="AP213" s="17">
        <v>180</v>
      </c>
      <c r="AQ213" s="17">
        <v>190</v>
      </c>
      <c r="AR213" s="17">
        <v>200</v>
      </c>
    </row>
    <row r="214" spans="9:44">
      <c r="I214" s="5">
        <v>109</v>
      </c>
      <c r="J214" s="22">
        <f t="shared" ref="J214:T214" si="8">(J213+J215)/2</f>
        <v>0.35000000000000003</v>
      </c>
      <c r="K214" s="22">
        <f t="shared" si="8"/>
        <v>0.33250000000000002</v>
      </c>
      <c r="L214" s="22">
        <f t="shared" si="8"/>
        <v>0.32374999999999998</v>
      </c>
      <c r="M214" s="22">
        <f t="shared" si="8"/>
        <v>0.30624999999999997</v>
      </c>
      <c r="N214" s="22">
        <f t="shared" si="8"/>
        <v>0.28875000000000001</v>
      </c>
      <c r="O214" s="22">
        <f t="shared" si="8"/>
        <v>0.28000000000000003</v>
      </c>
      <c r="P214" s="22">
        <f t="shared" si="8"/>
        <v>0.26249999999999996</v>
      </c>
      <c r="Q214" s="22">
        <f t="shared" si="8"/>
        <v>0.21875</v>
      </c>
      <c r="R214" s="22">
        <f t="shared" si="8"/>
        <v>0.17500000000000002</v>
      </c>
      <c r="S214" s="22">
        <f t="shared" si="8"/>
        <v>0.13124999999999998</v>
      </c>
      <c r="T214" s="22">
        <f t="shared" si="8"/>
        <v>8.7500000000000008E-2</v>
      </c>
      <c r="U214" s="23"/>
      <c r="X214" s="16" t="s">
        <v>50</v>
      </c>
      <c r="Y214" s="16" t="s">
        <v>54</v>
      </c>
      <c r="Z214" s="18">
        <v>2.3900000000000001E-2</v>
      </c>
      <c r="AA214" s="18">
        <v>2.3900000000000001E-2</v>
      </c>
      <c r="AB214" s="18">
        <v>2.3900000000000001E-2</v>
      </c>
      <c r="AC214" s="18">
        <v>0.03</v>
      </c>
      <c r="AD214" s="18">
        <v>3.6400000000000002E-2</v>
      </c>
      <c r="AE214" s="18">
        <v>4.3099999999999999E-2</v>
      </c>
      <c r="AF214" s="18">
        <v>5.0200000000000002E-2</v>
      </c>
      <c r="AG214" s="18">
        <v>5.7599999999999998E-2</v>
      </c>
      <c r="AH214" s="18">
        <v>6.5299999999999997E-2</v>
      </c>
      <c r="AI214" s="18">
        <v>7.3400000000000007E-2</v>
      </c>
      <c r="AJ214" s="18"/>
      <c r="AK214" s="18"/>
      <c r="AL214" s="18">
        <v>7.3400000000000007E-2</v>
      </c>
      <c r="AM214" s="18"/>
      <c r="AN214" s="18"/>
      <c r="AO214" s="18">
        <v>7.3400000000000007E-2</v>
      </c>
      <c r="AP214" s="18"/>
      <c r="AQ214" s="18"/>
      <c r="AR214" s="19">
        <v>7.3400000000000007E-2</v>
      </c>
    </row>
    <row r="215" spans="9:44">
      <c r="I215" s="5">
        <v>110</v>
      </c>
      <c r="J215" s="21">
        <v>0.4</v>
      </c>
      <c r="K215" s="22">
        <v>0.38</v>
      </c>
      <c r="L215" s="22">
        <v>0.37</v>
      </c>
      <c r="M215" s="22">
        <v>0.35</v>
      </c>
      <c r="N215" s="22">
        <v>0.33</v>
      </c>
      <c r="O215" s="22">
        <v>0.32</v>
      </c>
      <c r="P215" s="22">
        <v>0.3</v>
      </c>
      <c r="Q215" s="22">
        <v>0.25</v>
      </c>
      <c r="R215" s="22">
        <v>0.2</v>
      </c>
      <c r="S215" s="22">
        <v>0.15</v>
      </c>
      <c r="T215" s="22">
        <v>0.1</v>
      </c>
      <c r="U215" s="23"/>
      <c r="X215" s="16" t="s">
        <v>48</v>
      </c>
      <c r="Y215" s="16" t="s">
        <v>49</v>
      </c>
      <c r="Z215" s="17">
        <v>20</v>
      </c>
      <c r="AA215" s="17">
        <v>30</v>
      </c>
      <c r="AB215" s="17">
        <v>40</v>
      </c>
      <c r="AC215" s="17">
        <v>50</v>
      </c>
      <c r="AD215" s="17">
        <v>60</v>
      </c>
      <c r="AE215" s="17">
        <v>70</v>
      </c>
      <c r="AF215" s="17">
        <v>80</v>
      </c>
      <c r="AG215" s="17">
        <v>90</v>
      </c>
      <c r="AH215" s="17">
        <v>100</v>
      </c>
      <c r="AI215" s="17">
        <v>110</v>
      </c>
      <c r="AJ215" s="17">
        <v>120</v>
      </c>
      <c r="AK215" s="17">
        <v>130</v>
      </c>
      <c r="AL215" s="17">
        <v>140</v>
      </c>
      <c r="AM215" s="17">
        <v>150</v>
      </c>
      <c r="AN215" s="17">
        <v>160</v>
      </c>
      <c r="AO215" s="17">
        <v>170</v>
      </c>
      <c r="AP215" s="17">
        <v>180</v>
      </c>
      <c r="AQ215" s="17">
        <v>190</v>
      </c>
      <c r="AR215" s="17">
        <v>200</v>
      </c>
    </row>
    <row r="216" spans="9:44">
      <c r="I216" s="5">
        <v>111</v>
      </c>
      <c r="J216" s="22">
        <f t="shared" ref="J216:T216" si="9">(J215+J218)/2</f>
        <v>0.47875000000000006</v>
      </c>
      <c r="K216" s="22">
        <f t="shared" si="9"/>
        <v>0.45875000000000005</v>
      </c>
      <c r="L216" s="22">
        <f t="shared" si="9"/>
        <v>0.44749999999999995</v>
      </c>
      <c r="M216" s="22">
        <f t="shared" si="9"/>
        <v>0.42749999999999994</v>
      </c>
      <c r="N216" s="22">
        <f t="shared" si="9"/>
        <v>0.40749999999999997</v>
      </c>
      <c r="O216" s="22">
        <f t="shared" si="9"/>
        <v>0.39624999999999999</v>
      </c>
      <c r="P216" s="22">
        <f t="shared" si="9"/>
        <v>0.37624999999999997</v>
      </c>
      <c r="Q216" s="22">
        <f t="shared" si="9"/>
        <v>0.32999999999999996</v>
      </c>
      <c r="R216" s="22">
        <f t="shared" si="9"/>
        <v>0.28374999999999995</v>
      </c>
      <c r="S216" s="22">
        <f t="shared" si="9"/>
        <v>0.23749999999999999</v>
      </c>
      <c r="T216" s="22">
        <f t="shared" si="9"/>
        <v>0.19124999999999998</v>
      </c>
      <c r="U216" s="23"/>
      <c r="X216" s="16" t="s">
        <v>55</v>
      </c>
      <c r="Y216" s="16" t="s">
        <v>56</v>
      </c>
      <c r="Z216" s="18">
        <v>0</v>
      </c>
      <c r="AA216" s="18">
        <v>0</v>
      </c>
      <c r="AB216" s="18">
        <v>0</v>
      </c>
      <c r="AC216" s="18">
        <v>0</v>
      </c>
      <c r="AD216" s="18">
        <v>0</v>
      </c>
      <c r="AE216" s="18">
        <v>0</v>
      </c>
      <c r="AF216" s="18">
        <v>0</v>
      </c>
      <c r="AG216" s="18">
        <v>0</v>
      </c>
      <c r="AH216" s="18">
        <v>0</v>
      </c>
      <c r="AI216" s="18">
        <v>0.2</v>
      </c>
      <c r="AJ216" s="18"/>
      <c r="AK216" s="18"/>
      <c r="AL216" s="18">
        <v>0.2</v>
      </c>
      <c r="AM216" s="18"/>
      <c r="AN216" s="18"/>
      <c r="AO216" s="18">
        <v>0.2</v>
      </c>
      <c r="AP216" s="18"/>
      <c r="AQ216" s="18"/>
      <c r="AR216" s="19">
        <v>0.2</v>
      </c>
    </row>
    <row r="217" spans="9:44">
      <c r="I217" s="5">
        <v>112</v>
      </c>
      <c r="J217" s="22">
        <f t="shared" ref="J217:T217" si="10">(J216+J218)/2</f>
        <v>0.51812500000000006</v>
      </c>
      <c r="K217" s="22">
        <f t="shared" si="10"/>
        <v>0.49812500000000004</v>
      </c>
      <c r="L217" s="22">
        <f t="shared" si="10"/>
        <v>0.48624999999999996</v>
      </c>
      <c r="M217" s="22">
        <f t="shared" si="10"/>
        <v>0.46624999999999994</v>
      </c>
      <c r="N217" s="22">
        <f t="shared" si="10"/>
        <v>0.44624999999999998</v>
      </c>
      <c r="O217" s="22">
        <f t="shared" si="10"/>
        <v>0.43437500000000001</v>
      </c>
      <c r="P217" s="22">
        <f t="shared" si="10"/>
        <v>0.41437499999999999</v>
      </c>
      <c r="Q217" s="22">
        <f t="shared" si="10"/>
        <v>0.37</v>
      </c>
      <c r="R217" s="22">
        <f t="shared" si="10"/>
        <v>0.32562499999999994</v>
      </c>
      <c r="S217" s="22">
        <f t="shared" si="10"/>
        <v>0.28125</v>
      </c>
      <c r="T217" s="22">
        <f t="shared" si="10"/>
        <v>0.23687499999999997</v>
      </c>
      <c r="U217" s="23"/>
    </row>
    <row r="218" spans="9:44">
      <c r="I218" s="5">
        <v>113</v>
      </c>
      <c r="J218" s="22">
        <f t="shared" ref="J218:T218" si="11">(J215+J220)/2</f>
        <v>0.55750000000000011</v>
      </c>
      <c r="K218" s="22">
        <f t="shared" si="11"/>
        <v>0.53750000000000009</v>
      </c>
      <c r="L218" s="22">
        <f t="shared" si="11"/>
        <v>0.52499999999999991</v>
      </c>
      <c r="M218" s="22">
        <f t="shared" si="11"/>
        <v>0.50499999999999989</v>
      </c>
      <c r="N218" s="22">
        <f t="shared" si="11"/>
        <v>0.48499999999999999</v>
      </c>
      <c r="O218" s="22">
        <f t="shared" si="11"/>
        <v>0.47250000000000003</v>
      </c>
      <c r="P218" s="22">
        <f t="shared" si="11"/>
        <v>0.45250000000000001</v>
      </c>
      <c r="Q218" s="22">
        <f t="shared" si="11"/>
        <v>0.41</v>
      </c>
      <c r="R218" s="22">
        <f t="shared" si="11"/>
        <v>0.36749999999999994</v>
      </c>
      <c r="S218" s="22">
        <f t="shared" si="11"/>
        <v>0.32499999999999996</v>
      </c>
      <c r="T218" s="22">
        <f t="shared" si="11"/>
        <v>0.28249999999999997</v>
      </c>
      <c r="U218" s="23"/>
    </row>
    <row r="219" spans="9:44">
      <c r="I219" s="5">
        <v>114</v>
      </c>
      <c r="J219" s="22">
        <f t="shared" ref="J219:T219" si="12">(J218+J220)/2</f>
        <v>0.63625000000000009</v>
      </c>
      <c r="K219" s="22">
        <f t="shared" si="12"/>
        <v>0.61625000000000008</v>
      </c>
      <c r="L219" s="22">
        <f t="shared" si="12"/>
        <v>0.60249999999999992</v>
      </c>
      <c r="M219" s="22">
        <f t="shared" si="12"/>
        <v>0.58249999999999991</v>
      </c>
      <c r="N219" s="22">
        <f t="shared" si="12"/>
        <v>0.5625</v>
      </c>
      <c r="O219" s="22">
        <f t="shared" si="12"/>
        <v>0.54875000000000007</v>
      </c>
      <c r="P219" s="22">
        <f t="shared" si="12"/>
        <v>0.52875000000000005</v>
      </c>
      <c r="Q219" s="22">
        <f t="shared" si="12"/>
        <v>0.49</v>
      </c>
      <c r="R219" s="22">
        <f t="shared" si="12"/>
        <v>0.45124999999999993</v>
      </c>
      <c r="S219" s="22">
        <f t="shared" si="12"/>
        <v>0.41249999999999998</v>
      </c>
      <c r="T219" s="22">
        <f t="shared" si="12"/>
        <v>0.37374999999999992</v>
      </c>
      <c r="U219" s="23"/>
    </row>
    <row r="220" spans="9:44">
      <c r="I220" s="5">
        <v>115</v>
      </c>
      <c r="J220" s="22">
        <f t="shared" ref="J220:T220" si="13">(J215+J225)/2</f>
        <v>0.71500000000000008</v>
      </c>
      <c r="K220" s="22">
        <f t="shared" si="13"/>
        <v>0.69500000000000006</v>
      </c>
      <c r="L220" s="22">
        <f t="shared" si="13"/>
        <v>0.67999999999999994</v>
      </c>
      <c r="M220" s="22">
        <f t="shared" si="13"/>
        <v>0.65999999999999992</v>
      </c>
      <c r="N220" s="22">
        <f t="shared" si="13"/>
        <v>0.64</v>
      </c>
      <c r="O220" s="22">
        <f t="shared" si="13"/>
        <v>0.625</v>
      </c>
      <c r="P220" s="22">
        <f t="shared" si="13"/>
        <v>0.60499999999999998</v>
      </c>
      <c r="Q220" s="22">
        <f t="shared" si="13"/>
        <v>0.56999999999999995</v>
      </c>
      <c r="R220" s="22">
        <f t="shared" si="13"/>
        <v>0.53499999999999992</v>
      </c>
      <c r="S220" s="22">
        <f t="shared" si="13"/>
        <v>0.49999999999999994</v>
      </c>
      <c r="T220" s="22">
        <f t="shared" si="13"/>
        <v>0.46499999999999991</v>
      </c>
      <c r="U220" s="23"/>
    </row>
    <row r="221" spans="9:44">
      <c r="I221" s="5">
        <v>116</v>
      </c>
      <c r="J221" s="22">
        <f t="shared" ref="J221:T221" si="14">(J220+J222)/2</f>
        <v>0.7740625000000001</v>
      </c>
      <c r="K221" s="22">
        <f t="shared" si="14"/>
        <v>0.75406250000000008</v>
      </c>
      <c r="L221" s="22">
        <f t="shared" si="14"/>
        <v>0.73812499999999992</v>
      </c>
      <c r="M221" s="22">
        <f t="shared" si="14"/>
        <v>0.7181249999999999</v>
      </c>
      <c r="N221" s="22">
        <f t="shared" si="14"/>
        <v>0.698125</v>
      </c>
      <c r="O221" s="22">
        <f t="shared" si="14"/>
        <v>0.68218749999999995</v>
      </c>
      <c r="P221" s="22">
        <f t="shared" si="14"/>
        <v>0.66218749999999993</v>
      </c>
      <c r="Q221" s="22">
        <f t="shared" si="14"/>
        <v>0.62999999999999989</v>
      </c>
      <c r="R221" s="22">
        <f t="shared" si="14"/>
        <v>0.59781249999999986</v>
      </c>
      <c r="S221" s="22">
        <f t="shared" si="14"/>
        <v>0.56562499999999993</v>
      </c>
      <c r="T221" s="22">
        <f t="shared" si="14"/>
        <v>0.5334374999999999</v>
      </c>
      <c r="U221" s="23"/>
    </row>
    <row r="222" spans="9:44">
      <c r="I222" s="5">
        <v>117</v>
      </c>
      <c r="J222" s="22">
        <f t="shared" ref="J222:T222" si="15">(J220+J224)/2</f>
        <v>0.83312500000000012</v>
      </c>
      <c r="K222" s="22">
        <f t="shared" si="15"/>
        <v>0.8131250000000001</v>
      </c>
      <c r="L222" s="22">
        <f t="shared" si="15"/>
        <v>0.7962499999999999</v>
      </c>
      <c r="M222" s="22">
        <f t="shared" si="15"/>
        <v>0.77624999999999988</v>
      </c>
      <c r="N222" s="22">
        <f t="shared" si="15"/>
        <v>0.75624999999999998</v>
      </c>
      <c r="O222" s="22">
        <f t="shared" si="15"/>
        <v>0.739375</v>
      </c>
      <c r="P222" s="22">
        <f t="shared" si="15"/>
        <v>0.71937499999999999</v>
      </c>
      <c r="Q222" s="22">
        <f t="shared" si="15"/>
        <v>0.69</v>
      </c>
      <c r="R222" s="22">
        <f t="shared" si="15"/>
        <v>0.66062499999999991</v>
      </c>
      <c r="S222" s="22">
        <f t="shared" si="15"/>
        <v>0.63124999999999998</v>
      </c>
      <c r="T222" s="22">
        <f t="shared" si="15"/>
        <v>0.60187499999999983</v>
      </c>
      <c r="U222" s="23"/>
    </row>
    <row r="223" spans="9:44">
      <c r="I223" s="5">
        <v>118</v>
      </c>
      <c r="J223" s="22">
        <f t="shared" ref="J223:T223" si="16">(J220+J225)/2</f>
        <v>0.87250000000000005</v>
      </c>
      <c r="K223" s="22">
        <f t="shared" si="16"/>
        <v>0.85250000000000004</v>
      </c>
      <c r="L223" s="22">
        <f t="shared" si="16"/>
        <v>0.83499999999999996</v>
      </c>
      <c r="M223" s="22">
        <f t="shared" si="16"/>
        <v>0.81499999999999995</v>
      </c>
      <c r="N223" s="22">
        <f t="shared" si="16"/>
        <v>0.79499999999999993</v>
      </c>
      <c r="O223" s="22">
        <f t="shared" si="16"/>
        <v>0.77749999999999997</v>
      </c>
      <c r="P223" s="22">
        <f t="shared" si="16"/>
        <v>0.75749999999999995</v>
      </c>
      <c r="Q223" s="22">
        <f t="shared" si="16"/>
        <v>0.73</v>
      </c>
      <c r="R223" s="22">
        <f t="shared" si="16"/>
        <v>0.7024999999999999</v>
      </c>
      <c r="S223" s="22">
        <f t="shared" si="16"/>
        <v>0.67499999999999993</v>
      </c>
      <c r="T223" s="22">
        <f t="shared" si="16"/>
        <v>0.64749999999999985</v>
      </c>
      <c r="U223" s="23"/>
    </row>
    <row r="224" spans="9:44">
      <c r="I224" s="5">
        <v>119</v>
      </c>
      <c r="J224" s="22">
        <f t="shared" ref="J224:T224" si="17">(J223+J225)/2</f>
        <v>0.95125000000000004</v>
      </c>
      <c r="K224" s="22">
        <f t="shared" si="17"/>
        <v>0.93125000000000002</v>
      </c>
      <c r="L224" s="22">
        <f t="shared" si="17"/>
        <v>0.91249999999999998</v>
      </c>
      <c r="M224" s="22">
        <f t="shared" si="17"/>
        <v>0.89249999999999996</v>
      </c>
      <c r="N224" s="22">
        <f t="shared" si="17"/>
        <v>0.87249999999999994</v>
      </c>
      <c r="O224" s="22">
        <f t="shared" si="17"/>
        <v>0.85375000000000001</v>
      </c>
      <c r="P224" s="22">
        <f t="shared" si="17"/>
        <v>0.83374999999999999</v>
      </c>
      <c r="Q224" s="22">
        <f t="shared" si="17"/>
        <v>0.80999999999999994</v>
      </c>
      <c r="R224" s="22">
        <f t="shared" si="17"/>
        <v>0.78624999999999989</v>
      </c>
      <c r="S224" s="22">
        <f t="shared" si="17"/>
        <v>0.76249999999999996</v>
      </c>
      <c r="T224" s="22">
        <f t="shared" si="17"/>
        <v>0.7387499999999998</v>
      </c>
      <c r="U224" s="23"/>
    </row>
    <row r="225" spans="9:21">
      <c r="I225" s="5">
        <v>120</v>
      </c>
      <c r="J225" s="21">
        <v>1.03</v>
      </c>
      <c r="K225" s="22">
        <f>J225-0.02</f>
        <v>1.01</v>
      </c>
      <c r="L225" s="22">
        <f t="shared" ref="L225:T225" si="18">K225-0.02</f>
        <v>0.99</v>
      </c>
      <c r="M225" s="22">
        <f t="shared" si="18"/>
        <v>0.97</v>
      </c>
      <c r="N225" s="22">
        <f t="shared" si="18"/>
        <v>0.95</v>
      </c>
      <c r="O225" s="22">
        <f t="shared" si="18"/>
        <v>0.92999999999999994</v>
      </c>
      <c r="P225" s="22">
        <f t="shared" si="18"/>
        <v>0.90999999999999992</v>
      </c>
      <c r="Q225" s="22">
        <f t="shared" si="18"/>
        <v>0.8899999999999999</v>
      </c>
      <c r="R225" s="22">
        <f t="shared" si="18"/>
        <v>0.86999999999999988</v>
      </c>
      <c r="S225" s="22">
        <f t="shared" si="18"/>
        <v>0.84999999999999987</v>
      </c>
      <c r="T225" s="22">
        <f t="shared" si="18"/>
        <v>0.82999999999999985</v>
      </c>
      <c r="U225" s="23"/>
    </row>
    <row r="226" spans="9:21">
      <c r="I226" s="5">
        <v>121</v>
      </c>
      <c r="J226" s="22">
        <f t="shared" ref="J226:T226" si="19">(J225+J228)/2</f>
        <v>1.1200000000000001</v>
      </c>
      <c r="K226" s="22">
        <f t="shared" si="19"/>
        <v>1.1000000000000001</v>
      </c>
      <c r="L226" s="22">
        <f t="shared" si="19"/>
        <v>1.08</v>
      </c>
      <c r="M226" s="22">
        <f t="shared" si="19"/>
        <v>1.06</v>
      </c>
      <c r="N226" s="22">
        <f t="shared" si="19"/>
        <v>1.04</v>
      </c>
      <c r="O226" s="22">
        <f t="shared" si="19"/>
        <v>1.02</v>
      </c>
      <c r="P226" s="22">
        <f t="shared" si="19"/>
        <v>0.99999999999999989</v>
      </c>
      <c r="Q226" s="22">
        <f t="shared" si="19"/>
        <v>0.97999999999999987</v>
      </c>
      <c r="R226" s="22">
        <f t="shared" si="19"/>
        <v>0.95999999999999985</v>
      </c>
      <c r="S226" s="22">
        <f t="shared" si="19"/>
        <v>0.93999999999999984</v>
      </c>
      <c r="T226" s="22">
        <f t="shared" si="19"/>
        <v>0.91999999999999982</v>
      </c>
      <c r="U226" s="23"/>
    </row>
    <row r="227" spans="9:21">
      <c r="I227" s="5">
        <v>122</v>
      </c>
      <c r="J227" s="22">
        <f t="shared" ref="J227:T227" si="20">(J226+J228)/2</f>
        <v>1.165</v>
      </c>
      <c r="K227" s="22">
        <f t="shared" si="20"/>
        <v>1.145</v>
      </c>
      <c r="L227" s="22">
        <f t="shared" si="20"/>
        <v>1.125</v>
      </c>
      <c r="M227" s="22">
        <f t="shared" si="20"/>
        <v>1.105</v>
      </c>
      <c r="N227" s="22">
        <f t="shared" si="20"/>
        <v>1.085</v>
      </c>
      <c r="O227" s="22">
        <f t="shared" si="20"/>
        <v>1.0649999999999999</v>
      </c>
      <c r="P227" s="22">
        <f t="shared" si="20"/>
        <v>1.0449999999999999</v>
      </c>
      <c r="Q227" s="22">
        <f t="shared" si="20"/>
        <v>1.0249999999999999</v>
      </c>
      <c r="R227" s="22">
        <f t="shared" si="20"/>
        <v>1.0049999999999999</v>
      </c>
      <c r="S227" s="22">
        <f t="shared" si="20"/>
        <v>0.98499999999999988</v>
      </c>
      <c r="T227" s="22">
        <f t="shared" si="20"/>
        <v>0.96499999999999986</v>
      </c>
      <c r="U227" s="23"/>
    </row>
    <row r="228" spans="9:21">
      <c r="I228" s="5">
        <v>123</v>
      </c>
      <c r="J228" s="22">
        <f t="shared" ref="J228:T228" si="21">(J225+J230)/2</f>
        <v>1.21</v>
      </c>
      <c r="K228" s="22">
        <f t="shared" si="21"/>
        <v>1.19</v>
      </c>
      <c r="L228" s="22">
        <f t="shared" si="21"/>
        <v>1.17</v>
      </c>
      <c r="M228" s="22">
        <f t="shared" si="21"/>
        <v>1.1499999999999999</v>
      </c>
      <c r="N228" s="22">
        <f t="shared" si="21"/>
        <v>1.1299999999999999</v>
      </c>
      <c r="O228" s="22">
        <f t="shared" si="21"/>
        <v>1.1099999999999999</v>
      </c>
      <c r="P228" s="22">
        <f t="shared" si="21"/>
        <v>1.0899999999999999</v>
      </c>
      <c r="Q228" s="22">
        <f t="shared" si="21"/>
        <v>1.0699999999999998</v>
      </c>
      <c r="R228" s="22">
        <f t="shared" si="21"/>
        <v>1.0499999999999998</v>
      </c>
      <c r="S228" s="22">
        <f t="shared" si="21"/>
        <v>1.0299999999999998</v>
      </c>
      <c r="T228" s="22">
        <f t="shared" si="21"/>
        <v>1.0099999999999998</v>
      </c>
      <c r="U228" s="23"/>
    </row>
    <row r="229" spans="9:21">
      <c r="I229" s="5">
        <v>124</v>
      </c>
      <c r="J229" s="22">
        <f t="shared" ref="J229:T229" si="22">(J228+J230)/2</f>
        <v>1.3</v>
      </c>
      <c r="K229" s="22">
        <f t="shared" si="22"/>
        <v>1.28</v>
      </c>
      <c r="L229" s="22">
        <f t="shared" si="22"/>
        <v>1.26</v>
      </c>
      <c r="M229" s="22">
        <f t="shared" si="22"/>
        <v>1.24</v>
      </c>
      <c r="N229" s="22">
        <f t="shared" si="22"/>
        <v>1.22</v>
      </c>
      <c r="O229" s="22">
        <f t="shared" si="22"/>
        <v>1.2</v>
      </c>
      <c r="P229" s="22">
        <f t="shared" si="22"/>
        <v>1.18</v>
      </c>
      <c r="Q229" s="22">
        <f t="shared" si="22"/>
        <v>1.1599999999999999</v>
      </c>
      <c r="R229" s="22">
        <f t="shared" si="22"/>
        <v>1.1399999999999999</v>
      </c>
      <c r="S229" s="22">
        <f t="shared" si="22"/>
        <v>1.1199999999999999</v>
      </c>
      <c r="T229" s="22">
        <f t="shared" si="22"/>
        <v>1.0999999999999999</v>
      </c>
      <c r="U229" s="23"/>
    </row>
    <row r="230" spans="9:21">
      <c r="I230" s="5">
        <v>125</v>
      </c>
      <c r="J230" s="22">
        <f t="shared" ref="J230:T230" si="23">(J225+J235)/2</f>
        <v>1.3900000000000001</v>
      </c>
      <c r="K230" s="22">
        <f t="shared" si="23"/>
        <v>1.37</v>
      </c>
      <c r="L230" s="22">
        <f t="shared" si="23"/>
        <v>1.35</v>
      </c>
      <c r="M230" s="22">
        <f t="shared" si="23"/>
        <v>1.33</v>
      </c>
      <c r="N230" s="22">
        <f t="shared" si="23"/>
        <v>1.31</v>
      </c>
      <c r="O230" s="22">
        <f t="shared" si="23"/>
        <v>1.29</v>
      </c>
      <c r="P230" s="22">
        <f t="shared" si="23"/>
        <v>1.27</v>
      </c>
      <c r="Q230" s="22">
        <f t="shared" si="23"/>
        <v>1.25</v>
      </c>
      <c r="R230" s="22">
        <f t="shared" si="23"/>
        <v>1.23</v>
      </c>
      <c r="S230" s="22">
        <f t="shared" si="23"/>
        <v>1.21</v>
      </c>
      <c r="T230" s="22">
        <f t="shared" si="23"/>
        <v>1.19</v>
      </c>
      <c r="U230" s="23"/>
    </row>
    <row r="231" spans="9:21">
      <c r="I231" s="5">
        <v>126</v>
      </c>
      <c r="J231" s="22">
        <f t="shared" ref="J231:T231" si="24">(J230+J232)/2</f>
        <v>1.4575</v>
      </c>
      <c r="K231" s="22">
        <f t="shared" si="24"/>
        <v>1.4375</v>
      </c>
      <c r="L231" s="22">
        <f t="shared" si="24"/>
        <v>1.4175</v>
      </c>
      <c r="M231" s="22">
        <f t="shared" si="24"/>
        <v>1.3975</v>
      </c>
      <c r="N231" s="22">
        <f t="shared" si="24"/>
        <v>1.3774999999999999</v>
      </c>
      <c r="O231" s="22">
        <f t="shared" si="24"/>
        <v>1.3574999999999999</v>
      </c>
      <c r="P231" s="22">
        <f t="shared" si="24"/>
        <v>1.3374999999999999</v>
      </c>
      <c r="Q231" s="22">
        <f t="shared" si="24"/>
        <v>1.3174999999999999</v>
      </c>
      <c r="R231" s="22">
        <f t="shared" si="24"/>
        <v>1.2974999999999999</v>
      </c>
      <c r="S231" s="22">
        <f t="shared" si="24"/>
        <v>1.2774999999999999</v>
      </c>
      <c r="T231" s="22">
        <f t="shared" si="24"/>
        <v>1.2574999999999998</v>
      </c>
      <c r="U231" s="23"/>
    </row>
    <row r="232" spans="9:21">
      <c r="I232" s="5">
        <v>127</v>
      </c>
      <c r="J232" s="22">
        <f t="shared" ref="J232:T232" si="25">(J230+J234)/2</f>
        <v>1.5250000000000001</v>
      </c>
      <c r="K232" s="22">
        <f t="shared" si="25"/>
        <v>1.5050000000000001</v>
      </c>
      <c r="L232" s="22">
        <f t="shared" si="25"/>
        <v>1.4850000000000001</v>
      </c>
      <c r="M232" s="22">
        <f t="shared" si="25"/>
        <v>1.4650000000000001</v>
      </c>
      <c r="N232" s="22">
        <f t="shared" si="25"/>
        <v>1.4450000000000001</v>
      </c>
      <c r="O232" s="22">
        <f t="shared" si="25"/>
        <v>1.425</v>
      </c>
      <c r="P232" s="22">
        <f t="shared" si="25"/>
        <v>1.405</v>
      </c>
      <c r="Q232" s="22">
        <f t="shared" si="25"/>
        <v>1.385</v>
      </c>
      <c r="R232" s="22">
        <f t="shared" si="25"/>
        <v>1.365</v>
      </c>
      <c r="S232" s="22">
        <f t="shared" si="25"/>
        <v>1.345</v>
      </c>
      <c r="T232" s="22">
        <f t="shared" si="25"/>
        <v>1.325</v>
      </c>
      <c r="U232" s="23"/>
    </row>
    <row r="233" spans="9:21">
      <c r="I233" s="5">
        <v>128</v>
      </c>
      <c r="J233" s="22">
        <f t="shared" ref="J233:T233" si="26">(J230+J235)/2</f>
        <v>1.57</v>
      </c>
      <c r="K233" s="22">
        <f t="shared" si="26"/>
        <v>1.55</v>
      </c>
      <c r="L233" s="22">
        <f t="shared" si="26"/>
        <v>1.53</v>
      </c>
      <c r="M233" s="22">
        <f t="shared" si="26"/>
        <v>1.51</v>
      </c>
      <c r="N233" s="22">
        <f t="shared" si="26"/>
        <v>1.49</v>
      </c>
      <c r="O233" s="22">
        <f t="shared" si="26"/>
        <v>1.47</v>
      </c>
      <c r="P233" s="22">
        <f t="shared" si="26"/>
        <v>1.45</v>
      </c>
      <c r="Q233" s="22">
        <f t="shared" si="26"/>
        <v>1.43</v>
      </c>
      <c r="R233" s="22">
        <f t="shared" si="26"/>
        <v>1.41</v>
      </c>
      <c r="S233" s="22">
        <f t="shared" si="26"/>
        <v>1.39</v>
      </c>
      <c r="T233" s="22">
        <f t="shared" si="26"/>
        <v>1.3699999999999999</v>
      </c>
      <c r="U233" s="23"/>
    </row>
    <row r="234" spans="9:21">
      <c r="I234" s="5">
        <v>129</v>
      </c>
      <c r="J234" s="22">
        <f t="shared" ref="J234:T234" si="27">(J233+J235)/2</f>
        <v>1.6600000000000001</v>
      </c>
      <c r="K234" s="22">
        <f t="shared" si="27"/>
        <v>1.6400000000000001</v>
      </c>
      <c r="L234" s="22">
        <f t="shared" si="27"/>
        <v>1.62</v>
      </c>
      <c r="M234" s="22">
        <f t="shared" si="27"/>
        <v>1.6</v>
      </c>
      <c r="N234" s="22">
        <f t="shared" si="27"/>
        <v>1.58</v>
      </c>
      <c r="O234" s="22">
        <f t="shared" si="27"/>
        <v>1.56</v>
      </c>
      <c r="P234" s="22">
        <f t="shared" si="27"/>
        <v>1.54</v>
      </c>
      <c r="Q234" s="22">
        <f t="shared" si="27"/>
        <v>1.52</v>
      </c>
      <c r="R234" s="22">
        <f t="shared" si="27"/>
        <v>1.5</v>
      </c>
      <c r="S234" s="22">
        <f t="shared" si="27"/>
        <v>1.48</v>
      </c>
      <c r="T234" s="22">
        <f t="shared" si="27"/>
        <v>1.46</v>
      </c>
      <c r="U234" s="23"/>
    </row>
    <row r="235" spans="9:21">
      <c r="I235" s="5">
        <v>130</v>
      </c>
      <c r="J235" s="21">
        <v>1.75</v>
      </c>
      <c r="K235" s="22">
        <f>J235-0.02</f>
        <v>1.73</v>
      </c>
      <c r="L235" s="22">
        <f t="shared" ref="L235:T235" si="28">K235-0.02</f>
        <v>1.71</v>
      </c>
      <c r="M235" s="22">
        <f t="shared" si="28"/>
        <v>1.69</v>
      </c>
      <c r="N235" s="22">
        <f t="shared" si="28"/>
        <v>1.67</v>
      </c>
      <c r="O235" s="22">
        <f t="shared" si="28"/>
        <v>1.65</v>
      </c>
      <c r="P235" s="22">
        <f t="shared" si="28"/>
        <v>1.63</v>
      </c>
      <c r="Q235" s="22">
        <f t="shared" si="28"/>
        <v>1.6099999999999999</v>
      </c>
      <c r="R235" s="22">
        <f t="shared" si="28"/>
        <v>1.5899999999999999</v>
      </c>
      <c r="S235" s="22">
        <f t="shared" si="28"/>
        <v>1.5699999999999998</v>
      </c>
      <c r="T235" s="22">
        <f t="shared" si="28"/>
        <v>1.5499999999999998</v>
      </c>
      <c r="U235" s="23"/>
    </row>
    <row r="236" spans="9:21">
      <c r="I236" s="5">
        <v>131</v>
      </c>
      <c r="J236" s="22">
        <f t="shared" ref="J236:T236" si="29">(J235+J238)/2</f>
        <v>1.8674999999999999</v>
      </c>
      <c r="K236" s="22">
        <f t="shared" si="29"/>
        <v>1.8475000000000001</v>
      </c>
      <c r="L236" s="22">
        <f t="shared" si="29"/>
        <v>1.8274999999999999</v>
      </c>
      <c r="M236" s="22">
        <f t="shared" si="29"/>
        <v>1.8075000000000001</v>
      </c>
      <c r="N236" s="22">
        <f t="shared" si="29"/>
        <v>1.7874999999999999</v>
      </c>
      <c r="O236" s="22">
        <f t="shared" si="29"/>
        <v>1.7675000000000001</v>
      </c>
      <c r="P236" s="22">
        <f t="shared" si="29"/>
        <v>1.7474999999999998</v>
      </c>
      <c r="Q236" s="22">
        <f t="shared" si="29"/>
        <v>1.7275</v>
      </c>
      <c r="R236" s="22">
        <f t="shared" si="29"/>
        <v>1.7074999999999998</v>
      </c>
      <c r="S236" s="22">
        <f t="shared" si="29"/>
        <v>1.6875</v>
      </c>
      <c r="T236" s="22">
        <f t="shared" si="29"/>
        <v>1.6674999999999998</v>
      </c>
      <c r="U236" s="23"/>
    </row>
    <row r="237" spans="9:21">
      <c r="I237" s="5">
        <v>132</v>
      </c>
      <c r="J237" s="22">
        <f t="shared" ref="J237:T237" si="30">(J236+J238)/2</f>
        <v>1.92625</v>
      </c>
      <c r="K237" s="22">
        <f t="shared" si="30"/>
        <v>1.90625</v>
      </c>
      <c r="L237" s="22">
        <f t="shared" si="30"/>
        <v>1.88625</v>
      </c>
      <c r="M237" s="22">
        <f t="shared" si="30"/>
        <v>1.86625</v>
      </c>
      <c r="N237" s="22">
        <f t="shared" si="30"/>
        <v>1.8462499999999999</v>
      </c>
      <c r="O237" s="22">
        <f t="shared" si="30"/>
        <v>1.8262499999999999</v>
      </c>
      <c r="P237" s="22">
        <f t="shared" si="30"/>
        <v>1.8062499999999999</v>
      </c>
      <c r="Q237" s="22">
        <f t="shared" si="30"/>
        <v>1.7862499999999999</v>
      </c>
      <c r="R237" s="22">
        <f t="shared" si="30"/>
        <v>1.7662499999999999</v>
      </c>
      <c r="S237" s="22">
        <f t="shared" si="30"/>
        <v>1.7462499999999999</v>
      </c>
      <c r="T237" s="22">
        <f t="shared" si="30"/>
        <v>1.7262499999999998</v>
      </c>
      <c r="U237" s="23"/>
    </row>
    <row r="238" spans="9:21">
      <c r="I238" s="5">
        <v>133</v>
      </c>
      <c r="J238" s="22">
        <f t="shared" ref="J238:T238" si="31">(J235+J240)/2</f>
        <v>1.9849999999999999</v>
      </c>
      <c r="K238" s="22">
        <f t="shared" si="31"/>
        <v>1.9650000000000001</v>
      </c>
      <c r="L238" s="22">
        <f t="shared" si="31"/>
        <v>1.9449999999999998</v>
      </c>
      <c r="M238" s="22">
        <f t="shared" si="31"/>
        <v>1.925</v>
      </c>
      <c r="N238" s="22">
        <f t="shared" si="31"/>
        <v>1.9049999999999998</v>
      </c>
      <c r="O238" s="22">
        <f t="shared" si="31"/>
        <v>1.885</v>
      </c>
      <c r="P238" s="22">
        <f t="shared" si="31"/>
        <v>1.8649999999999998</v>
      </c>
      <c r="Q238" s="22">
        <f t="shared" si="31"/>
        <v>1.845</v>
      </c>
      <c r="R238" s="22">
        <f t="shared" si="31"/>
        <v>1.8249999999999997</v>
      </c>
      <c r="S238" s="22">
        <f t="shared" si="31"/>
        <v>1.8049999999999999</v>
      </c>
      <c r="T238" s="22">
        <f t="shared" si="31"/>
        <v>1.7849999999999997</v>
      </c>
      <c r="U238" s="23"/>
    </row>
    <row r="239" spans="9:21">
      <c r="I239" s="5">
        <v>134</v>
      </c>
      <c r="J239" s="22">
        <f t="shared" ref="J239:T239" si="32">(J238+J240)/2</f>
        <v>2.1025</v>
      </c>
      <c r="K239" s="22">
        <f t="shared" si="32"/>
        <v>2.0825</v>
      </c>
      <c r="L239" s="22">
        <f t="shared" si="32"/>
        <v>2.0625</v>
      </c>
      <c r="M239" s="22">
        <f t="shared" si="32"/>
        <v>2.0425</v>
      </c>
      <c r="N239" s="22">
        <f t="shared" si="32"/>
        <v>2.0225</v>
      </c>
      <c r="O239" s="22">
        <f t="shared" si="32"/>
        <v>2.0024999999999999</v>
      </c>
      <c r="P239" s="22">
        <f t="shared" si="32"/>
        <v>1.9824999999999997</v>
      </c>
      <c r="Q239" s="22">
        <f t="shared" si="32"/>
        <v>1.9624999999999999</v>
      </c>
      <c r="R239" s="22">
        <f t="shared" si="32"/>
        <v>1.9424999999999997</v>
      </c>
      <c r="S239" s="22">
        <f t="shared" si="32"/>
        <v>1.9224999999999999</v>
      </c>
      <c r="T239" s="22">
        <f t="shared" si="32"/>
        <v>1.9024999999999996</v>
      </c>
      <c r="U239" s="23"/>
    </row>
    <row r="240" spans="9:21">
      <c r="I240" s="5">
        <v>135</v>
      </c>
      <c r="J240" s="22">
        <f t="shared" ref="J240:T240" si="33">(J235+J245)/2</f>
        <v>2.2199999999999998</v>
      </c>
      <c r="K240" s="22">
        <f t="shared" si="33"/>
        <v>2.2000000000000002</v>
      </c>
      <c r="L240" s="22">
        <f t="shared" si="33"/>
        <v>2.1799999999999997</v>
      </c>
      <c r="M240" s="22">
        <f t="shared" si="33"/>
        <v>2.16</v>
      </c>
      <c r="N240" s="22">
        <f t="shared" si="33"/>
        <v>2.1399999999999997</v>
      </c>
      <c r="O240" s="22">
        <f t="shared" si="33"/>
        <v>2.12</v>
      </c>
      <c r="P240" s="22">
        <f t="shared" si="33"/>
        <v>2.0999999999999996</v>
      </c>
      <c r="Q240" s="22">
        <f t="shared" si="33"/>
        <v>2.08</v>
      </c>
      <c r="R240" s="22">
        <f t="shared" si="33"/>
        <v>2.0599999999999996</v>
      </c>
      <c r="S240" s="22">
        <f t="shared" si="33"/>
        <v>2.04</v>
      </c>
      <c r="T240" s="22">
        <f t="shared" si="33"/>
        <v>2.0199999999999996</v>
      </c>
      <c r="U240" s="23"/>
    </row>
    <row r="241" spans="9:36">
      <c r="I241" s="5">
        <v>136</v>
      </c>
      <c r="J241" s="22">
        <f t="shared" ref="J241:T241" si="34">(J240+J242)/2</f>
        <v>2.3081249999999995</v>
      </c>
      <c r="K241" s="22">
        <f t="shared" si="34"/>
        <v>2.288125</v>
      </c>
      <c r="L241" s="22">
        <f t="shared" si="34"/>
        <v>2.2681249999999995</v>
      </c>
      <c r="M241" s="22">
        <f t="shared" si="34"/>
        <v>2.2481249999999999</v>
      </c>
      <c r="N241" s="22">
        <f t="shared" si="34"/>
        <v>2.2281249999999995</v>
      </c>
      <c r="O241" s="22">
        <f t="shared" si="34"/>
        <v>2.2081249999999999</v>
      </c>
      <c r="P241" s="22">
        <f t="shared" si="34"/>
        <v>2.1881249999999994</v>
      </c>
      <c r="Q241" s="22">
        <f t="shared" si="34"/>
        <v>2.1681249999999999</v>
      </c>
      <c r="R241" s="22">
        <f t="shared" si="34"/>
        <v>2.1481249999999994</v>
      </c>
      <c r="S241" s="22">
        <f t="shared" si="34"/>
        <v>2.1281249999999998</v>
      </c>
      <c r="T241" s="22">
        <f t="shared" si="34"/>
        <v>2.1081249999999994</v>
      </c>
      <c r="U241" s="23"/>
    </row>
    <row r="242" spans="9:36">
      <c r="I242" s="5">
        <v>137</v>
      </c>
      <c r="J242" s="22">
        <f t="shared" ref="J242:T242" si="35">(J240+J244)/2</f>
        <v>2.3962499999999998</v>
      </c>
      <c r="K242" s="22">
        <f t="shared" si="35"/>
        <v>2.3762500000000002</v>
      </c>
      <c r="L242" s="22">
        <f t="shared" si="35"/>
        <v>2.3562499999999997</v>
      </c>
      <c r="M242" s="22">
        <f t="shared" si="35"/>
        <v>2.3362500000000002</v>
      </c>
      <c r="N242" s="22">
        <f t="shared" si="35"/>
        <v>2.3162499999999997</v>
      </c>
      <c r="O242" s="22">
        <f t="shared" si="35"/>
        <v>2.2962500000000001</v>
      </c>
      <c r="P242" s="22">
        <f t="shared" si="35"/>
        <v>2.2762499999999997</v>
      </c>
      <c r="Q242" s="22">
        <f t="shared" si="35"/>
        <v>2.2562500000000001</v>
      </c>
      <c r="R242" s="22">
        <f t="shared" si="35"/>
        <v>2.2362499999999996</v>
      </c>
      <c r="S242" s="22">
        <f t="shared" si="35"/>
        <v>2.2162500000000001</v>
      </c>
      <c r="T242" s="22">
        <f t="shared" si="35"/>
        <v>2.1962499999999996</v>
      </c>
      <c r="U242" s="23"/>
    </row>
    <row r="243" spans="9:36">
      <c r="I243" s="5">
        <v>138</v>
      </c>
      <c r="J243" s="22">
        <f t="shared" ref="J243:T243" si="36">(J240+J245)/2</f>
        <v>2.4550000000000001</v>
      </c>
      <c r="K243" s="22">
        <f t="shared" si="36"/>
        <v>2.4350000000000001</v>
      </c>
      <c r="L243" s="22">
        <f t="shared" si="36"/>
        <v>2.415</v>
      </c>
      <c r="M243" s="22">
        <f t="shared" si="36"/>
        <v>2.395</v>
      </c>
      <c r="N243" s="22">
        <f t="shared" si="36"/>
        <v>2.375</v>
      </c>
      <c r="O243" s="22">
        <f t="shared" si="36"/>
        <v>2.355</v>
      </c>
      <c r="P243" s="22">
        <f t="shared" si="36"/>
        <v>2.335</v>
      </c>
      <c r="Q243" s="22">
        <f t="shared" si="36"/>
        <v>2.3149999999999999</v>
      </c>
      <c r="R243" s="22">
        <f t="shared" si="36"/>
        <v>2.2949999999999999</v>
      </c>
      <c r="S243" s="22">
        <f t="shared" si="36"/>
        <v>2.2749999999999999</v>
      </c>
      <c r="T243" s="22">
        <f t="shared" si="36"/>
        <v>2.2549999999999999</v>
      </c>
      <c r="U243" s="23"/>
    </row>
    <row r="244" spans="9:36">
      <c r="I244" s="5">
        <v>139</v>
      </c>
      <c r="J244" s="22">
        <f t="shared" ref="J244:T244" si="37">(J243+J245)/2</f>
        <v>2.5724999999999998</v>
      </c>
      <c r="K244" s="22">
        <f t="shared" si="37"/>
        <v>2.5525000000000002</v>
      </c>
      <c r="L244" s="22">
        <f t="shared" si="37"/>
        <v>2.5324999999999998</v>
      </c>
      <c r="M244" s="22">
        <f t="shared" si="37"/>
        <v>2.5125000000000002</v>
      </c>
      <c r="N244" s="22">
        <f t="shared" si="37"/>
        <v>2.4924999999999997</v>
      </c>
      <c r="O244" s="22">
        <f t="shared" si="37"/>
        <v>2.4725000000000001</v>
      </c>
      <c r="P244" s="22">
        <f t="shared" si="37"/>
        <v>2.4524999999999997</v>
      </c>
      <c r="Q244" s="22">
        <f t="shared" si="37"/>
        <v>2.4325000000000001</v>
      </c>
      <c r="R244" s="22">
        <f t="shared" si="37"/>
        <v>2.4124999999999996</v>
      </c>
      <c r="S244" s="22">
        <f t="shared" si="37"/>
        <v>2.3925000000000001</v>
      </c>
      <c r="T244" s="22">
        <f t="shared" si="37"/>
        <v>2.3724999999999996</v>
      </c>
      <c r="U244" s="23"/>
    </row>
    <row r="245" spans="9:36">
      <c r="I245" s="5">
        <v>140</v>
      </c>
      <c r="J245" s="21">
        <v>2.69</v>
      </c>
      <c r="K245" s="22">
        <f>J245-0.02</f>
        <v>2.67</v>
      </c>
      <c r="L245" s="22">
        <f t="shared" ref="L245:T245" si="38">K245-0.02</f>
        <v>2.65</v>
      </c>
      <c r="M245" s="22">
        <f t="shared" si="38"/>
        <v>2.63</v>
      </c>
      <c r="N245" s="22">
        <f t="shared" si="38"/>
        <v>2.61</v>
      </c>
      <c r="O245" s="22">
        <f t="shared" si="38"/>
        <v>2.59</v>
      </c>
      <c r="P245" s="22">
        <f t="shared" si="38"/>
        <v>2.57</v>
      </c>
      <c r="Q245" s="22">
        <f t="shared" si="38"/>
        <v>2.5499999999999998</v>
      </c>
      <c r="R245" s="22">
        <f t="shared" si="38"/>
        <v>2.5299999999999998</v>
      </c>
      <c r="S245" s="22">
        <f t="shared" si="38"/>
        <v>2.5099999999999998</v>
      </c>
      <c r="T245" s="22">
        <f t="shared" si="38"/>
        <v>2.4899999999999998</v>
      </c>
      <c r="U245" s="23"/>
    </row>
    <row r="246" spans="9:36">
      <c r="I246" s="5">
        <v>141</v>
      </c>
      <c r="J246" s="22">
        <f t="shared" ref="J246:T246" si="39">(J245+J248)/2</f>
        <v>2.835</v>
      </c>
      <c r="K246" s="22">
        <f t="shared" si="39"/>
        <v>2.8149999999999999</v>
      </c>
      <c r="L246" s="22">
        <f t="shared" si="39"/>
        <v>2.7949999999999999</v>
      </c>
      <c r="M246" s="22">
        <f t="shared" si="39"/>
        <v>2.7749999999999999</v>
      </c>
      <c r="N246" s="22">
        <f t="shared" si="39"/>
        <v>2.7549999999999999</v>
      </c>
      <c r="O246" s="22">
        <f t="shared" si="39"/>
        <v>2.7349999999999999</v>
      </c>
      <c r="P246" s="22">
        <f t="shared" si="39"/>
        <v>2.7149999999999999</v>
      </c>
      <c r="Q246" s="22">
        <f t="shared" si="39"/>
        <v>2.6949999999999998</v>
      </c>
      <c r="R246" s="22">
        <f t="shared" si="39"/>
        <v>2.6749999999999998</v>
      </c>
      <c r="S246" s="22">
        <f t="shared" si="39"/>
        <v>2.6549999999999998</v>
      </c>
      <c r="T246" s="22">
        <f t="shared" si="39"/>
        <v>2.6349999999999998</v>
      </c>
      <c r="U246" s="23"/>
    </row>
    <row r="247" spans="9:36">
      <c r="I247" s="5">
        <v>142</v>
      </c>
      <c r="J247" s="22">
        <f t="shared" ref="J247:T247" si="40">(J246+J248)/2</f>
        <v>2.9074999999999998</v>
      </c>
      <c r="K247" s="22">
        <f t="shared" si="40"/>
        <v>2.8875000000000002</v>
      </c>
      <c r="L247" s="22">
        <f t="shared" si="40"/>
        <v>2.8674999999999997</v>
      </c>
      <c r="M247" s="22">
        <f t="shared" si="40"/>
        <v>2.8475000000000001</v>
      </c>
      <c r="N247" s="22">
        <f t="shared" si="40"/>
        <v>2.8274999999999997</v>
      </c>
      <c r="O247" s="22">
        <f t="shared" si="40"/>
        <v>2.8075000000000001</v>
      </c>
      <c r="P247" s="22">
        <f t="shared" si="40"/>
        <v>2.7874999999999996</v>
      </c>
      <c r="Q247" s="22">
        <f t="shared" si="40"/>
        <v>2.7675000000000001</v>
      </c>
      <c r="R247" s="22">
        <f t="shared" si="40"/>
        <v>2.7474999999999996</v>
      </c>
      <c r="S247" s="22">
        <f t="shared" si="40"/>
        <v>2.7275</v>
      </c>
      <c r="T247" s="22">
        <f t="shared" si="40"/>
        <v>2.7074999999999996</v>
      </c>
      <c r="U247" s="23"/>
    </row>
    <row r="248" spans="9:36">
      <c r="I248" s="5">
        <v>143</v>
      </c>
      <c r="J248" s="22">
        <f t="shared" ref="J248:T248" si="41">(J245+J250)/2</f>
        <v>2.98</v>
      </c>
      <c r="K248" s="22">
        <f t="shared" si="41"/>
        <v>2.96</v>
      </c>
      <c r="L248" s="22">
        <f t="shared" si="41"/>
        <v>2.94</v>
      </c>
      <c r="M248" s="22">
        <f t="shared" si="41"/>
        <v>2.92</v>
      </c>
      <c r="N248" s="22">
        <f t="shared" si="41"/>
        <v>2.9</v>
      </c>
      <c r="O248" s="22">
        <f t="shared" si="41"/>
        <v>2.88</v>
      </c>
      <c r="P248" s="22">
        <f t="shared" si="41"/>
        <v>2.86</v>
      </c>
      <c r="Q248" s="22">
        <f t="shared" si="41"/>
        <v>2.84</v>
      </c>
      <c r="R248" s="22">
        <f t="shared" si="41"/>
        <v>2.82</v>
      </c>
      <c r="S248" s="22">
        <f t="shared" si="41"/>
        <v>2.8</v>
      </c>
      <c r="T248" s="22">
        <f t="shared" si="41"/>
        <v>2.78</v>
      </c>
      <c r="U248" s="23"/>
    </row>
    <row r="249" spans="9:36">
      <c r="I249" s="5">
        <v>144</v>
      </c>
      <c r="J249" s="22">
        <f t="shared" ref="J249:T249" si="42">(J248+J250)/2</f>
        <v>3.125</v>
      </c>
      <c r="K249" s="22">
        <f t="shared" si="42"/>
        <v>3.105</v>
      </c>
      <c r="L249" s="22">
        <f t="shared" si="42"/>
        <v>3.085</v>
      </c>
      <c r="M249" s="22">
        <f t="shared" si="42"/>
        <v>3.0649999999999999</v>
      </c>
      <c r="N249" s="22">
        <f t="shared" si="42"/>
        <v>3.0449999999999999</v>
      </c>
      <c r="O249" s="22">
        <f t="shared" si="42"/>
        <v>3.0249999999999999</v>
      </c>
      <c r="P249" s="22">
        <f t="shared" si="42"/>
        <v>3.0049999999999999</v>
      </c>
      <c r="Q249" s="22">
        <f t="shared" si="42"/>
        <v>2.9849999999999999</v>
      </c>
      <c r="R249" s="22">
        <f t="shared" si="42"/>
        <v>2.9649999999999999</v>
      </c>
      <c r="S249" s="22">
        <f t="shared" si="42"/>
        <v>2.9449999999999998</v>
      </c>
      <c r="T249" s="22">
        <f t="shared" si="42"/>
        <v>2.9249999999999998</v>
      </c>
      <c r="U249" s="23"/>
    </row>
    <row r="250" spans="9:36">
      <c r="I250" s="5">
        <v>145</v>
      </c>
      <c r="J250" s="22">
        <f t="shared" ref="J250:T250" si="43">(J245+J255)/2</f>
        <v>3.27</v>
      </c>
      <c r="K250" s="22">
        <f t="shared" si="43"/>
        <v>3.25</v>
      </c>
      <c r="L250" s="22">
        <f t="shared" si="43"/>
        <v>3.23</v>
      </c>
      <c r="M250" s="22">
        <f t="shared" si="43"/>
        <v>3.21</v>
      </c>
      <c r="N250" s="22">
        <f t="shared" si="43"/>
        <v>3.19</v>
      </c>
      <c r="O250" s="22">
        <f t="shared" si="43"/>
        <v>3.17</v>
      </c>
      <c r="P250" s="22">
        <f t="shared" si="43"/>
        <v>3.15</v>
      </c>
      <c r="Q250" s="22">
        <f t="shared" si="43"/>
        <v>3.13</v>
      </c>
      <c r="R250" s="22">
        <f t="shared" si="43"/>
        <v>3.11</v>
      </c>
      <c r="S250" s="22">
        <f t="shared" si="43"/>
        <v>3.09</v>
      </c>
      <c r="T250" s="22">
        <f t="shared" si="43"/>
        <v>3.07</v>
      </c>
      <c r="U250" s="23"/>
    </row>
    <row r="251" spans="9:36">
      <c r="I251" s="5">
        <v>146</v>
      </c>
      <c r="J251" s="22">
        <f t="shared" ref="J251:T251" si="44">(J250+J252)/2</f>
        <v>3.3787500000000001</v>
      </c>
      <c r="K251" s="22">
        <f t="shared" si="44"/>
        <v>3.3587500000000001</v>
      </c>
      <c r="L251" s="22">
        <f t="shared" si="44"/>
        <v>3.3387500000000001</v>
      </c>
      <c r="M251" s="22">
        <f t="shared" si="44"/>
        <v>3.3187500000000001</v>
      </c>
      <c r="N251" s="22">
        <f t="shared" si="44"/>
        <v>3.2987500000000001</v>
      </c>
      <c r="O251" s="22">
        <f t="shared" si="44"/>
        <v>3.2787500000000001</v>
      </c>
      <c r="P251" s="22">
        <f t="shared" si="44"/>
        <v>3.25875</v>
      </c>
      <c r="Q251" s="22">
        <f t="shared" si="44"/>
        <v>3.23875</v>
      </c>
      <c r="R251" s="22">
        <f t="shared" si="44"/>
        <v>3.21875</v>
      </c>
      <c r="S251" s="22">
        <f t="shared" si="44"/>
        <v>3.19875</v>
      </c>
      <c r="T251" s="22">
        <f t="shared" si="44"/>
        <v>3.17875</v>
      </c>
      <c r="U251" s="23"/>
    </row>
    <row r="252" spans="9:36">
      <c r="I252" s="5">
        <v>147</v>
      </c>
      <c r="J252" s="22">
        <f t="shared" ref="J252:T252" si="45">(J250+J254)/2</f>
        <v>3.4874999999999998</v>
      </c>
      <c r="K252" s="22">
        <f t="shared" si="45"/>
        <v>3.4675000000000002</v>
      </c>
      <c r="L252" s="22">
        <f t="shared" si="45"/>
        <v>3.4474999999999998</v>
      </c>
      <c r="M252" s="22">
        <f t="shared" si="45"/>
        <v>3.4275000000000002</v>
      </c>
      <c r="N252" s="22">
        <f t="shared" si="45"/>
        <v>3.4074999999999998</v>
      </c>
      <c r="O252" s="22">
        <f t="shared" si="45"/>
        <v>3.3875000000000002</v>
      </c>
      <c r="P252" s="22">
        <f t="shared" si="45"/>
        <v>3.3674999999999997</v>
      </c>
      <c r="Q252" s="22">
        <f t="shared" si="45"/>
        <v>3.3475000000000001</v>
      </c>
      <c r="R252" s="22">
        <f t="shared" si="45"/>
        <v>3.3274999999999997</v>
      </c>
      <c r="S252" s="22">
        <f t="shared" si="45"/>
        <v>3.3075000000000001</v>
      </c>
      <c r="T252" s="22">
        <f t="shared" si="45"/>
        <v>3.2874999999999996</v>
      </c>
      <c r="U252" s="23"/>
    </row>
    <row r="253" spans="9:36">
      <c r="I253" s="5">
        <v>148</v>
      </c>
      <c r="J253" s="22">
        <f t="shared" ref="J253:T253" si="46">(J250+J255)/2</f>
        <v>3.56</v>
      </c>
      <c r="K253" s="22">
        <f t="shared" si="46"/>
        <v>3.54</v>
      </c>
      <c r="L253" s="22">
        <f t="shared" si="46"/>
        <v>3.52</v>
      </c>
      <c r="M253" s="22">
        <f t="shared" si="46"/>
        <v>3.5</v>
      </c>
      <c r="N253" s="22">
        <f t="shared" si="46"/>
        <v>3.48</v>
      </c>
      <c r="O253" s="22">
        <f t="shared" si="46"/>
        <v>3.46</v>
      </c>
      <c r="P253" s="22">
        <f t="shared" si="46"/>
        <v>3.44</v>
      </c>
      <c r="Q253" s="22">
        <f t="shared" si="46"/>
        <v>3.42</v>
      </c>
      <c r="R253" s="22">
        <f t="shared" si="46"/>
        <v>3.4</v>
      </c>
      <c r="S253" s="22">
        <f t="shared" si="46"/>
        <v>3.38</v>
      </c>
      <c r="T253" s="22">
        <f t="shared" si="46"/>
        <v>3.36</v>
      </c>
      <c r="U253" s="23"/>
    </row>
    <row r="254" spans="9:36">
      <c r="I254" s="5">
        <v>149</v>
      </c>
      <c r="J254" s="22">
        <f t="shared" ref="J254:T254" si="47">(J253+J255)/2</f>
        <v>3.7050000000000001</v>
      </c>
      <c r="K254" s="22">
        <f t="shared" si="47"/>
        <v>3.6850000000000001</v>
      </c>
      <c r="L254" s="22">
        <f t="shared" si="47"/>
        <v>3.665</v>
      </c>
      <c r="M254" s="22">
        <f t="shared" si="47"/>
        <v>3.645</v>
      </c>
      <c r="N254" s="22">
        <f t="shared" si="47"/>
        <v>3.625</v>
      </c>
      <c r="O254" s="22">
        <f t="shared" si="47"/>
        <v>3.605</v>
      </c>
      <c r="P254" s="22">
        <f t="shared" si="47"/>
        <v>3.585</v>
      </c>
      <c r="Q254" s="22">
        <f t="shared" si="47"/>
        <v>3.5649999999999999</v>
      </c>
      <c r="R254" s="22">
        <f t="shared" si="47"/>
        <v>3.5449999999999999</v>
      </c>
      <c r="S254" s="22">
        <f t="shared" si="47"/>
        <v>3.5249999999999999</v>
      </c>
      <c r="T254" s="22">
        <f t="shared" si="47"/>
        <v>3.5049999999999999</v>
      </c>
      <c r="U254" s="23"/>
    </row>
    <row r="255" spans="9:36">
      <c r="I255" s="5">
        <v>150</v>
      </c>
      <c r="J255" s="21">
        <v>3.85</v>
      </c>
      <c r="K255" s="22">
        <f>J255-0.02</f>
        <v>3.83</v>
      </c>
      <c r="L255" s="22">
        <f t="shared" ref="L255:T255" si="48">K255-0.02</f>
        <v>3.81</v>
      </c>
      <c r="M255" s="22">
        <f t="shared" si="48"/>
        <v>3.79</v>
      </c>
      <c r="N255" s="22">
        <f t="shared" si="48"/>
        <v>3.77</v>
      </c>
      <c r="O255" s="22">
        <f t="shared" si="48"/>
        <v>3.75</v>
      </c>
      <c r="P255" s="22">
        <f t="shared" si="48"/>
        <v>3.73</v>
      </c>
      <c r="Q255" s="22">
        <f t="shared" si="48"/>
        <v>3.71</v>
      </c>
      <c r="R255" s="22">
        <f t="shared" si="48"/>
        <v>3.69</v>
      </c>
      <c r="S255" s="22">
        <f>R255-0.02</f>
        <v>3.67</v>
      </c>
      <c r="T255" s="22">
        <f t="shared" si="48"/>
        <v>3.65</v>
      </c>
      <c r="U255" s="23"/>
    </row>
    <row r="256" spans="9:36">
      <c r="W256" s="16"/>
      <c r="X256" s="16"/>
      <c r="Y256" s="17"/>
      <c r="Z256" s="17"/>
      <c r="AA256" s="17"/>
      <c r="AB256" s="17"/>
      <c r="AC256" s="17"/>
      <c r="AD256" s="17"/>
      <c r="AE256" s="17"/>
      <c r="AF256" s="17"/>
      <c r="AG256" s="17"/>
      <c r="AH256" s="17"/>
      <c r="AI256" s="17"/>
      <c r="AJ256" s="17"/>
    </row>
    <row r="257" spans="9:36">
      <c r="W257" s="16"/>
      <c r="X257" s="16"/>
      <c r="Y257" s="496"/>
      <c r="Z257" s="496"/>
      <c r="AA257" s="496"/>
      <c r="AB257" s="496"/>
      <c r="AC257" s="496"/>
      <c r="AD257" s="496"/>
      <c r="AE257" s="20"/>
      <c r="AF257" s="20"/>
      <c r="AG257" s="20"/>
      <c r="AH257" s="20"/>
      <c r="AI257" s="20"/>
      <c r="AJ257" s="20"/>
    </row>
    <row r="258" spans="9:36">
      <c r="I258" s="30"/>
      <c r="J258" s="12"/>
    </row>
    <row r="259" spans="9:36">
      <c r="J259" s="497" t="s">
        <v>31</v>
      </c>
      <c r="K259" s="497"/>
      <c r="L259" s="497"/>
      <c r="M259" s="497"/>
      <c r="N259" s="497"/>
      <c r="O259" s="497"/>
      <c r="P259" s="497"/>
      <c r="Q259" s="497"/>
      <c r="R259" s="497"/>
      <c r="S259" s="497"/>
      <c r="T259" s="497"/>
    </row>
    <row r="260" spans="9:36">
      <c r="I260" s="3" t="s">
        <v>360</v>
      </c>
      <c r="J260" s="4">
        <v>0</v>
      </c>
      <c r="K260" s="4">
        <v>5</v>
      </c>
      <c r="L260" s="4">
        <v>10</v>
      </c>
      <c r="M260" s="4">
        <v>15</v>
      </c>
      <c r="N260" s="4">
        <v>20</v>
      </c>
      <c r="O260" s="4">
        <v>25</v>
      </c>
      <c r="P260" s="4">
        <v>30</v>
      </c>
      <c r="Q260" s="4">
        <v>35</v>
      </c>
      <c r="R260" s="4">
        <v>40</v>
      </c>
      <c r="S260" s="4">
        <v>45</v>
      </c>
      <c r="T260" s="4">
        <v>50</v>
      </c>
    </row>
    <row r="261" spans="9:36">
      <c r="I261" s="8">
        <v>-34</v>
      </c>
      <c r="J261" s="105">
        <v>1.23E-2</v>
      </c>
      <c r="K261" s="14"/>
      <c r="L261" s="11"/>
      <c r="M261" s="14"/>
      <c r="N261" s="11"/>
      <c r="O261" s="14"/>
      <c r="P261" s="11"/>
      <c r="Q261" s="14"/>
      <c r="R261" s="11"/>
      <c r="S261" s="14"/>
      <c r="T261" s="11"/>
      <c r="U261" s="8">
        <f t="shared" ref="U261:U321" si="49">I301</f>
        <v>70</v>
      </c>
    </row>
    <row r="262" spans="9:36">
      <c r="I262" s="8">
        <v>-33</v>
      </c>
      <c r="J262" s="105">
        <f>(J261+J264)/2</f>
        <v>1.1724999999999999E-2</v>
      </c>
      <c r="K262" s="14"/>
      <c r="L262" s="11"/>
      <c r="M262" s="14"/>
      <c r="N262" s="11"/>
      <c r="O262" s="14"/>
      <c r="P262" s="11"/>
      <c r="Q262" s="14"/>
      <c r="R262" s="11"/>
      <c r="S262" s="14"/>
      <c r="T262" s="11"/>
      <c r="U262" s="8">
        <f t="shared" si="49"/>
        <v>71</v>
      </c>
    </row>
    <row r="263" spans="9:36">
      <c r="I263" s="8">
        <v>-32</v>
      </c>
      <c r="J263" s="105">
        <f>(J262+J264)/2</f>
        <v>1.14375E-2</v>
      </c>
      <c r="K263" s="14"/>
      <c r="L263" s="11"/>
      <c r="M263" s="14"/>
      <c r="N263" s="11"/>
      <c r="O263" s="14"/>
      <c r="P263" s="11"/>
      <c r="Q263" s="14"/>
      <c r="R263" s="11"/>
      <c r="S263" s="14"/>
      <c r="T263" s="11"/>
      <c r="U263" s="8">
        <f t="shared" si="49"/>
        <v>72</v>
      </c>
    </row>
    <row r="264" spans="9:36">
      <c r="I264" s="8">
        <v>-31</v>
      </c>
      <c r="J264" s="105">
        <f>(J261+J267)/2</f>
        <v>1.115E-2</v>
      </c>
      <c r="K264" s="14"/>
      <c r="L264" s="11"/>
      <c r="M264" s="14"/>
      <c r="N264" s="11"/>
      <c r="O264" s="14"/>
      <c r="P264" s="11"/>
      <c r="Q264" s="14"/>
      <c r="R264" s="11"/>
      <c r="S264" s="14"/>
      <c r="T264" s="11"/>
      <c r="U264" s="8">
        <f t="shared" si="49"/>
        <v>73</v>
      </c>
    </row>
    <row r="265" spans="9:36">
      <c r="I265" s="8">
        <v>-30</v>
      </c>
      <c r="J265" s="105">
        <f>(J264+J267)/2</f>
        <v>1.0575000000000001E-2</v>
      </c>
      <c r="K265" s="14"/>
      <c r="L265" s="11"/>
      <c r="M265" s="14"/>
      <c r="N265" s="11"/>
      <c r="O265" s="14"/>
      <c r="P265" s="11"/>
      <c r="Q265" s="14"/>
      <c r="R265" s="11"/>
      <c r="S265" s="14"/>
      <c r="T265" s="11"/>
      <c r="U265" s="8">
        <f t="shared" si="49"/>
        <v>74</v>
      </c>
    </row>
    <row r="266" spans="9:36">
      <c r="I266" s="8">
        <v>-29</v>
      </c>
      <c r="J266" s="105">
        <f>(J265+J267)/2</f>
        <v>1.0287500000000002E-2</v>
      </c>
      <c r="K266" s="14"/>
      <c r="L266" s="11"/>
      <c r="M266" s="14"/>
      <c r="N266" s="11"/>
      <c r="O266" s="14"/>
      <c r="P266" s="11"/>
      <c r="Q266" s="14"/>
      <c r="R266" s="11"/>
      <c r="S266" s="14"/>
      <c r="T266" s="11"/>
      <c r="U266" s="8">
        <f t="shared" si="49"/>
        <v>75</v>
      </c>
    </row>
    <row r="267" spans="9:36">
      <c r="I267" s="8">
        <v>-28</v>
      </c>
      <c r="J267" s="105">
        <v>0.01</v>
      </c>
      <c r="K267" s="14"/>
      <c r="L267" s="11"/>
      <c r="M267" s="14"/>
      <c r="N267" s="11"/>
      <c r="O267" s="14"/>
      <c r="P267" s="11"/>
      <c r="Q267" s="14"/>
      <c r="R267" s="11"/>
      <c r="S267" s="14"/>
      <c r="T267" s="11"/>
      <c r="U267" s="8">
        <f t="shared" si="49"/>
        <v>76</v>
      </c>
    </row>
    <row r="268" spans="9:36">
      <c r="I268" s="8">
        <v>-27</v>
      </c>
      <c r="J268" s="105">
        <f>(J267+J269)/2</f>
        <v>9.5000000000000015E-3</v>
      </c>
      <c r="K268" s="14"/>
      <c r="L268" s="11"/>
      <c r="M268" s="14"/>
      <c r="N268" s="11"/>
      <c r="O268" s="14"/>
      <c r="P268" s="11"/>
      <c r="Q268" s="14"/>
      <c r="R268" s="11"/>
      <c r="S268" s="14"/>
      <c r="T268" s="11"/>
      <c r="U268" s="8">
        <f t="shared" si="49"/>
        <v>77</v>
      </c>
    </row>
    <row r="269" spans="9:36">
      <c r="I269" s="8">
        <v>-26</v>
      </c>
      <c r="J269" s="105">
        <f>(J267+J271)/2</f>
        <v>9.0000000000000011E-3</v>
      </c>
      <c r="K269" s="14"/>
      <c r="L269" s="11"/>
      <c r="M269" s="14"/>
      <c r="N269" s="11"/>
      <c r="O269" s="14"/>
      <c r="P269" s="11"/>
      <c r="Q269" s="14"/>
      <c r="R269" s="11"/>
      <c r="S269" s="14"/>
      <c r="T269" s="11"/>
      <c r="U269" s="8">
        <f t="shared" si="49"/>
        <v>78</v>
      </c>
    </row>
    <row r="270" spans="9:36">
      <c r="I270" s="8">
        <v>-25</v>
      </c>
      <c r="J270" s="105">
        <f>(J269+J271)/2</f>
        <v>8.5000000000000006E-3</v>
      </c>
      <c r="K270" s="14"/>
      <c r="L270" s="11"/>
      <c r="M270" s="14"/>
      <c r="N270" s="11"/>
      <c r="O270" s="14"/>
      <c r="P270" s="11"/>
      <c r="Q270" s="14"/>
      <c r="R270" s="11"/>
      <c r="S270" s="14"/>
      <c r="T270" s="11"/>
      <c r="U270" s="8">
        <f t="shared" si="49"/>
        <v>79</v>
      </c>
    </row>
    <row r="271" spans="9:36">
      <c r="I271" s="8">
        <v>-24</v>
      </c>
      <c r="J271" s="105">
        <v>8.0000000000000002E-3</v>
      </c>
      <c r="K271" s="14"/>
      <c r="L271" s="11"/>
      <c r="M271" s="14"/>
      <c r="N271" s="11"/>
      <c r="O271" s="14"/>
      <c r="P271" s="11"/>
      <c r="Q271" s="14"/>
      <c r="R271" s="11"/>
      <c r="S271" s="14"/>
      <c r="T271" s="11"/>
      <c r="U271" s="8">
        <f t="shared" si="49"/>
        <v>80</v>
      </c>
    </row>
    <row r="272" spans="9:36">
      <c r="I272" s="8">
        <v>-23</v>
      </c>
      <c r="J272" s="105">
        <f>(J271+J273)/2</f>
        <v>7.4999999999999997E-3</v>
      </c>
      <c r="K272" s="14"/>
      <c r="L272" s="11"/>
      <c r="M272" s="14"/>
      <c r="N272" s="11"/>
      <c r="O272" s="14"/>
      <c r="P272" s="11"/>
      <c r="Q272" s="14"/>
      <c r="R272" s="11"/>
      <c r="S272" s="14"/>
      <c r="T272" s="11"/>
      <c r="U272" s="8">
        <f t="shared" si="49"/>
        <v>81</v>
      </c>
    </row>
    <row r="273" spans="9:21">
      <c r="I273" s="8">
        <v>-22</v>
      </c>
      <c r="J273" s="105">
        <f>(J271+J275)/2</f>
        <v>7.0000000000000001E-3</v>
      </c>
      <c r="K273" s="14"/>
      <c r="L273" s="11"/>
      <c r="M273" s="14"/>
      <c r="N273" s="11"/>
      <c r="O273" s="14"/>
      <c r="P273" s="11"/>
      <c r="Q273" s="14"/>
      <c r="R273" s="11"/>
      <c r="S273" s="14"/>
      <c r="T273" s="11"/>
      <c r="U273" s="8">
        <f t="shared" si="49"/>
        <v>82</v>
      </c>
    </row>
    <row r="274" spans="9:21">
      <c r="I274" s="8">
        <v>-21</v>
      </c>
      <c r="J274" s="105">
        <f>(J273+J275)/2</f>
        <v>6.5000000000000006E-3</v>
      </c>
      <c r="K274" s="14"/>
      <c r="L274" s="11"/>
      <c r="M274" s="14"/>
      <c r="N274" s="11"/>
      <c r="O274" s="14"/>
      <c r="P274" s="11"/>
      <c r="Q274" s="14"/>
      <c r="R274" s="11"/>
      <c r="S274" s="14"/>
      <c r="T274" s="11"/>
      <c r="U274" s="8">
        <f t="shared" si="49"/>
        <v>83</v>
      </c>
    </row>
    <row r="275" spans="9:21">
      <c r="I275" s="8">
        <v>-20</v>
      </c>
      <c r="J275" s="105">
        <f>(J271+J279)/2</f>
        <v>6.0000000000000001E-3</v>
      </c>
      <c r="K275" s="14"/>
      <c r="L275" s="11"/>
      <c r="M275" s="14"/>
      <c r="N275" s="11"/>
      <c r="O275" s="14"/>
      <c r="P275" s="11"/>
      <c r="Q275" s="14"/>
      <c r="R275" s="11"/>
      <c r="S275" s="14"/>
      <c r="T275" s="11"/>
      <c r="U275" s="8">
        <f t="shared" si="49"/>
        <v>84</v>
      </c>
    </row>
    <row r="276" spans="9:21">
      <c r="I276" s="8">
        <v>-19</v>
      </c>
      <c r="J276" s="105">
        <f>(J275+J277)/2</f>
        <v>5.4999999999999997E-3</v>
      </c>
      <c r="K276" s="14"/>
      <c r="L276" s="11"/>
      <c r="M276" s="14"/>
      <c r="N276" s="11"/>
      <c r="O276" s="14"/>
      <c r="P276" s="11"/>
      <c r="Q276" s="14"/>
      <c r="R276" s="11"/>
      <c r="S276" s="14"/>
      <c r="T276" s="11"/>
      <c r="U276" s="8">
        <f t="shared" si="49"/>
        <v>85</v>
      </c>
    </row>
    <row r="277" spans="9:21">
      <c r="I277" s="8">
        <v>-18</v>
      </c>
      <c r="J277" s="105">
        <f>(J275+J279)/2</f>
        <v>5.0000000000000001E-3</v>
      </c>
      <c r="K277" s="14"/>
      <c r="L277" s="11"/>
      <c r="M277" s="14"/>
      <c r="N277" s="11"/>
      <c r="O277" s="14"/>
      <c r="P277" s="11"/>
      <c r="Q277" s="14"/>
      <c r="R277" s="11"/>
      <c r="S277" s="14"/>
      <c r="T277" s="11"/>
      <c r="U277" s="8">
        <f t="shared" si="49"/>
        <v>86</v>
      </c>
    </row>
    <row r="278" spans="9:21">
      <c r="I278" s="8">
        <v>-17</v>
      </c>
      <c r="J278" s="105">
        <f>(J277+J279)/2</f>
        <v>4.5000000000000005E-3</v>
      </c>
      <c r="K278" s="14"/>
      <c r="L278" s="11"/>
      <c r="M278" s="14"/>
      <c r="N278" s="11"/>
      <c r="O278" s="14"/>
      <c r="P278" s="11"/>
      <c r="Q278" s="14"/>
      <c r="R278" s="11"/>
      <c r="S278" s="14"/>
      <c r="T278" s="11"/>
      <c r="U278" s="8">
        <f t="shared" si="49"/>
        <v>87</v>
      </c>
    </row>
    <row r="279" spans="9:21">
      <c r="I279" s="8">
        <v>-16</v>
      </c>
      <c r="J279" s="105">
        <v>4.0000000000000001E-3</v>
      </c>
      <c r="K279" s="14"/>
      <c r="L279" s="11"/>
      <c r="M279" s="14"/>
      <c r="N279" s="11"/>
      <c r="O279" s="14"/>
      <c r="P279" s="11"/>
      <c r="Q279" s="14"/>
      <c r="R279" s="11"/>
      <c r="S279" s="14"/>
      <c r="T279" s="11"/>
      <c r="U279" s="8">
        <f t="shared" si="49"/>
        <v>88</v>
      </c>
    </row>
    <row r="280" spans="9:21">
      <c r="I280" s="8">
        <v>-15</v>
      </c>
      <c r="J280" s="105">
        <f>(J279+J282)/2</f>
        <v>3.2500000000000003E-3</v>
      </c>
      <c r="K280" s="14"/>
      <c r="L280" s="11"/>
      <c r="M280" s="14"/>
      <c r="N280" s="11"/>
      <c r="O280" s="14"/>
      <c r="P280" s="11"/>
      <c r="Q280" s="14"/>
      <c r="R280" s="11"/>
      <c r="S280" s="14"/>
      <c r="T280" s="11"/>
      <c r="U280" s="8">
        <f t="shared" si="49"/>
        <v>89</v>
      </c>
    </row>
    <row r="281" spans="9:21">
      <c r="I281" s="8">
        <v>-14</v>
      </c>
      <c r="J281" s="105">
        <f>(J280+J282)/2</f>
        <v>2.875E-3</v>
      </c>
      <c r="K281" s="14"/>
      <c r="L281" s="11"/>
      <c r="M281" s="14"/>
      <c r="N281" s="11"/>
      <c r="O281" s="14"/>
      <c r="P281" s="11"/>
      <c r="Q281" s="14"/>
      <c r="R281" s="11"/>
      <c r="S281" s="14"/>
      <c r="T281" s="11"/>
      <c r="U281" s="8">
        <f t="shared" si="49"/>
        <v>90</v>
      </c>
    </row>
    <row r="282" spans="9:21">
      <c r="I282" s="8">
        <v>-13</v>
      </c>
      <c r="J282" s="105">
        <f>(J279+J285)/2</f>
        <v>2.5000000000000001E-3</v>
      </c>
      <c r="K282" s="14"/>
      <c r="L282" s="11"/>
      <c r="M282" s="14"/>
      <c r="N282" s="11"/>
      <c r="O282" s="14"/>
      <c r="P282" s="11"/>
      <c r="Q282" s="14"/>
      <c r="R282" s="11"/>
      <c r="S282" s="14"/>
      <c r="T282" s="11"/>
      <c r="U282" s="8">
        <f t="shared" si="49"/>
        <v>91</v>
      </c>
    </row>
    <row r="283" spans="9:21">
      <c r="I283" s="8">
        <v>-12</v>
      </c>
      <c r="J283" s="105">
        <f>(J282+J285)/2</f>
        <v>1.75E-3</v>
      </c>
      <c r="K283" s="14"/>
      <c r="L283" s="11"/>
      <c r="M283" s="14"/>
      <c r="N283" s="11"/>
      <c r="O283" s="14"/>
      <c r="P283" s="11"/>
      <c r="Q283" s="14"/>
      <c r="R283" s="11"/>
      <c r="S283" s="14"/>
      <c r="T283" s="11"/>
      <c r="U283" s="8">
        <f t="shared" si="49"/>
        <v>92</v>
      </c>
    </row>
    <row r="284" spans="9:21">
      <c r="I284" s="8">
        <v>-11</v>
      </c>
      <c r="J284" s="105">
        <f>(J283+J285)/2</f>
        <v>1.3749999999999999E-3</v>
      </c>
      <c r="K284" s="14"/>
      <c r="L284" s="11"/>
      <c r="M284" s="14"/>
      <c r="N284" s="11"/>
      <c r="O284" s="14"/>
      <c r="P284" s="11"/>
      <c r="Q284" s="14"/>
      <c r="R284" s="11"/>
      <c r="S284" s="14"/>
      <c r="T284" s="11"/>
      <c r="U284" s="8">
        <f t="shared" si="49"/>
        <v>93</v>
      </c>
    </row>
    <row r="285" spans="9:21">
      <c r="I285" s="8">
        <v>-10</v>
      </c>
      <c r="J285" s="105">
        <v>1E-3</v>
      </c>
      <c r="K285" s="14"/>
      <c r="L285" s="11"/>
      <c r="M285" s="14"/>
      <c r="N285" s="11"/>
      <c r="O285" s="14"/>
      <c r="P285" s="11"/>
      <c r="Q285" s="14"/>
      <c r="R285" s="11"/>
      <c r="S285" s="14"/>
      <c r="T285" s="11"/>
      <c r="U285" s="8">
        <f t="shared" si="49"/>
        <v>94</v>
      </c>
    </row>
    <row r="286" spans="9:21">
      <c r="I286" s="8">
        <v>-9</v>
      </c>
      <c r="J286" s="105">
        <f>(J285+J287)/2</f>
        <v>9.3749999999999997E-4</v>
      </c>
      <c r="K286" s="14"/>
      <c r="L286" s="11"/>
      <c r="M286" s="14"/>
      <c r="N286" s="11"/>
      <c r="O286" s="14"/>
      <c r="P286" s="11"/>
      <c r="Q286" s="14"/>
      <c r="R286" s="11"/>
      <c r="S286" s="14"/>
      <c r="T286" s="11"/>
      <c r="U286" s="8">
        <f t="shared" si="49"/>
        <v>95</v>
      </c>
    </row>
    <row r="287" spans="9:21">
      <c r="I287" s="8">
        <v>-8</v>
      </c>
      <c r="J287" s="105">
        <f>(J285+J289)/2</f>
        <v>8.7500000000000002E-4</v>
      </c>
      <c r="K287" s="14"/>
      <c r="L287" s="11"/>
      <c r="M287" s="14"/>
      <c r="N287" s="11"/>
      <c r="O287" s="14"/>
      <c r="P287" s="11"/>
      <c r="Q287" s="14"/>
      <c r="R287" s="11"/>
      <c r="S287" s="14"/>
      <c r="T287" s="11"/>
      <c r="U287" s="8">
        <f t="shared" si="49"/>
        <v>96</v>
      </c>
    </row>
    <row r="288" spans="9:21">
      <c r="I288" s="8">
        <v>-7</v>
      </c>
      <c r="J288" s="105">
        <f>(J287+J289)/2</f>
        <v>8.1250000000000007E-4</v>
      </c>
      <c r="K288" s="14"/>
      <c r="L288" s="11"/>
      <c r="M288" s="14"/>
      <c r="N288" s="11"/>
      <c r="O288" s="14"/>
      <c r="P288" s="11"/>
      <c r="Q288" s="14"/>
      <c r="R288" s="11"/>
      <c r="S288" s="14"/>
      <c r="T288" s="11"/>
      <c r="U288" s="8">
        <f t="shared" si="49"/>
        <v>97</v>
      </c>
    </row>
    <row r="289" spans="9:21">
      <c r="I289" s="8">
        <v>-6</v>
      </c>
      <c r="J289" s="105">
        <f>(J285+J293)/2</f>
        <v>7.5000000000000002E-4</v>
      </c>
      <c r="K289" s="14"/>
      <c r="L289" s="11"/>
      <c r="M289" s="14"/>
      <c r="N289" s="11"/>
      <c r="O289" s="14"/>
      <c r="P289" s="11"/>
      <c r="Q289" s="14"/>
      <c r="R289" s="11"/>
      <c r="S289" s="14"/>
      <c r="T289" s="11"/>
      <c r="U289" s="8">
        <f t="shared" si="49"/>
        <v>98</v>
      </c>
    </row>
    <row r="290" spans="9:21">
      <c r="I290" s="8">
        <v>-5</v>
      </c>
      <c r="J290" s="105">
        <f>(J289+J291)/2</f>
        <v>6.8749999999999996E-4</v>
      </c>
      <c r="K290" s="14"/>
      <c r="L290" s="11"/>
      <c r="M290" s="14"/>
      <c r="N290" s="11"/>
      <c r="O290" s="14"/>
      <c r="P290" s="11"/>
      <c r="Q290" s="14"/>
      <c r="R290" s="11"/>
      <c r="S290" s="14"/>
      <c r="T290" s="11"/>
      <c r="U290" s="8">
        <f t="shared" si="49"/>
        <v>99</v>
      </c>
    </row>
    <row r="291" spans="9:21">
      <c r="I291" s="8">
        <v>-4</v>
      </c>
      <c r="J291" s="105">
        <f>(J289+J293)/2</f>
        <v>6.2500000000000001E-4</v>
      </c>
      <c r="K291" s="14"/>
      <c r="L291" s="11"/>
      <c r="M291" s="14"/>
      <c r="N291" s="11"/>
      <c r="O291" s="14"/>
      <c r="P291" s="11"/>
      <c r="Q291" s="14"/>
      <c r="R291" s="11"/>
      <c r="S291" s="14"/>
      <c r="T291" s="11"/>
      <c r="U291" s="8">
        <f t="shared" si="49"/>
        <v>100</v>
      </c>
    </row>
    <row r="292" spans="9:21">
      <c r="I292" s="8">
        <v>-3</v>
      </c>
      <c r="J292" s="105">
        <f>(J291+J293)/2</f>
        <v>5.6250000000000007E-4</v>
      </c>
      <c r="K292" s="14"/>
      <c r="L292" s="11"/>
      <c r="M292" s="14"/>
      <c r="N292" s="11"/>
      <c r="O292" s="14"/>
      <c r="P292" s="11"/>
      <c r="Q292" s="14"/>
      <c r="R292" s="11"/>
      <c r="S292" s="14"/>
      <c r="T292" s="11"/>
      <c r="U292" s="8">
        <f t="shared" si="49"/>
        <v>101</v>
      </c>
    </row>
    <row r="293" spans="9:21">
      <c r="I293" s="8">
        <v>-2</v>
      </c>
      <c r="J293" s="105">
        <f>(J285+J300)/2</f>
        <v>5.0000000000000001E-4</v>
      </c>
      <c r="K293" s="14"/>
      <c r="L293" s="11"/>
      <c r="M293" s="14"/>
      <c r="N293" s="11"/>
      <c r="O293" s="14"/>
      <c r="P293" s="11"/>
      <c r="Q293" s="14"/>
      <c r="R293" s="11"/>
      <c r="S293" s="14"/>
      <c r="T293" s="11"/>
      <c r="U293" s="8">
        <f t="shared" si="49"/>
        <v>102</v>
      </c>
    </row>
    <row r="294" spans="9:21">
      <c r="I294" s="8">
        <v>-1</v>
      </c>
      <c r="J294" s="105">
        <f>(J293+J295)/2</f>
        <v>4.3750000000000001E-4</v>
      </c>
      <c r="K294" s="14"/>
      <c r="L294" s="11"/>
      <c r="M294" s="14"/>
      <c r="N294" s="11"/>
      <c r="O294" s="14"/>
      <c r="P294" s="11"/>
      <c r="Q294" s="14"/>
      <c r="R294" s="11"/>
      <c r="S294" s="14"/>
      <c r="T294" s="11"/>
      <c r="U294" s="8">
        <f t="shared" si="49"/>
        <v>103</v>
      </c>
    </row>
    <row r="295" spans="9:21">
      <c r="I295" s="8">
        <v>0</v>
      </c>
      <c r="J295" s="105">
        <f>(J293+J297)/2</f>
        <v>3.7500000000000001E-4</v>
      </c>
      <c r="K295" s="14"/>
      <c r="L295" s="11"/>
      <c r="M295" s="14"/>
      <c r="N295" s="11"/>
      <c r="O295" s="14"/>
      <c r="P295" s="11"/>
      <c r="Q295" s="14"/>
      <c r="R295" s="11"/>
      <c r="S295" s="14"/>
      <c r="T295" s="11"/>
      <c r="U295" s="8">
        <f t="shared" si="49"/>
        <v>104</v>
      </c>
    </row>
    <row r="296" spans="9:21">
      <c r="I296" s="8">
        <v>1</v>
      </c>
      <c r="J296" s="105">
        <f>(J295+J297)/2</f>
        <v>3.1250000000000001E-4</v>
      </c>
      <c r="K296" s="14"/>
      <c r="L296" s="11"/>
      <c r="M296" s="14"/>
      <c r="N296" s="11"/>
      <c r="O296" s="14"/>
      <c r="P296" s="11"/>
      <c r="Q296" s="14"/>
      <c r="R296" s="11"/>
      <c r="S296" s="14"/>
      <c r="T296" s="11"/>
      <c r="U296" s="8">
        <f t="shared" si="49"/>
        <v>105</v>
      </c>
    </row>
    <row r="297" spans="9:21">
      <c r="I297" s="8">
        <v>2</v>
      </c>
      <c r="J297" s="105">
        <f>(J293+J300)/2</f>
        <v>2.5000000000000001E-4</v>
      </c>
      <c r="K297" s="14"/>
      <c r="L297" s="11"/>
      <c r="M297" s="14"/>
      <c r="N297" s="11"/>
      <c r="O297" s="14"/>
      <c r="P297" s="11"/>
      <c r="Q297" s="14"/>
      <c r="R297" s="11"/>
      <c r="S297" s="14"/>
      <c r="T297" s="11"/>
      <c r="U297" s="8">
        <f t="shared" si="49"/>
        <v>106</v>
      </c>
    </row>
    <row r="298" spans="9:21">
      <c r="I298" s="8">
        <v>3</v>
      </c>
      <c r="J298" s="105">
        <f>(J297+J300)/2</f>
        <v>1.25E-4</v>
      </c>
      <c r="K298" s="14"/>
      <c r="L298" s="11"/>
      <c r="M298" s="14"/>
      <c r="N298" s="11"/>
      <c r="O298" s="14"/>
      <c r="P298" s="11"/>
      <c r="Q298" s="14"/>
      <c r="R298" s="11"/>
      <c r="S298" s="14"/>
      <c r="T298" s="11"/>
      <c r="U298" s="8">
        <f t="shared" si="49"/>
        <v>107</v>
      </c>
    </row>
    <row r="299" spans="9:21">
      <c r="I299" s="8">
        <v>4</v>
      </c>
      <c r="J299" s="105">
        <f>(J298+J300)/2</f>
        <v>6.2500000000000001E-5</v>
      </c>
      <c r="K299" s="14"/>
      <c r="L299" s="11"/>
      <c r="M299" s="14"/>
      <c r="N299" s="11"/>
      <c r="O299" s="14"/>
      <c r="P299" s="11"/>
      <c r="Q299" s="14"/>
      <c r="R299" s="11"/>
      <c r="S299" s="14"/>
      <c r="T299" s="11"/>
      <c r="U299" s="8">
        <f t="shared" si="49"/>
        <v>108</v>
      </c>
    </row>
    <row r="300" spans="9:21">
      <c r="I300" s="8">
        <v>5</v>
      </c>
      <c r="J300" s="11">
        <v>0</v>
      </c>
      <c r="K300" s="14"/>
      <c r="L300" s="11"/>
      <c r="M300" s="14"/>
      <c r="N300" s="11"/>
      <c r="O300" s="14"/>
      <c r="P300" s="11"/>
      <c r="Q300" s="14"/>
      <c r="R300" s="11"/>
      <c r="S300" s="14"/>
      <c r="T300" s="11"/>
      <c r="U300" s="8">
        <f t="shared" si="49"/>
        <v>109</v>
      </c>
    </row>
    <row r="301" spans="9:21">
      <c r="I301" s="5">
        <v>70</v>
      </c>
      <c r="J301" s="11">
        <v>0</v>
      </c>
      <c r="K301" s="14"/>
      <c r="L301" s="11"/>
      <c r="M301" s="14"/>
      <c r="N301" s="11"/>
      <c r="O301" s="14"/>
      <c r="P301" s="11"/>
      <c r="Q301" s="14"/>
      <c r="R301" s="11"/>
      <c r="S301" s="14"/>
      <c r="T301" s="11"/>
      <c r="U301" s="8">
        <f t="shared" si="49"/>
        <v>110</v>
      </c>
    </row>
    <row r="302" spans="9:21">
      <c r="I302" s="5">
        <v>71</v>
      </c>
      <c r="J302" s="11">
        <f>(J301+J303)/2</f>
        <v>8.6249999999999999E-4</v>
      </c>
      <c r="K302" s="14"/>
      <c r="L302" s="11"/>
      <c r="M302" s="14"/>
      <c r="N302" s="11"/>
      <c r="O302" s="14"/>
      <c r="P302" s="11"/>
      <c r="Q302" s="14"/>
      <c r="R302" s="11"/>
      <c r="S302" s="14"/>
      <c r="T302" s="11"/>
      <c r="U302" s="8">
        <f t="shared" si="49"/>
        <v>111</v>
      </c>
    </row>
    <row r="303" spans="9:21">
      <c r="I303" s="5">
        <v>72</v>
      </c>
      <c r="J303" s="11">
        <f>(J301+J306)/2</f>
        <v>1.725E-3</v>
      </c>
      <c r="K303" s="14"/>
      <c r="L303" s="11"/>
      <c r="M303" s="14"/>
      <c r="N303" s="11"/>
      <c r="O303" s="14"/>
      <c r="P303" s="11"/>
      <c r="Q303" s="14"/>
      <c r="R303" s="11"/>
      <c r="S303" s="14"/>
      <c r="T303" s="11"/>
      <c r="U303" s="8">
        <f t="shared" si="49"/>
        <v>112</v>
      </c>
    </row>
    <row r="304" spans="9:21">
      <c r="I304" s="5">
        <v>73</v>
      </c>
      <c r="J304" s="11">
        <f>(J302+J306)/2</f>
        <v>2.1562500000000002E-3</v>
      </c>
      <c r="K304" s="14"/>
      <c r="L304" s="11"/>
      <c r="M304" s="14"/>
      <c r="N304" s="11"/>
      <c r="O304" s="14"/>
      <c r="P304" s="11"/>
      <c r="Q304" s="14"/>
      <c r="R304" s="11"/>
      <c r="S304" s="14"/>
      <c r="T304" s="11"/>
      <c r="U304" s="8">
        <f t="shared" si="49"/>
        <v>113</v>
      </c>
    </row>
    <row r="305" spans="9:21">
      <c r="I305" s="5">
        <v>74</v>
      </c>
      <c r="J305" s="11">
        <f>(J304+J306)/2</f>
        <v>2.8031250000000001E-3</v>
      </c>
      <c r="K305" s="14"/>
      <c r="L305" s="11"/>
      <c r="M305" s="14"/>
      <c r="N305" s="11"/>
      <c r="O305" s="14"/>
      <c r="P305" s="11"/>
      <c r="Q305" s="14"/>
      <c r="R305" s="11"/>
      <c r="S305" s="14"/>
      <c r="T305" s="11"/>
      <c r="U305" s="8">
        <f t="shared" si="49"/>
        <v>114</v>
      </c>
    </row>
    <row r="306" spans="9:21">
      <c r="I306" s="5">
        <v>75</v>
      </c>
      <c r="J306" s="11">
        <f>(J301+J311)/2</f>
        <v>3.4499999999999999E-3</v>
      </c>
      <c r="K306" s="14"/>
      <c r="L306" s="11"/>
      <c r="M306" s="14"/>
      <c r="N306" s="11"/>
      <c r="O306" s="14"/>
      <c r="P306" s="11"/>
      <c r="Q306" s="14"/>
      <c r="R306" s="11"/>
      <c r="S306" s="14"/>
      <c r="T306" s="11"/>
      <c r="U306" s="8">
        <f t="shared" si="49"/>
        <v>115</v>
      </c>
    </row>
    <row r="307" spans="9:21">
      <c r="I307" s="5">
        <v>76</v>
      </c>
      <c r="J307" s="11">
        <f>(J305+J309)/2</f>
        <v>3.9890624999999996E-3</v>
      </c>
      <c r="K307" s="14"/>
      <c r="L307" s="11"/>
      <c r="M307" s="14"/>
      <c r="N307" s="11"/>
      <c r="O307" s="14"/>
      <c r="P307" s="11"/>
      <c r="Q307" s="14"/>
      <c r="R307" s="11"/>
      <c r="S307" s="14"/>
      <c r="T307" s="11"/>
      <c r="U307" s="8">
        <f t="shared" si="49"/>
        <v>116</v>
      </c>
    </row>
    <row r="308" spans="9:21">
      <c r="I308" s="5">
        <v>77</v>
      </c>
      <c r="J308" s="11">
        <f>(J307+J309)/2</f>
        <v>4.5820312500000002E-3</v>
      </c>
      <c r="K308" s="14"/>
      <c r="L308" s="11"/>
      <c r="M308" s="14"/>
      <c r="N308" s="11"/>
      <c r="O308" s="14"/>
      <c r="P308" s="11"/>
      <c r="Q308" s="14"/>
      <c r="R308" s="11"/>
      <c r="S308" s="14"/>
      <c r="T308" s="11"/>
      <c r="U308" s="8">
        <f t="shared" si="49"/>
        <v>117</v>
      </c>
    </row>
    <row r="309" spans="9:21">
      <c r="I309" s="5">
        <v>78</v>
      </c>
      <c r="J309" s="11">
        <f>(J306+J311)/2</f>
        <v>5.1749999999999999E-3</v>
      </c>
      <c r="K309" s="14"/>
      <c r="L309" s="11"/>
      <c r="M309" s="14"/>
      <c r="N309" s="11"/>
      <c r="O309" s="14"/>
      <c r="P309" s="11"/>
      <c r="Q309" s="14"/>
      <c r="R309" s="11"/>
      <c r="S309" s="14"/>
      <c r="T309" s="11"/>
      <c r="U309" s="8">
        <f t="shared" si="49"/>
        <v>118</v>
      </c>
    </row>
    <row r="310" spans="9:21">
      <c r="I310" s="5">
        <v>79</v>
      </c>
      <c r="J310" s="11">
        <f>(J309+J311)/2</f>
        <v>6.0374999999999995E-3</v>
      </c>
      <c r="K310" s="14"/>
      <c r="L310" s="11"/>
      <c r="M310" s="14"/>
      <c r="N310" s="11"/>
      <c r="O310" s="14"/>
      <c r="P310" s="11"/>
      <c r="Q310" s="14"/>
      <c r="R310" s="11"/>
      <c r="S310" s="14"/>
      <c r="T310" s="11"/>
      <c r="U310" s="8">
        <f t="shared" si="49"/>
        <v>119</v>
      </c>
    </row>
    <row r="311" spans="9:21">
      <c r="I311" s="5">
        <v>80</v>
      </c>
      <c r="J311" s="11">
        <v>6.8999999999999999E-3</v>
      </c>
      <c r="K311" s="14"/>
      <c r="L311" s="11"/>
      <c r="M311" s="14"/>
      <c r="N311" s="11"/>
      <c r="O311" s="14"/>
      <c r="P311" s="11"/>
      <c r="Q311" s="14"/>
      <c r="R311" s="11"/>
      <c r="S311" s="14"/>
      <c r="T311" s="11"/>
      <c r="U311" s="8">
        <f t="shared" si="49"/>
        <v>120</v>
      </c>
    </row>
    <row r="312" spans="9:21">
      <c r="I312" s="5">
        <v>81</v>
      </c>
      <c r="J312" s="11">
        <f>(J311+J313)/2</f>
        <v>7.8250000000000004E-3</v>
      </c>
      <c r="K312" s="14"/>
      <c r="L312" s="11"/>
      <c r="M312" s="14"/>
      <c r="N312" s="11"/>
      <c r="O312" s="14"/>
      <c r="P312" s="11"/>
      <c r="Q312" s="14"/>
      <c r="R312" s="11"/>
      <c r="S312" s="14"/>
      <c r="T312" s="11"/>
      <c r="U312" s="8">
        <f t="shared" si="49"/>
        <v>121</v>
      </c>
    </row>
    <row r="313" spans="9:21">
      <c r="I313" s="5">
        <v>82</v>
      </c>
      <c r="J313" s="11">
        <f>(J311+J316)/2</f>
        <v>8.7500000000000008E-3</v>
      </c>
      <c r="K313" s="14"/>
      <c r="L313" s="11"/>
      <c r="M313" s="14"/>
      <c r="N313" s="11"/>
      <c r="O313" s="14"/>
      <c r="P313" s="11"/>
      <c r="Q313" s="14"/>
      <c r="R313" s="11"/>
      <c r="S313" s="14"/>
      <c r="T313" s="11"/>
      <c r="U313" s="8">
        <f t="shared" si="49"/>
        <v>122</v>
      </c>
    </row>
    <row r="314" spans="9:21">
      <c r="I314" s="5">
        <v>83</v>
      </c>
      <c r="J314" s="11">
        <f>(J312+J316)/2</f>
        <v>9.2125000000000002E-3</v>
      </c>
      <c r="K314" s="14"/>
      <c r="L314" s="11"/>
      <c r="M314" s="14"/>
      <c r="N314" s="11"/>
      <c r="O314" s="14"/>
      <c r="P314" s="11"/>
      <c r="Q314" s="14"/>
      <c r="R314" s="11"/>
      <c r="S314" s="14"/>
      <c r="T314" s="11"/>
      <c r="U314" s="8">
        <f t="shared" si="49"/>
        <v>123</v>
      </c>
    </row>
    <row r="315" spans="9:21">
      <c r="I315" s="5">
        <v>84</v>
      </c>
      <c r="J315" s="11">
        <f>(J314+J316)/2</f>
        <v>9.9062500000000001E-3</v>
      </c>
      <c r="K315" s="14"/>
      <c r="L315" s="11"/>
      <c r="M315" s="14"/>
      <c r="N315" s="11"/>
      <c r="O315" s="14"/>
      <c r="P315" s="11"/>
      <c r="Q315" s="14"/>
      <c r="R315" s="11"/>
      <c r="S315" s="14"/>
      <c r="T315" s="11"/>
      <c r="U315" s="8">
        <f t="shared" si="49"/>
        <v>124</v>
      </c>
    </row>
    <row r="316" spans="9:21">
      <c r="I316" s="5">
        <v>85</v>
      </c>
      <c r="J316" s="11">
        <f>(J311+J321)/2</f>
        <v>1.06E-2</v>
      </c>
      <c r="K316" s="14"/>
      <c r="L316" s="11"/>
      <c r="M316" s="14"/>
      <c r="N316" s="11"/>
      <c r="O316" s="14"/>
      <c r="P316" s="11"/>
      <c r="Q316" s="14"/>
      <c r="R316" s="11"/>
      <c r="S316" s="14"/>
      <c r="T316" s="11"/>
      <c r="U316" s="8">
        <f t="shared" si="49"/>
        <v>125</v>
      </c>
    </row>
    <row r="317" spans="9:21">
      <c r="I317" s="5">
        <v>86</v>
      </c>
      <c r="J317" s="11">
        <f>(J315+J319)/2</f>
        <v>1.1178125000000001E-2</v>
      </c>
      <c r="K317" s="14"/>
      <c r="L317" s="11"/>
      <c r="M317" s="14"/>
      <c r="N317" s="11"/>
      <c r="O317" s="14"/>
      <c r="P317" s="11"/>
      <c r="Q317" s="14"/>
      <c r="R317" s="11"/>
      <c r="S317" s="14"/>
      <c r="T317" s="11"/>
      <c r="U317" s="8">
        <f t="shared" si="49"/>
        <v>126</v>
      </c>
    </row>
    <row r="318" spans="9:21">
      <c r="I318" s="5">
        <v>87</v>
      </c>
      <c r="J318" s="11">
        <f>(J317+J319)/2</f>
        <v>1.18140625E-2</v>
      </c>
      <c r="K318" s="14"/>
      <c r="L318" s="11"/>
      <c r="M318" s="14"/>
      <c r="N318" s="11"/>
      <c r="O318" s="14"/>
      <c r="P318" s="11"/>
      <c r="Q318" s="14"/>
      <c r="R318" s="11"/>
      <c r="S318" s="14"/>
      <c r="T318" s="11"/>
      <c r="U318" s="8">
        <f t="shared" si="49"/>
        <v>127</v>
      </c>
    </row>
    <row r="319" spans="9:21">
      <c r="I319" s="5">
        <v>88</v>
      </c>
      <c r="J319" s="11">
        <f>(J316+J321)/2</f>
        <v>1.2449999999999999E-2</v>
      </c>
      <c r="K319" s="14"/>
      <c r="L319" s="11"/>
      <c r="M319" s="14"/>
      <c r="N319" s="11"/>
      <c r="O319" s="14"/>
      <c r="P319" s="11"/>
      <c r="Q319" s="14"/>
      <c r="R319" s="11"/>
      <c r="S319" s="14"/>
      <c r="T319" s="11"/>
      <c r="U319" s="8">
        <f t="shared" si="49"/>
        <v>128</v>
      </c>
    </row>
    <row r="320" spans="9:21">
      <c r="I320" s="5">
        <v>89</v>
      </c>
      <c r="J320" s="11">
        <f>(J319+J321)/2</f>
        <v>1.3375E-2</v>
      </c>
      <c r="K320" s="14"/>
      <c r="L320" s="11"/>
      <c r="M320" s="14"/>
      <c r="N320" s="11"/>
      <c r="O320" s="14"/>
      <c r="P320" s="11"/>
      <c r="Q320" s="14"/>
      <c r="R320" s="11"/>
      <c r="S320" s="14"/>
      <c r="T320" s="11"/>
      <c r="U320" s="8">
        <f t="shared" si="49"/>
        <v>129</v>
      </c>
    </row>
    <row r="321" spans="9:21">
      <c r="I321" s="5">
        <v>90</v>
      </c>
      <c r="J321" s="11">
        <v>1.43E-2</v>
      </c>
      <c r="K321" s="14"/>
      <c r="L321" s="11"/>
      <c r="M321" s="14"/>
      <c r="N321" s="11"/>
      <c r="O321" s="14"/>
      <c r="P321" s="11"/>
      <c r="Q321" s="14"/>
      <c r="R321" s="11"/>
      <c r="S321" s="14"/>
      <c r="T321" s="11"/>
      <c r="U321" s="8">
        <f t="shared" si="49"/>
        <v>130</v>
      </c>
    </row>
    <row r="322" spans="9:21">
      <c r="I322" s="5">
        <v>91</v>
      </c>
      <c r="J322" s="11">
        <f>(J321+J323)/2</f>
        <v>1.5275E-2</v>
      </c>
    </row>
    <row r="323" spans="9:21">
      <c r="I323" s="5">
        <v>92</v>
      </c>
      <c r="J323" s="11">
        <f>(J321+J326)/2</f>
        <v>1.6250000000000001E-2</v>
      </c>
    </row>
    <row r="324" spans="9:21">
      <c r="I324" s="5">
        <v>93</v>
      </c>
      <c r="J324" s="11">
        <f>(J322+J326)/2</f>
        <v>1.6737500000000002E-2</v>
      </c>
    </row>
    <row r="325" spans="9:21">
      <c r="I325" s="5">
        <v>94</v>
      </c>
      <c r="J325" s="11">
        <f>(J324+J326)/2</f>
        <v>1.7468750000000002E-2</v>
      </c>
    </row>
    <row r="326" spans="9:21">
      <c r="I326" s="5">
        <v>95</v>
      </c>
      <c r="J326" s="11">
        <f>(J321+J331)/2</f>
        <v>1.8200000000000001E-2</v>
      </c>
    </row>
    <row r="327" spans="9:21">
      <c r="I327" s="5">
        <v>96</v>
      </c>
      <c r="J327" s="11">
        <f>(J325+J329)/2</f>
        <v>1.8809375000000003E-2</v>
      </c>
    </row>
    <row r="328" spans="9:21">
      <c r="I328" s="5">
        <v>97</v>
      </c>
      <c r="J328" s="11">
        <f>(J327+J329)/2</f>
        <v>1.9479687500000002E-2</v>
      </c>
    </row>
    <row r="329" spans="9:21">
      <c r="I329" s="5">
        <v>98</v>
      </c>
      <c r="J329" s="11">
        <f>(J326+J331)/2</f>
        <v>2.0150000000000001E-2</v>
      </c>
    </row>
    <row r="330" spans="9:21">
      <c r="I330" s="5">
        <v>99</v>
      </c>
      <c r="J330" s="11">
        <f>(J329+J331)/2</f>
        <v>2.1125000000000001E-2</v>
      </c>
    </row>
    <row r="331" spans="9:21">
      <c r="I331" s="5">
        <v>100</v>
      </c>
      <c r="J331" s="11">
        <v>2.2100000000000002E-2</v>
      </c>
    </row>
    <row r="332" spans="9:21">
      <c r="I332" s="5">
        <v>101</v>
      </c>
      <c r="J332" s="11">
        <f>(J331+J333)/2</f>
        <v>2.3137500000000002E-2</v>
      </c>
    </row>
    <row r="333" spans="9:21">
      <c r="I333" s="5">
        <v>102</v>
      </c>
      <c r="J333" s="11">
        <f>(J331+J336)/2</f>
        <v>2.4175000000000002E-2</v>
      </c>
    </row>
    <row r="334" spans="9:21">
      <c r="I334" s="5">
        <v>103</v>
      </c>
      <c r="J334" s="11">
        <f>(J332+J336)/2</f>
        <v>2.469375E-2</v>
      </c>
    </row>
    <row r="335" spans="9:21">
      <c r="I335" s="5">
        <v>104</v>
      </c>
      <c r="J335" s="11">
        <f>(J334+J336)/2</f>
        <v>2.5471875000000001E-2</v>
      </c>
    </row>
    <row r="336" spans="9:21">
      <c r="I336" s="5">
        <v>105</v>
      </c>
      <c r="J336" s="11">
        <f>(J331+J341)/2</f>
        <v>2.6250000000000002E-2</v>
      </c>
    </row>
    <row r="337" spans="9:10">
      <c r="I337" s="5">
        <v>106</v>
      </c>
      <c r="J337" s="11">
        <f>(J335+J339)/2</f>
        <v>2.6898437500000004E-2</v>
      </c>
    </row>
    <row r="338" spans="9:10">
      <c r="I338" s="5">
        <v>107</v>
      </c>
      <c r="J338" s="11">
        <f>(J337+J339)/2</f>
        <v>2.7611718750000003E-2</v>
      </c>
    </row>
    <row r="339" spans="9:10">
      <c r="I339" s="5">
        <v>108</v>
      </c>
      <c r="J339" s="11">
        <f>(J336+J341)/2</f>
        <v>2.8325000000000003E-2</v>
      </c>
    </row>
    <row r="340" spans="9:10">
      <c r="I340" s="5">
        <v>109</v>
      </c>
      <c r="J340" s="11">
        <f>(J339+J341)/2</f>
        <v>2.93625E-2</v>
      </c>
    </row>
    <row r="341" spans="9:10">
      <c r="I341" s="5">
        <v>110</v>
      </c>
      <c r="J341" s="11">
        <v>3.04E-2</v>
      </c>
    </row>
    <row r="342" spans="9:10">
      <c r="I342" s="5">
        <v>111</v>
      </c>
      <c r="J342" s="11">
        <f>(J341+J343)/2</f>
        <v>3.13125E-2</v>
      </c>
    </row>
    <row r="343" spans="9:10">
      <c r="I343" s="5">
        <v>112</v>
      </c>
      <c r="J343" s="11">
        <f>(J341+J346)/2</f>
        <v>3.2224999999999997E-2</v>
      </c>
    </row>
    <row r="344" spans="9:10">
      <c r="I344" s="5">
        <v>113</v>
      </c>
      <c r="J344" s="11">
        <f>(J342+J346)/2</f>
        <v>3.2681249999999995E-2</v>
      </c>
    </row>
    <row r="345" spans="9:10">
      <c r="I345" s="5">
        <v>114</v>
      </c>
      <c r="J345" s="11">
        <f>(J344+J346)/2</f>
        <v>3.3365624999999996E-2</v>
      </c>
    </row>
    <row r="346" spans="9:10">
      <c r="I346" s="5">
        <v>115</v>
      </c>
      <c r="J346" s="11">
        <f>(J341+J351)/2</f>
        <v>3.4049999999999997E-2</v>
      </c>
    </row>
    <row r="347" spans="9:10">
      <c r="I347" s="5">
        <v>116</v>
      </c>
      <c r="J347" s="11">
        <f>(J345+J349)/2</f>
        <v>3.46203125E-2</v>
      </c>
    </row>
    <row r="348" spans="9:10">
      <c r="I348" s="5">
        <v>117</v>
      </c>
      <c r="J348" s="11">
        <f>(J347+J349)/2</f>
        <v>3.5247656249999995E-2</v>
      </c>
    </row>
    <row r="349" spans="9:10">
      <c r="I349" s="5">
        <v>118</v>
      </c>
      <c r="J349" s="11">
        <f>(J346+J351)/2</f>
        <v>3.5874999999999997E-2</v>
      </c>
    </row>
    <row r="350" spans="9:10">
      <c r="I350" s="5">
        <v>119</v>
      </c>
      <c r="J350" s="11">
        <f>(J349+J351)/2</f>
        <v>3.6787500000000001E-2</v>
      </c>
    </row>
    <row r="351" spans="9:10">
      <c r="I351" s="5">
        <v>120</v>
      </c>
      <c r="J351" s="11">
        <v>3.7699999999999997E-2</v>
      </c>
    </row>
    <row r="352" spans="9:10">
      <c r="I352" s="5">
        <v>121</v>
      </c>
      <c r="J352" s="11">
        <f>(J351+J353)/2</f>
        <v>3.9162499999999996E-2</v>
      </c>
    </row>
    <row r="353" spans="9:10">
      <c r="I353" s="5">
        <v>122</v>
      </c>
      <c r="J353" s="11">
        <f>(J351+J356)/2</f>
        <v>4.0624999999999994E-2</v>
      </c>
    </row>
    <row r="354" spans="9:10">
      <c r="I354" s="5">
        <v>123</v>
      </c>
      <c r="J354" s="11">
        <f>(J352+J356)/2</f>
        <v>4.1356249999999997E-2</v>
      </c>
    </row>
    <row r="355" spans="9:10">
      <c r="I355" s="5">
        <v>124</v>
      </c>
      <c r="J355" s="11">
        <f>(J354+J356)/2</f>
        <v>4.2453124999999994E-2</v>
      </c>
    </row>
    <row r="356" spans="9:10">
      <c r="I356" s="5">
        <v>125</v>
      </c>
      <c r="J356" s="11">
        <f>(J351+J361)/2</f>
        <v>4.3549999999999998E-2</v>
      </c>
    </row>
    <row r="357" spans="9:10">
      <c r="I357" s="5">
        <v>126</v>
      </c>
      <c r="J357" s="11">
        <f>(J355+J359)/2</f>
        <v>4.4464062499999998E-2</v>
      </c>
    </row>
    <row r="358" spans="9:10">
      <c r="I358" s="5">
        <v>127</v>
      </c>
      <c r="J358" s="11">
        <f>(J357+J359)/2</f>
        <v>4.546953125E-2</v>
      </c>
    </row>
    <row r="359" spans="9:10">
      <c r="I359" s="5">
        <v>128</v>
      </c>
      <c r="J359" s="11">
        <f>(J356+J361)/2</f>
        <v>4.6475000000000002E-2</v>
      </c>
    </row>
    <row r="360" spans="9:10">
      <c r="I360" s="5">
        <v>129</v>
      </c>
      <c r="J360" s="11">
        <f>(J359+J361)/2</f>
        <v>4.7937500000000001E-2</v>
      </c>
    </row>
    <row r="361" spans="9:10">
      <c r="I361" s="5">
        <v>130</v>
      </c>
      <c r="J361" s="11">
        <v>4.9399999999999999E-2</v>
      </c>
    </row>
  </sheetData>
  <mergeCells count="6">
    <mergeCell ref="J259:T259"/>
    <mergeCell ref="K2:O2"/>
    <mergeCell ref="P2:T2"/>
    <mergeCell ref="J203:T203"/>
    <mergeCell ref="Z211:AE211"/>
    <mergeCell ref="Y257:AD25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2:T156"/>
  <sheetViews>
    <sheetView workbookViewId="0">
      <selection activeCell="C44" sqref="C44"/>
    </sheetView>
  </sheetViews>
  <sheetFormatPr defaultRowHeight="13.8"/>
  <cols>
    <col min="2" max="2" width="19.5" customWidth="1"/>
    <col min="14" max="14" width="12" customWidth="1"/>
  </cols>
  <sheetData>
    <row r="2" spans="1:20">
      <c r="C2" t="s">
        <v>484</v>
      </c>
      <c r="D2" t="s">
        <v>485</v>
      </c>
    </row>
    <row r="3" spans="1:20">
      <c r="C3">
        <v>30</v>
      </c>
      <c r="D3">
        <v>60</v>
      </c>
    </row>
    <row r="5" spans="1:20" ht="14.4">
      <c r="H5" s="3"/>
      <c r="I5" s="295"/>
      <c r="J5" s="295"/>
      <c r="K5" s="295"/>
      <c r="L5" s="295"/>
      <c r="N5" s="295"/>
      <c r="O5" s="295"/>
      <c r="P5" s="295"/>
      <c r="Q5" s="295"/>
      <c r="R5" s="295"/>
      <c r="S5" s="295"/>
      <c r="T5" s="3"/>
    </row>
    <row r="6" spans="1:20" ht="15.6">
      <c r="D6">
        <f>'NW do c.w.u.'!K16</f>
        <v>70</v>
      </c>
      <c r="H6" s="3"/>
      <c r="I6" s="4"/>
      <c r="J6" s="3" t="s">
        <v>640</v>
      </c>
      <c r="K6" s="4">
        <v>0</v>
      </c>
      <c r="L6" s="4"/>
      <c r="M6" s="9" t="s">
        <v>743</v>
      </c>
      <c r="N6" s="3">
        <v>10</v>
      </c>
      <c r="O6" s="4"/>
      <c r="P6" s="4"/>
      <c r="Q6" s="4"/>
      <c r="R6" s="4"/>
      <c r="S6" s="4"/>
      <c r="T6" s="3"/>
    </row>
    <row r="7" spans="1:20" ht="15.6">
      <c r="C7" s="9" t="s">
        <v>29</v>
      </c>
      <c r="D7" s="13">
        <f>N14</f>
        <v>2.2397218245040099E-2</v>
      </c>
      <c r="F7" s="9" t="s">
        <v>4</v>
      </c>
      <c r="G7" s="3">
        <f>VLOOKUP(B11,A13:G41,3,0)</f>
        <v>80</v>
      </c>
      <c r="H7" s="5"/>
      <c r="I7" s="6"/>
      <c r="J7" s="3"/>
      <c r="K7" s="4">
        <v>1</v>
      </c>
      <c r="L7" s="6"/>
      <c r="M7" s="9" t="s">
        <v>744</v>
      </c>
      <c r="N7" s="3">
        <f>'NW do c.w.u.'!K16</f>
        <v>70</v>
      </c>
      <c r="O7" s="7"/>
      <c r="P7" s="6"/>
      <c r="Q7" s="7"/>
      <c r="R7" s="6"/>
      <c r="S7" s="7"/>
      <c r="T7" s="8"/>
    </row>
    <row r="8" spans="1:20" ht="14.4">
      <c r="F8" s="9" t="s">
        <v>138</v>
      </c>
      <c r="G8" s="3">
        <f>VLOOKUP(B11,A13:G41,4,0)</f>
        <v>10</v>
      </c>
      <c r="H8" s="5"/>
      <c r="I8" s="6"/>
      <c r="J8" s="246">
        <v>0</v>
      </c>
      <c r="K8" s="248">
        <v>999.9</v>
      </c>
      <c r="L8" s="6"/>
      <c r="M8" s="3"/>
      <c r="N8" s="3"/>
      <c r="O8" s="7"/>
      <c r="P8" s="6"/>
      <c r="Q8" s="7"/>
      <c r="R8" s="6"/>
      <c r="S8" s="7"/>
      <c r="T8" s="8"/>
    </row>
    <row r="9" spans="1:20" ht="15.6">
      <c r="F9" s="9" t="s">
        <v>144</v>
      </c>
      <c r="G9" s="3">
        <f>VLOOKUP(B11,A13:G41,7,0)</f>
        <v>17.399999999999999</v>
      </c>
      <c r="H9" s="5"/>
      <c r="I9" s="6"/>
      <c r="J9" s="5">
        <v>1</v>
      </c>
      <c r="K9" s="247">
        <v>999.9</v>
      </c>
      <c r="L9" s="6"/>
      <c r="M9" s="249" t="s">
        <v>745</v>
      </c>
      <c r="N9" s="3">
        <f>VLOOKUP(N6,J8:K98,2,0)</f>
        <v>999.7</v>
      </c>
      <c r="O9" s="7"/>
      <c r="P9" s="6"/>
      <c r="Q9" s="7"/>
      <c r="R9" s="6"/>
      <c r="S9" s="7"/>
      <c r="T9" s="8"/>
    </row>
    <row r="10" spans="1:20" ht="15.6">
      <c r="H10" s="5"/>
      <c r="I10" s="6"/>
      <c r="J10" s="5">
        <v>2</v>
      </c>
      <c r="K10" s="247">
        <v>999.9</v>
      </c>
      <c r="L10" s="6"/>
      <c r="M10" s="249" t="s">
        <v>746</v>
      </c>
      <c r="N10" s="3">
        <f>VLOOKUP(N7,J8:K98,2,0)</f>
        <v>977.8</v>
      </c>
      <c r="O10" s="7"/>
      <c r="P10" s="6"/>
      <c r="Q10" s="7"/>
      <c r="R10" s="6"/>
      <c r="S10" s="7"/>
      <c r="T10" s="8"/>
    </row>
    <row r="11" spans="1:20" ht="15.6">
      <c r="A11" s="3"/>
      <c r="B11" s="27">
        <v>7</v>
      </c>
      <c r="C11" s="27"/>
      <c r="D11" s="27"/>
      <c r="E11" s="27"/>
      <c r="F11" s="27"/>
      <c r="G11" s="3"/>
      <c r="H11" s="5"/>
      <c r="I11" s="6"/>
      <c r="J11" s="5">
        <v>3</v>
      </c>
      <c r="K11" s="247">
        <v>1000</v>
      </c>
      <c r="L11" s="6"/>
      <c r="M11" s="9" t="s">
        <v>645</v>
      </c>
      <c r="N11" s="3">
        <f>1/N9</f>
        <v>1.000300090027008E-3</v>
      </c>
      <c r="O11" s="7"/>
      <c r="P11" s="6"/>
      <c r="Q11" s="7"/>
      <c r="R11" s="6"/>
      <c r="S11" s="7"/>
      <c r="T11" s="8"/>
    </row>
    <row r="12" spans="1:20" ht="15.6">
      <c r="A12" s="3"/>
      <c r="B12" s="27"/>
      <c r="C12" s="27" t="s">
        <v>125</v>
      </c>
      <c r="D12" s="27" t="s">
        <v>126</v>
      </c>
      <c r="E12" s="27" t="s">
        <v>127</v>
      </c>
      <c r="F12" s="27" t="s">
        <v>128</v>
      </c>
      <c r="G12" s="27" t="s">
        <v>143</v>
      </c>
      <c r="H12" s="5"/>
      <c r="I12" s="6"/>
      <c r="J12" s="5">
        <v>4</v>
      </c>
      <c r="K12" s="247">
        <v>1000</v>
      </c>
      <c r="L12" s="6"/>
      <c r="M12" s="9" t="s">
        <v>650</v>
      </c>
      <c r="N12" s="3">
        <f>1/N10</f>
        <v>1.0227040294538761E-3</v>
      </c>
      <c r="O12" s="7"/>
      <c r="P12" s="6"/>
      <c r="Q12" s="7"/>
      <c r="R12" s="6"/>
      <c r="S12" s="7"/>
      <c r="T12" s="8"/>
    </row>
    <row r="13" spans="1:20" ht="14.4">
      <c r="A13" s="27">
        <v>1</v>
      </c>
      <c r="B13" s="28" t="s">
        <v>492</v>
      </c>
      <c r="C13" s="27">
        <v>8</v>
      </c>
      <c r="D13" s="27">
        <v>10</v>
      </c>
      <c r="E13" s="27"/>
      <c r="F13" s="29">
        <v>7112000</v>
      </c>
      <c r="G13" s="27">
        <v>4</v>
      </c>
      <c r="H13" s="5"/>
      <c r="I13" s="6"/>
      <c r="J13" s="5">
        <v>5</v>
      </c>
      <c r="K13" s="247">
        <v>1000</v>
      </c>
      <c r="L13" s="6"/>
      <c r="M13" s="250" t="s">
        <v>646</v>
      </c>
      <c r="N13" s="251">
        <f>(N12-N11)</f>
        <v>2.240393942686816E-5</v>
      </c>
      <c r="O13" s="7"/>
      <c r="P13" s="6"/>
      <c r="Q13" s="7"/>
      <c r="R13" s="6"/>
      <c r="S13" s="7"/>
      <c r="T13" s="8"/>
    </row>
    <row r="14" spans="1:20" ht="14.4">
      <c r="A14" s="27">
        <v>2</v>
      </c>
      <c r="B14" s="28" t="s">
        <v>493</v>
      </c>
      <c r="C14" s="27">
        <v>12</v>
      </c>
      <c r="D14" s="27">
        <v>10</v>
      </c>
      <c r="E14" s="27"/>
      <c r="F14" s="29">
        <v>7112001</v>
      </c>
      <c r="G14" s="27">
        <v>5.3</v>
      </c>
      <c r="H14" s="5"/>
      <c r="I14" s="6"/>
      <c r="J14" s="5">
        <v>6</v>
      </c>
      <c r="K14" s="247">
        <v>999.9</v>
      </c>
      <c r="L14" s="6"/>
      <c r="M14" s="9" t="s">
        <v>59</v>
      </c>
      <c r="N14" s="3">
        <f>N9*N13</f>
        <v>2.2397218245040099E-2</v>
      </c>
      <c r="O14" s="7"/>
      <c r="P14" s="6"/>
      <c r="Q14" s="7"/>
      <c r="R14" s="6"/>
      <c r="S14" s="7"/>
      <c r="T14" s="8"/>
    </row>
    <row r="15" spans="1:20" ht="14.4">
      <c r="A15" s="27">
        <v>3</v>
      </c>
      <c r="B15" s="28" t="s">
        <v>494</v>
      </c>
      <c r="C15" s="27">
        <v>18</v>
      </c>
      <c r="D15" s="27">
        <v>10</v>
      </c>
      <c r="E15" s="27"/>
      <c r="F15" s="29">
        <v>7112002</v>
      </c>
      <c r="G15" s="27">
        <v>6.6</v>
      </c>
      <c r="H15" s="5"/>
      <c r="I15" s="6"/>
      <c r="J15" s="5">
        <v>7</v>
      </c>
      <c r="K15" s="247">
        <v>999.9</v>
      </c>
      <c r="L15" s="6"/>
      <c r="M15" s="7"/>
      <c r="N15" s="6"/>
      <c r="O15" s="7"/>
      <c r="P15" s="6"/>
      <c r="Q15" s="7"/>
      <c r="R15" s="6"/>
      <c r="S15" s="7"/>
      <c r="T15" s="8"/>
    </row>
    <row r="16" spans="1:20" ht="14.4">
      <c r="A16" s="27">
        <v>4</v>
      </c>
      <c r="B16" s="28" t="s">
        <v>495</v>
      </c>
      <c r="C16" s="27">
        <v>25</v>
      </c>
      <c r="D16" s="27">
        <v>10</v>
      </c>
      <c r="E16" s="27"/>
      <c r="F16" s="29">
        <v>7112003</v>
      </c>
      <c r="G16" s="27">
        <v>8.5</v>
      </c>
      <c r="H16" s="5"/>
      <c r="I16" s="6"/>
      <c r="J16" s="5">
        <v>8</v>
      </c>
      <c r="K16" s="247">
        <v>999.8</v>
      </c>
      <c r="L16" s="6"/>
      <c r="M16" s="7"/>
      <c r="N16" s="6"/>
      <c r="O16" s="7"/>
      <c r="P16" s="6"/>
      <c r="Q16" s="7"/>
      <c r="R16" s="6"/>
      <c r="S16" s="7"/>
      <c r="T16" s="8"/>
    </row>
    <row r="17" spans="1:20" ht="14.4">
      <c r="A17" s="27">
        <v>5</v>
      </c>
      <c r="B17" s="28" t="s">
        <v>496</v>
      </c>
      <c r="C17" s="27">
        <v>35</v>
      </c>
      <c r="D17" s="27">
        <v>10</v>
      </c>
      <c r="E17" s="27"/>
      <c r="F17" s="29">
        <v>7112004</v>
      </c>
      <c r="G17" s="27">
        <v>10.4</v>
      </c>
      <c r="H17" s="5"/>
      <c r="I17" s="6"/>
      <c r="J17" s="5">
        <v>9</v>
      </c>
      <c r="K17" s="247">
        <v>999.8</v>
      </c>
      <c r="L17" s="6"/>
      <c r="M17" s="7"/>
      <c r="N17" s="6"/>
      <c r="O17" s="7"/>
      <c r="P17" s="6"/>
      <c r="Q17" s="7"/>
      <c r="R17" s="6"/>
      <c r="S17" s="7"/>
      <c r="T17" s="8"/>
    </row>
    <row r="18" spans="1:20" ht="14.4">
      <c r="A18" s="27">
        <v>6</v>
      </c>
      <c r="B18" s="28" t="s">
        <v>497</v>
      </c>
      <c r="C18" s="27">
        <v>50</v>
      </c>
      <c r="D18" s="27">
        <v>10</v>
      </c>
      <c r="E18" s="27"/>
      <c r="F18" s="29">
        <v>7112005</v>
      </c>
      <c r="G18" s="27">
        <v>13</v>
      </c>
      <c r="H18" s="5"/>
      <c r="I18" s="6"/>
      <c r="J18" s="5">
        <v>10</v>
      </c>
      <c r="K18" s="247">
        <v>999.7</v>
      </c>
      <c r="L18" s="6"/>
      <c r="M18" s="7"/>
      <c r="N18" s="6"/>
      <c r="O18" s="7"/>
      <c r="P18" s="6"/>
      <c r="Q18" s="7"/>
      <c r="R18" s="6"/>
      <c r="S18" s="7"/>
      <c r="T18" s="8"/>
    </row>
    <row r="19" spans="1:20" ht="14.4">
      <c r="A19" s="27">
        <v>7</v>
      </c>
      <c r="B19" s="28" t="s">
        <v>498</v>
      </c>
      <c r="C19" s="27">
        <v>80</v>
      </c>
      <c r="D19" s="27">
        <v>10</v>
      </c>
      <c r="E19" s="27"/>
      <c r="F19" s="29">
        <v>7112006</v>
      </c>
      <c r="G19" s="27">
        <v>17.399999999999999</v>
      </c>
      <c r="H19" s="5"/>
      <c r="I19" s="6"/>
      <c r="J19" s="5">
        <v>11</v>
      </c>
      <c r="K19" s="247">
        <v>999.6</v>
      </c>
      <c r="L19" s="6"/>
      <c r="M19" s="7"/>
      <c r="N19" s="6"/>
      <c r="O19" s="7"/>
      <c r="P19" s="6"/>
      <c r="Q19" s="7"/>
      <c r="R19" s="6"/>
      <c r="S19" s="7"/>
      <c r="T19" s="8"/>
    </row>
    <row r="20" spans="1:20" ht="14.4">
      <c r="A20" s="27">
        <v>8</v>
      </c>
      <c r="B20" s="28" t="s">
        <v>499</v>
      </c>
      <c r="C20" s="27">
        <v>140</v>
      </c>
      <c r="D20" s="27">
        <v>10</v>
      </c>
      <c r="F20" s="29">
        <v>7112007</v>
      </c>
      <c r="G20" s="27">
        <v>35</v>
      </c>
      <c r="H20" s="5"/>
      <c r="I20" s="6"/>
      <c r="J20" s="5">
        <v>12</v>
      </c>
      <c r="K20" s="247">
        <v>999.4</v>
      </c>
      <c r="L20" s="6"/>
      <c r="M20" s="7"/>
      <c r="N20" s="6"/>
      <c r="O20" s="7"/>
      <c r="P20" s="6"/>
      <c r="Q20" s="7"/>
      <c r="R20" s="6"/>
      <c r="S20" s="7"/>
      <c r="T20" s="8"/>
    </row>
    <row r="21" spans="1:20" ht="14.4">
      <c r="A21" s="27">
        <v>9</v>
      </c>
      <c r="B21" s="28" t="s">
        <v>500</v>
      </c>
      <c r="C21" s="27">
        <v>200</v>
      </c>
      <c r="D21" s="27">
        <v>10</v>
      </c>
      <c r="F21" s="29">
        <v>7112008</v>
      </c>
      <c r="G21" s="27">
        <v>41</v>
      </c>
      <c r="H21" s="5"/>
      <c r="I21" s="6"/>
      <c r="J21" s="5">
        <v>13</v>
      </c>
      <c r="K21" s="247">
        <v>999.3</v>
      </c>
      <c r="L21" s="6"/>
      <c r="M21" s="7"/>
      <c r="N21" s="6"/>
      <c r="O21" s="7"/>
      <c r="P21" s="6"/>
      <c r="Q21" s="7"/>
      <c r="R21" s="6"/>
      <c r="S21" s="7"/>
      <c r="T21" s="8"/>
    </row>
    <row r="22" spans="1:20" ht="14.4">
      <c r="A22" s="27">
        <v>10</v>
      </c>
      <c r="B22" s="28" t="s">
        <v>501</v>
      </c>
      <c r="C22" s="27">
        <v>300</v>
      </c>
      <c r="D22" s="27">
        <v>10</v>
      </c>
      <c r="F22" s="29">
        <v>7112009</v>
      </c>
      <c r="G22" s="27">
        <v>63</v>
      </c>
      <c r="H22" s="5"/>
      <c r="I22" s="6"/>
      <c r="J22" s="5">
        <v>14</v>
      </c>
      <c r="K22" s="247">
        <v>999.1</v>
      </c>
      <c r="L22" s="6"/>
      <c r="M22" s="7"/>
      <c r="N22" s="6"/>
      <c r="O22" s="7"/>
      <c r="P22" s="6"/>
      <c r="Q22" s="7"/>
      <c r="R22" s="6"/>
      <c r="S22" s="7"/>
      <c r="T22" s="8"/>
    </row>
    <row r="23" spans="1:20" ht="14.4">
      <c r="A23" s="27">
        <v>11</v>
      </c>
      <c r="B23" s="28" t="s">
        <v>502</v>
      </c>
      <c r="C23" s="27">
        <v>400</v>
      </c>
      <c r="D23" s="27">
        <v>10</v>
      </c>
      <c r="F23" s="29">
        <v>7112010</v>
      </c>
      <c r="G23" s="27">
        <v>72</v>
      </c>
      <c r="H23" s="5"/>
      <c r="I23" s="6"/>
      <c r="J23" s="5">
        <v>15</v>
      </c>
      <c r="K23" s="247">
        <v>999</v>
      </c>
      <c r="L23" s="6"/>
      <c r="M23" s="7"/>
      <c r="N23" s="6"/>
      <c r="O23" s="7"/>
      <c r="P23" s="6"/>
      <c r="Q23" s="7"/>
      <c r="R23" s="6"/>
      <c r="S23" s="7"/>
      <c r="T23" s="8"/>
    </row>
    <row r="24" spans="1:20" ht="14.4">
      <c r="A24" s="27">
        <v>12</v>
      </c>
      <c r="B24" s="28" t="s">
        <v>503</v>
      </c>
      <c r="C24" s="27">
        <v>500</v>
      </c>
      <c r="D24" s="27">
        <v>10</v>
      </c>
      <c r="F24" s="29">
        <v>7112011</v>
      </c>
      <c r="G24" s="27">
        <v>96</v>
      </c>
      <c r="H24" s="5"/>
      <c r="I24" s="6"/>
      <c r="J24" s="5">
        <v>16</v>
      </c>
      <c r="K24" s="247">
        <v>998.8</v>
      </c>
      <c r="L24" s="6"/>
      <c r="M24" s="7"/>
      <c r="N24" s="6"/>
      <c r="O24" s="7"/>
      <c r="P24" s="6"/>
      <c r="Q24" s="7"/>
      <c r="R24" s="6"/>
      <c r="S24" s="7"/>
      <c r="T24" s="8"/>
    </row>
    <row r="25" spans="1:20" ht="14.4">
      <c r="A25" s="27">
        <v>13</v>
      </c>
      <c r="B25" s="28" t="s">
        <v>504</v>
      </c>
      <c r="C25" s="27">
        <v>600</v>
      </c>
      <c r="D25" s="27">
        <v>10</v>
      </c>
      <c r="F25" s="29">
        <v>7112012</v>
      </c>
      <c r="G25" s="27">
        <v>105</v>
      </c>
      <c r="H25" s="5"/>
      <c r="I25" s="6"/>
      <c r="J25" s="5">
        <v>17</v>
      </c>
      <c r="K25" s="247">
        <v>998.7</v>
      </c>
      <c r="L25" s="6"/>
      <c r="M25" s="7"/>
      <c r="N25" s="6"/>
      <c r="O25" s="7"/>
      <c r="P25" s="6"/>
      <c r="Q25" s="7"/>
      <c r="R25" s="6"/>
      <c r="S25" s="7"/>
      <c r="T25" s="8"/>
    </row>
    <row r="26" spans="1:20" ht="14.4">
      <c r="A26" s="27">
        <v>14</v>
      </c>
      <c r="B26" s="28" t="s">
        <v>505</v>
      </c>
      <c r="C26" s="27">
        <v>700</v>
      </c>
      <c r="D26" s="27">
        <v>10</v>
      </c>
      <c r="F26" s="29">
        <v>7112013</v>
      </c>
      <c r="G26" s="27">
        <v>260</v>
      </c>
      <c r="H26" s="5"/>
      <c r="I26" s="11"/>
      <c r="J26" s="5">
        <v>18</v>
      </c>
      <c r="K26" s="247">
        <v>998.5</v>
      </c>
      <c r="L26" s="6"/>
      <c r="M26" s="7"/>
      <c r="N26" s="6"/>
      <c r="O26" s="7"/>
      <c r="P26" s="6"/>
      <c r="Q26" s="7"/>
      <c r="R26" s="6"/>
      <c r="S26" s="7"/>
      <c r="T26" s="8"/>
    </row>
    <row r="27" spans="1:20" ht="14.4">
      <c r="A27" s="27">
        <v>15</v>
      </c>
      <c r="B27" s="28" t="s">
        <v>506</v>
      </c>
      <c r="C27" s="27">
        <v>1000</v>
      </c>
      <c r="D27" s="27">
        <v>10</v>
      </c>
      <c r="F27" s="29">
        <v>7112014</v>
      </c>
      <c r="G27" s="27">
        <v>355</v>
      </c>
      <c r="H27" s="5"/>
      <c r="I27" s="11"/>
      <c r="J27" s="5">
        <v>19</v>
      </c>
      <c r="K27" s="247">
        <v>998.4</v>
      </c>
      <c r="L27" s="6"/>
      <c r="M27" s="7"/>
      <c r="N27" s="6"/>
      <c r="O27" s="7"/>
      <c r="P27" s="6"/>
      <c r="Q27" s="7"/>
      <c r="R27" s="6"/>
      <c r="S27" s="7"/>
      <c r="T27" s="8"/>
    </row>
    <row r="28" spans="1:20" ht="14.4">
      <c r="A28" s="27">
        <v>16</v>
      </c>
      <c r="B28" s="28" t="s">
        <v>507</v>
      </c>
      <c r="C28" s="27">
        <v>1500</v>
      </c>
      <c r="D28" s="27">
        <v>10</v>
      </c>
      <c r="F28" s="29">
        <v>7112015</v>
      </c>
      <c r="G28" s="27">
        <v>475</v>
      </c>
      <c r="H28" s="5"/>
      <c r="I28" s="11"/>
      <c r="J28" s="5">
        <v>20</v>
      </c>
      <c r="K28" s="248">
        <v>998.2</v>
      </c>
      <c r="L28" s="6"/>
      <c r="M28" s="7"/>
      <c r="N28" s="6"/>
      <c r="O28" s="7"/>
      <c r="P28" s="6"/>
      <c r="Q28" s="7"/>
      <c r="R28" s="6"/>
      <c r="S28" s="7"/>
      <c r="T28" s="8"/>
    </row>
    <row r="29" spans="1:20" ht="14.4">
      <c r="A29" s="27">
        <v>17</v>
      </c>
      <c r="B29" s="28" t="s">
        <v>508</v>
      </c>
      <c r="C29" s="27">
        <v>2000</v>
      </c>
      <c r="D29" s="27">
        <v>10</v>
      </c>
      <c r="F29" s="29">
        <v>7112016</v>
      </c>
      <c r="G29" s="27">
        <v>775</v>
      </c>
      <c r="H29" s="5"/>
      <c r="I29" s="11"/>
      <c r="J29" s="5">
        <v>21</v>
      </c>
      <c r="K29" s="248">
        <v>998</v>
      </c>
      <c r="L29" s="6"/>
      <c r="M29" s="7"/>
      <c r="N29" s="6"/>
      <c r="O29" s="7"/>
      <c r="P29" s="6"/>
      <c r="Q29" s="7"/>
      <c r="R29" s="6"/>
      <c r="S29" s="7"/>
      <c r="T29" s="8"/>
    </row>
    <row r="30" spans="1:20" ht="14.4">
      <c r="A30" s="27">
        <v>18</v>
      </c>
      <c r="B30" s="28" t="s">
        <v>509</v>
      </c>
      <c r="C30" s="27">
        <v>3000</v>
      </c>
      <c r="D30" s="27">
        <v>10</v>
      </c>
      <c r="F30" s="29">
        <v>7112017</v>
      </c>
      <c r="G30" s="27">
        <v>935</v>
      </c>
      <c r="H30" s="5"/>
      <c r="I30" s="11"/>
      <c r="J30" s="5">
        <v>22</v>
      </c>
      <c r="K30" s="248">
        <v>997.7</v>
      </c>
      <c r="L30" s="6"/>
      <c r="M30" s="7"/>
      <c r="N30" s="6"/>
      <c r="O30" s="7"/>
      <c r="P30" s="6"/>
      <c r="Q30" s="7"/>
      <c r="R30" s="6"/>
      <c r="S30" s="7"/>
      <c r="T30" s="8"/>
    </row>
    <row r="31" spans="1:20" ht="14.4">
      <c r="A31" s="27">
        <v>19</v>
      </c>
      <c r="B31" s="28" t="s">
        <v>510</v>
      </c>
      <c r="C31" s="27">
        <v>4000</v>
      </c>
      <c r="D31" s="27">
        <v>10</v>
      </c>
      <c r="F31" s="29">
        <v>7112018</v>
      </c>
      <c r="G31" s="27">
        <v>1080</v>
      </c>
      <c r="H31" s="5"/>
      <c r="I31" s="11"/>
      <c r="J31" s="5">
        <v>23</v>
      </c>
      <c r="K31" s="248">
        <v>997.5</v>
      </c>
      <c r="L31" s="6"/>
      <c r="M31" s="7"/>
      <c r="N31" s="6"/>
      <c r="O31" s="7"/>
      <c r="P31" s="6"/>
      <c r="Q31" s="7"/>
      <c r="R31" s="6"/>
      <c r="S31" s="7"/>
      <c r="T31" s="8"/>
    </row>
    <row r="32" spans="1:20" ht="14.4">
      <c r="A32" s="27">
        <v>20</v>
      </c>
      <c r="B32" s="28" t="s">
        <v>511</v>
      </c>
      <c r="C32" s="27">
        <v>5000</v>
      </c>
      <c r="D32" s="27">
        <v>10</v>
      </c>
      <c r="F32" s="29">
        <v>7112019</v>
      </c>
      <c r="G32" s="27">
        <v>1200</v>
      </c>
      <c r="H32" s="5"/>
      <c r="I32" s="11"/>
      <c r="J32" s="5">
        <v>24</v>
      </c>
      <c r="K32" s="248">
        <v>997.2</v>
      </c>
      <c r="L32" s="6"/>
      <c r="M32" s="7"/>
      <c r="N32" s="6"/>
      <c r="O32" s="7"/>
      <c r="P32" s="6"/>
      <c r="Q32" s="7"/>
      <c r="R32" s="6"/>
      <c r="S32" s="7"/>
      <c r="T32" s="8"/>
    </row>
    <row r="33" spans="1:20" ht="14.4">
      <c r="A33" s="27">
        <v>21</v>
      </c>
      <c r="B33" s="28" t="s">
        <v>512</v>
      </c>
      <c r="C33" s="27">
        <v>300</v>
      </c>
      <c r="D33" s="27">
        <v>16</v>
      </c>
      <c r="F33" s="29">
        <v>7114000</v>
      </c>
      <c r="G33" s="27">
        <v>200</v>
      </c>
      <c r="H33" s="5"/>
      <c r="I33" s="11"/>
      <c r="J33" s="5">
        <v>25</v>
      </c>
      <c r="K33" s="248">
        <v>997</v>
      </c>
      <c r="L33" s="6"/>
      <c r="M33" s="7"/>
      <c r="N33" s="6"/>
      <c r="O33" s="7"/>
      <c r="P33" s="6"/>
      <c r="Q33" s="7"/>
      <c r="R33" s="6"/>
      <c r="S33" s="7"/>
      <c r="T33" s="8"/>
    </row>
    <row r="34" spans="1:20" ht="14.4">
      <c r="A34" s="27">
        <v>22</v>
      </c>
      <c r="B34" s="28" t="s">
        <v>513</v>
      </c>
      <c r="C34" s="27">
        <v>500</v>
      </c>
      <c r="D34" s="27">
        <v>16</v>
      </c>
      <c r="F34" s="29">
        <v>7114001</v>
      </c>
      <c r="G34" s="27">
        <v>270</v>
      </c>
      <c r="H34" s="5"/>
      <c r="I34" s="11"/>
      <c r="J34" s="5">
        <v>26</v>
      </c>
      <c r="K34" s="248">
        <v>996.7</v>
      </c>
      <c r="L34" s="6"/>
      <c r="M34" s="7"/>
      <c r="N34" s="6"/>
      <c r="O34" s="7"/>
      <c r="P34" s="6"/>
      <c r="Q34" s="7"/>
      <c r="R34" s="6"/>
      <c r="S34" s="7"/>
      <c r="T34" s="8"/>
    </row>
    <row r="35" spans="1:20" ht="14.4">
      <c r="A35" s="27">
        <v>23</v>
      </c>
      <c r="B35" s="28" t="s">
        <v>514</v>
      </c>
      <c r="C35" s="27">
        <v>700</v>
      </c>
      <c r="D35" s="27">
        <v>16</v>
      </c>
      <c r="F35" s="29">
        <v>7114002</v>
      </c>
      <c r="G35" s="27">
        <v>300</v>
      </c>
      <c r="H35" s="5"/>
      <c r="I35" s="11"/>
      <c r="J35" s="5">
        <v>27</v>
      </c>
      <c r="K35" s="248">
        <v>996.5</v>
      </c>
      <c r="L35" s="6"/>
      <c r="M35" s="7"/>
      <c r="N35" s="6"/>
      <c r="O35" s="7"/>
      <c r="P35" s="6"/>
      <c r="Q35" s="7"/>
      <c r="R35" s="6"/>
      <c r="S35" s="7"/>
      <c r="T35" s="8"/>
    </row>
    <row r="36" spans="1:20" ht="14.4">
      <c r="A36" s="27">
        <v>24</v>
      </c>
      <c r="B36" s="28" t="s">
        <v>515</v>
      </c>
      <c r="C36" s="27">
        <v>1000</v>
      </c>
      <c r="D36" s="27">
        <v>16</v>
      </c>
      <c r="F36" s="29">
        <v>7114003</v>
      </c>
      <c r="G36" s="27">
        <v>410</v>
      </c>
      <c r="H36" s="5"/>
      <c r="I36" s="11"/>
      <c r="J36" s="5">
        <v>28</v>
      </c>
      <c r="K36" s="248">
        <v>996.2</v>
      </c>
      <c r="L36" s="6"/>
      <c r="M36" s="7"/>
      <c r="N36" s="6"/>
      <c r="O36" s="7"/>
      <c r="P36" s="6"/>
      <c r="Q36" s="7"/>
      <c r="R36" s="6"/>
      <c r="S36" s="7"/>
      <c r="T36" s="8"/>
    </row>
    <row r="37" spans="1:20" ht="14.4">
      <c r="A37" s="27">
        <v>25</v>
      </c>
      <c r="B37" s="28" t="s">
        <v>516</v>
      </c>
      <c r="C37" s="27">
        <v>1500</v>
      </c>
      <c r="D37" s="27">
        <v>16</v>
      </c>
      <c r="F37" s="29">
        <v>7114004</v>
      </c>
      <c r="G37" s="27">
        <v>540</v>
      </c>
      <c r="H37" s="5"/>
      <c r="I37" s="11"/>
      <c r="J37" s="5">
        <v>29</v>
      </c>
      <c r="K37" s="248">
        <v>996</v>
      </c>
      <c r="L37" s="6"/>
      <c r="M37" s="7"/>
      <c r="N37" s="6"/>
      <c r="O37" s="7"/>
      <c r="P37" s="6"/>
      <c r="Q37" s="7"/>
      <c r="R37" s="6"/>
      <c r="S37" s="7"/>
      <c r="T37" s="8"/>
    </row>
    <row r="38" spans="1:20" ht="14.4">
      <c r="A38" s="27">
        <v>26</v>
      </c>
      <c r="B38" s="28" t="s">
        <v>517</v>
      </c>
      <c r="C38" s="27">
        <v>2000</v>
      </c>
      <c r="D38" s="27">
        <v>16</v>
      </c>
      <c r="F38" s="29">
        <v>7114005</v>
      </c>
      <c r="G38" s="27">
        <v>860</v>
      </c>
      <c r="H38" s="5"/>
      <c r="I38" s="11"/>
      <c r="J38" s="5">
        <v>30</v>
      </c>
      <c r="K38" s="248">
        <v>995.7</v>
      </c>
      <c r="L38" s="6"/>
      <c r="M38" s="7"/>
      <c r="N38" s="6"/>
      <c r="O38" s="7"/>
      <c r="P38" s="6"/>
      <c r="Q38" s="7"/>
      <c r="R38" s="6"/>
      <c r="S38" s="7"/>
      <c r="T38" s="8"/>
    </row>
    <row r="39" spans="1:20" ht="14.4">
      <c r="A39" s="27">
        <v>27</v>
      </c>
      <c r="B39" s="28" t="s">
        <v>518</v>
      </c>
      <c r="C39" s="27">
        <v>3000</v>
      </c>
      <c r="D39" s="27">
        <v>16</v>
      </c>
      <c r="F39" s="29">
        <v>7114006</v>
      </c>
      <c r="G39" s="27">
        <v>1040</v>
      </c>
      <c r="H39" s="5"/>
      <c r="I39" s="11"/>
      <c r="J39" s="5">
        <v>31</v>
      </c>
      <c r="K39" s="248">
        <v>995.4</v>
      </c>
      <c r="L39" s="6"/>
      <c r="M39" s="7"/>
      <c r="N39" s="6"/>
      <c r="O39" s="7"/>
      <c r="P39" s="6"/>
      <c r="Q39" s="7"/>
      <c r="R39" s="6"/>
      <c r="S39" s="7"/>
      <c r="T39" s="8"/>
    </row>
    <row r="40" spans="1:20" ht="14.4">
      <c r="A40" s="27">
        <v>28</v>
      </c>
      <c r="B40" s="28" t="s">
        <v>519</v>
      </c>
      <c r="C40" s="27">
        <v>4000</v>
      </c>
      <c r="D40" s="27">
        <v>16</v>
      </c>
      <c r="F40" s="29">
        <v>7114007</v>
      </c>
      <c r="G40" s="27">
        <v>1195</v>
      </c>
      <c r="H40" s="5"/>
      <c r="I40" s="11"/>
      <c r="J40" s="5">
        <v>32</v>
      </c>
      <c r="K40" s="248">
        <v>995</v>
      </c>
      <c r="L40" s="6"/>
      <c r="M40" s="7"/>
      <c r="N40" s="6"/>
      <c r="O40" s="7"/>
      <c r="P40" s="6"/>
      <c r="Q40" s="7"/>
      <c r="R40" s="6"/>
      <c r="S40" s="7"/>
      <c r="T40" s="8"/>
    </row>
    <row r="41" spans="1:20" ht="14.4">
      <c r="A41" s="27">
        <v>29</v>
      </c>
      <c r="B41" s="28" t="s">
        <v>520</v>
      </c>
      <c r="C41" s="27">
        <v>5000</v>
      </c>
      <c r="D41" s="27">
        <v>16</v>
      </c>
      <c r="F41" s="29">
        <v>7114008</v>
      </c>
      <c r="G41" s="27">
        <v>1335</v>
      </c>
      <c r="H41" s="5"/>
      <c r="I41" s="11"/>
      <c r="J41" s="5">
        <v>33</v>
      </c>
      <c r="K41" s="248">
        <v>994.7</v>
      </c>
      <c r="L41" s="6"/>
      <c r="M41" s="7"/>
      <c r="N41" s="6"/>
      <c r="O41" s="7"/>
      <c r="P41" s="6"/>
      <c r="Q41" s="7"/>
      <c r="R41" s="6"/>
      <c r="S41" s="7"/>
      <c r="T41" s="8"/>
    </row>
    <row r="42" spans="1:20" ht="14.4">
      <c r="H42" s="5"/>
      <c r="I42" s="11"/>
      <c r="J42" s="5">
        <v>34</v>
      </c>
      <c r="K42" s="248">
        <v>994.3</v>
      </c>
      <c r="L42" s="6"/>
      <c r="M42" s="7"/>
      <c r="N42" s="6"/>
      <c r="O42" s="7"/>
      <c r="P42" s="6"/>
      <c r="Q42" s="7"/>
      <c r="R42" s="6"/>
      <c r="S42" s="7"/>
      <c r="T42" s="8"/>
    </row>
    <row r="43" spans="1:20" ht="14.4">
      <c r="H43" s="5"/>
      <c r="I43" s="11"/>
      <c r="J43" s="5">
        <v>35</v>
      </c>
      <c r="K43" s="248">
        <v>994</v>
      </c>
      <c r="L43" s="6"/>
      <c r="M43" s="7"/>
      <c r="N43" s="6"/>
      <c r="O43" s="7"/>
      <c r="P43" s="6"/>
      <c r="Q43" s="7"/>
      <c r="R43" s="6"/>
      <c r="S43" s="7"/>
      <c r="T43" s="8"/>
    </row>
    <row r="44" spans="1:20" ht="14.4">
      <c r="H44" s="5"/>
      <c r="I44" s="11"/>
      <c r="J44" s="5">
        <v>36</v>
      </c>
      <c r="K44" s="248">
        <v>993.6</v>
      </c>
      <c r="L44" s="6"/>
      <c r="M44" s="7"/>
      <c r="N44" s="6"/>
      <c r="O44" s="7"/>
      <c r="P44" s="6"/>
      <c r="Q44" s="7"/>
      <c r="R44" s="6"/>
      <c r="S44" s="7"/>
      <c r="T44" s="8"/>
    </row>
    <row r="45" spans="1:20" ht="14.4">
      <c r="H45" s="5"/>
      <c r="I45" s="11"/>
      <c r="J45" s="5">
        <v>37</v>
      </c>
      <c r="K45" s="248">
        <v>993.3</v>
      </c>
      <c r="L45" s="6"/>
      <c r="M45" s="7"/>
      <c r="N45" s="6"/>
      <c r="O45" s="7"/>
      <c r="P45" s="6"/>
      <c r="Q45" s="7"/>
      <c r="R45" s="6"/>
      <c r="S45" s="7"/>
      <c r="T45" s="8"/>
    </row>
    <row r="46" spans="1:20" ht="14.4">
      <c r="H46" s="5"/>
      <c r="I46" s="11"/>
      <c r="J46" s="5">
        <v>38</v>
      </c>
      <c r="K46" s="248">
        <v>992.9</v>
      </c>
      <c r="L46" s="14"/>
      <c r="M46" s="11"/>
      <c r="N46" s="14"/>
      <c r="O46" s="11"/>
      <c r="P46" s="14"/>
      <c r="Q46" s="11"/>
      <c r="R46" s="14"/>
      <c r="S46" s="11"/>
      <c r="T46" s="8"/>
    </row>
    <row r="47" spans="1:20" ht="14.4">
      <c r="H47" s="5"/>
      <c r="I47" s="11"/>
      <c r="J47" s="5">
        <v>39</v>
      </c>
      <c r="K47" s="248">
        <v>992.6</v>
      </c>
      <c r="L47" s="14"/>
      <c r="M47" s="11"/>
      <c r="N47" s="14"/>
      <c r="O47" s="11"/>
      <c r="P47" s="14"/>
      <c r="Q47" s="11"/>
      <c r="R47" s="14"/>
      <c r="S47" s="11"/>
      <c r="T47" s="8"/>
    </row>
    <row r="48" spans="1:20" ht="14.4">
      <c r="H48" s="5"/>
      <c r="I48" s="11"/>
      <c r="J48" s="5">
        <v>40</v>
      </c>
      <c r="K48" s="248">
        <v>992.2</v>
      </c>
      <c r="L48" s="14"/>
      <c r="M48" s="11"/>
      <c r="N48" s="14"/>
      <c r="O48" s="11"/>
      <c r="P48" s="14"/>
      <c r="Q48" s="11"/>
      <c r="R48" s="14"/>
      <c r="S48" s="11"/>
      <c r="T48" s="8"/>
    </row>
    <row r="49" spans="8:20" ht="14.4">
      <c r="H49" s="5"/>
      <c r="I49" s="11"/>
      <c r="J49" s="5">
        <v>41</v>
      </c>
      <c r="K49" s="248">
        <v>991.8</v>
      </c>
      <c r="L49" s="14"/>
      <c r="M49" s="11"/>
      <c r="N49" s="14"/>
      <c r="O49" s="11"/>
      <c r="P49" s="14"/>
      <c r="Q49" s="11"/>
      <c r="R49" s="14"/>
      <c r="S49" s="11"/>
      <c r="T49" s="8"/>
    </row>
    <row r="50" spans="8:20" ht="14.4">
      <c r="H50" s="5"/>
      <c r="I50" s="11"/>
      <c r="J50" s="5">
        <v>42</v>
      </c>
      <c r="K50" s="248">
        <v>991.4</v>
      </c>
      <c r="L50" s="14"/>
      <c r="M50" s="11"/>
      <c r="N50" s="14"/>
      <c r="O50" s="11"/>
      <c r="P50" s="14"/>
      <c r="Q50" s="11"/>
      <c r="R50" s="14"/>
      <c r="S50" s="11"/>
      <c r="T50" s="8"/>
    </row>
    <row r="51" spans="8:20" ht="14.4">
      <c r="H51" s="5"/>
      <c r="I51" s="11"/>
      <c r="J51" s="5">
        <v>43</v>
      </c>
      <c r="K51" s="248">
        <v>991</v>
      </c>
      <c r="L51" s="14"/>
      <c r="M51" s="11"/>
      <c r="N51" s="14"/>
      <c r="O51" s="11"/>
      <c r="P51" s="14"/>
      <c r="Q51" s="11"/>
      <c r="R51" s="14"/>
      <c r="S51" s="11"/>
      <c r="T51" s="8"/>
    </row>
    <row r="52" spans="8:20" ht="14.4">
      <c r="H52" s="5"/>
      <c r="I52" s="11"/>
      <c r="J52" s="5">
        <v>44</v>
      </c>
      <c r="K52" s="248">
        <v>990.6</v>
      </c>
      <c r="L52" s="14"/>
      <c r="M52" s="11"/>
      <c r="N52" s="14"/>
      <c r="O52" s="11"/>
      <c r="P52" s="14"/>
      <c r="Q52" s="11"/>
      <c r="R52" s="14"/>
      <c r="S52" s="11"/>
      <c r="T52" s="8"/>
    </row>
    <row r="53" spans="8:20" ht="14.4">
      <c r="H53" s="5"/>
      <c r="I53" s="11"/>
      <c r="J53" s="5">
        <v>45</v>
      </c>
      <c r="K53" s="248">
        <v>990.2</v>
      </c>
      <c r="L53" s="14"/>
      <c r="M53" s="11"/>
      <c r="N53" s="14"/>
      <c r="O53" s="11"/>
      <c r="P53" s="14"/>
      <c r="Q53" s="11"/>
      <c r="R53" s="14"/>
      <c r="S53" s="11"/>
      <c r="T53" s="8"/>
    </row>
    <row r="54" spans="8:20" ht="14.4">
      <c r="H54" s="5"/>
      <c r="I54" s="11"/>
      <c r="J54" s="5">
        <v>46</v>
      </c>
      <c r="K54" s="248">
        <v>989.8</v>
      </c>
      <c r="L54" s="14"/>
      <c r="M54" s="11"/>
      <c r="N54" s="14"/>
      <c r="O54" s="11"/>
      <c r="P54" s="14"/>
      <c r="Q54" s="11"/>
      <c r="R54" s="14"/>
      <c r="S54" s="11"/>
      <c r="T54" s="8"/>
    </row>
    <row r="55" spans="8:20" ht="14.4">
      <c r="H55" s="5"/>
      <c r="I55" s="11"/>
      <c r="J55" s="5">
        <v>47</v>
      </c>
      <c r="K55" s="248">
        <v>989.4</v>
      </c>
      <c r="L55" s="14"/>
      <c r="M55" s="11"/>
      <c r="N55" s="14"/>
      <c r="O55" s="11"/>
      <c r="P55" s="14"/>
      <c r="Q55" s="11"/>
      <c r="R55" s="14"/>
      <c r="S55" s="11"/>
      <c r="T55" s="8"/>
    </row>
    <row r="56" spans="8:20" ht="14.4">
      <c r="H56" s="5"/>
      <c r="I56" s="11"/>
      <c r="J56" s="5">
        <v>48</v>
      </c>
      <c r="K56" s="248">
        <v>988.9</v>
      </c>
      <c r="L56" s="14"/>
      <c r="M56" s="11"/>
      <c r="N56" s="14"/>
      <c r="O56" s="11"/>
      <c r="P56" s="14"/>
      <c r="Q56" s="11"/>
      <c r="R56" s="14"/>
      <c r="S56" s="11"/>
      <c r="T56" s="8"/>
    </row>
    <row r="57" spans="8:20" ht="14.4">
      <c r="H57" s="5"/>
      <c r="I57" s="11"/>
      <c r="J57" s="5">
        <v>49</v>
      </c>
      <c r="K57" s="248">
        <v>988.5</v>
      </c>
      <c r="L57" s="14"/>
      <c r="M57" s="11"/>
      <c r="N57" s="14"/>
      <c r="O57" s="11"/>
      <c r="P57" s="14"/>
      <c r="Q57" s="11"/>
      <c r="R57" s="14"/>
      <c r="S57" s="11"/>
      <c r="T57" s="8"/>
    </row>
    <row r="58" spans="8:20" ht="14.4">
      <c r="H58" s="5"/>
      <c r="I58" s="11"/>
      <c r="J58" s="5">
        <v>50</v>
      </c>
      <c r="K58" s="248">
        <v>988</v>
      </c>
      <c r="L58" s="14"/>
      <c r="M58" s="11"/>
      <c r="N58" s="14"/>
      <c r="O58" s="11"/>
      <c r="P58" s="14"/>
      <c r="Q58" s="11"/>
      <c r="R58" s="14"/>
      <c r="S58" s="11"/>
      <c r="T58" s="8"/>
    </row>
    <row r="59" spans="8:20" ht="14.4">
      <c r="H59" s="5"/>
      <c r="I59" s="11"/>
      <c r="J59" s="5">
        <v>51</v>
      </c>
      <c r="K59" s="248">
        <v>987.6</v>
      </c>
      <c r="L59" s="14"/>
      <c r="M59" s="11"/>
      <c r="N59" s="14"/>
      <c r="O59" s="11"/>
      <c r="P59" s="14"/>
      <c r="Q59" s="11"/>
      <c r="R59" s="14"/>
      <c r="S59" s="11"/>
      <c r="T59" s="8"/>
    </row>
    <row r="60" spans="8:20" ht="14.4">
      <c r="H60" s="5"/>
      <c r="I60" s="11"/>
      <c r="J60" s="5">
        <v>52</v>
      </c>
      <c r="K60" s="248">
        <v>987.1</v>
      </c>
      <c r="L60" s="14"/>
      <c r="M60" s="11"/>
      <c r="N60" s="14"/>
      <c r="O60" s="11"/>
      <c r="P60" s="14"/>
      <c r="Q60" s="11"/>
      <c r="R60" s="14"/>
      <c r="S60" s="11"/>
      <c r="T60" s="8"/>
    </row>
    <row r="61" spans="8:20" ht="14.4">
      <c r="H61" s="5"/>
      <c r="I61" s="11"/>
      <c r="J61" s="5">
        <v>53</v>
      </c>
      <c r="K61" s="248">
        <v>986.6</v>
      </c>
      <c r="L61" s="14"/>
      <c r="M61" s="11"/>
      <c r="N61" s="14"/>
      <c r="O61" s="11"/>
      <c r="P61" s="14"/>
      <c r="Q61" s="11"/>
      <c r="R61" s="14"/>
      <c r="S61" s="11"/>
      <c r="T61" s="8"/>
    </row>
    <row r="62" spans="8:20" ht="14.4">
      <c r="H62" s="5"/>
      <c r="I62" s="11"/>
      <c r="J62" s="5">
        <v>54</v>
      </c>
      <c r="K62" s="248">
        <v>986.2</v>
      </c>
      <c r="L62" s="14"/>
      <c r="M62" s="11"/>
      <c r="N62" s="14"/>
      <c r="O62" s="11"/>
      <c r="P62" s="14"/>
      <c r="Q62" s="11"/>
      <c r="R62" s="14"/>
      <c r="S62" s="11"/>
      <c r="T62" s="8"/>
    </row>
    <row r="63" spans="8:20" ht="14.4">
      <c r="H63" s="5"/>
      <c r="I63" s="11"/>
      <c r="J63" s="5">
        <v>55</v>
      </c>
      <c r="K63" s="248">
        <v>985.7</v>
      </c>
      <c r="L63" s="14"/>
      <c r="M63" s="11"/>
      <c r="N63" s="14"/>
      <c r="O63" s="11"/>
      <c r="P63" s="14"/>
      <c r="Q63" s="11"/>
      <c r="R63" s="14"/>
      <c r="S63" s="11"/>
      <c r="T63" s="8"/>
    </row>
    <row r="64" spans="8:20" ht="14.4">
      <c r="H64" s="5"/>
      <c r="I64" s="11"/>
      <c r="J64" s="5">
        <v>56</v>
      </c>
      <c r="K64" s="248">
        <v>985.2</v>
      </c>
      <c r="L64" s="14"/>
      <c r="M64" s="11"/>
      <c r="N64" s="14"/>
      <c r="O64" s="11"/>
      <c r="P64" s="14"/>
      <c r="Q64" s="11"/>
      <c r="R64" s="14"/>
      <c r="S64" s="11"/>
      <c r="T64" s="8"/>
    </row>
    <row r="65" spans="8:20" ht="14.4">
      <c r="H65" s="5"/>
      <c r="I65" s="11"/>
      <c r="J65" s="5">
        <v>57</v>
      </c>
      <c r="K65" s="248">
        <v>984.7</v>
      </c>
      <c r="L65" s="14"/>
      <c r="M65" s="11"/>
      <c r="N65" s="14"/>
      <c r="O65" s="11"/>
      <c r="P65" s="14"/>
      <c r="Q65" s="11"/>
      <c r="R65" s="14"/>
      <c r="S65" s="11"/>
      <c r="T65" s="8"/>
    </row>
    <row r="66" spans="8:20" ht="14.4">
      <c r="H66" s="5"/>
      <c r="I66" s="11"/>
      <c r="J66" s="5">
        <v>58</v>
      </c>
      <c r="K66" s="248">
        <v>984.2</v>
      </c>
      <c r="L66" s="14"/>
      <c r="M66" s="11"/>
      <c r="N66" s="14"/>
      <c r="O66" s="11"/>
      <c r="P66" s="14"/>
      <c r="Q66" s="11"/>
      <c r="R66" s="14"/>
      <c r="S66" s="11"/>
      <c r="T66" s="8"/>
    </row>
    <row r="67" spans="8:20" ht="14.4">
      <c r="H67" s="5"/>
      <c r="I67" s="11"/>
      <c r="J67" s="5">
        <v>59</v>
      </c>
      <c r="K67" s="248">
        <v>983.7</v>
      </c>
      <c r="L67" s="14"/>
      <c r="M67" s="11"/>
      <c r="N67" s="14"/>
      <c r="O67" s="11"/>
      <c r="P67" s="14"/>
      <c r="Q67" s="11"/>
      <c r="R67" s="14"/>
      <c r="S67" s="11"/>
      <c r="T67" s="8"/>
    </row>
    <row r="68" spans="8:20" ht="14.4">
      <c r="H68" s="5"/>
      <c r="I68" s="11"/>
      <c r="J68" s="5">
        <v>60</v>
      </c>
      <c r="K68" s="248">
        <v>983.2</v>
      </c>
      <c r="L68" s="14"/>
      <c r="M68" s="11"/>
      <c r="N68" s="14"/>
      <c r="O68" s="11"/>
      <c r="P68" s="14"/>
      <c r="Q68" s="11"/>
      <c r="R68" s="14"/>
      <c r="S68" s="11"/>
      <c r="T68" s="8"/>
    </row>
    <row r="69" spans="8:20" ht="14.4">
      <c r="H69" s="5"/>
      <c r="I69" s="11"/>
      <c r="J69" s="5">
        <v>61</v>
      </c>
      <c r="K69" s="248">
        <v>982.7</v>
      </c>
      <c r="L69" s="14"/>
      <c r="M69" s="11"/>
      <c r="N69" s="14"/>
      <c r="O69" s="11"/>
      <c r="P69" s="14"/>
      <c r="Q69" s="11"/>
      <c r="R69" s="14"/>
      <c r="S69" s="11"/>
      <c r="T69" s="8"/>
    </row>
    <row r="70" spans="8:20" ht="14.4">
      <c r="H70" s="5"/>
      <c r="I70" s="11"/>
      <c r="J70" s="5">
        <v>62</v>
      </c>
      <c r="K70" s="248">
        <v>982.2</v>
      </c>
      <c r="L70" s="14"/>
      <c r="M70" s="11"/>
      <c r="N70" s="14"/>
      <c r="O70" s="11"/>
      <c r="P70" s="14"/>
      <c r="Q70" s="11"/>
      <c r="R70" s="14"/>
      <c r="S70" s="11"/>
      <c r="T70" s="8"/>
    </row>
    <row r="71" spans="8:20" ht="14.4">
      <c r="H71" s="5"/>
      <c r="I71" s="11"/>
      <c r="J71" s="5">
        <v>63</v>
      </c>
      <c r="K71" s="248">
        <v>981.6</v>
      </c>
      <c r="L71" s="14"/>
      <c r="M71" s="11"/>
      <c r="N71" s="14"/>
      <c r="O71" s="11"/>
      <c r="P71" s="14"/>
      <c r="Q71" s="11"/>
      <c r="R71" s="14"/>
      <c r="S71" s="11"/>
      <c r="T71" s="8"/>
    </row>
    <row r="72" spans="8:20" ht="14.4">
      <c r="H72" s="5"/>
      <c r="I72" s="11"/>
      <c r="J72" s="5">
        <v>64</v>
      </c>
      <c r="K72" s="248">
        <v>981.1</v>
      </c>
      <c r="L72" s="14"/>
      <c r="M72" s="11"/>
      <c r="N72" s="14"/>
      <c r="O72" s="11"/>
      <c r="P72" s="14"/>
      <c r="Q72" s="11"/>
      <c r="R72" s="14"/>
      <c r="S72" s="11"/>
      <c r="T72" s="8"/>
    </row>
    <row r="73" spans="8:20" ht="14.4">
      <c r="H73" s="5"/>
      <c r="I73" s="11"/>
      <c r="J73" s="5">
        <v>65</v>
      </c>
      <c r="K73" s="248">
        <v>980.5</v>
      </c>
      <c r="L73" s="14"/>
      <c r="M73" s="11"/>
      <c r="N73" s="14"/>
      <c r="O73" s="11"/>
      <c r="P73" s="14"/>
      <c r="Q73" s="11"/>
      <c r="R73" s="14"/>
      <c r="S73" s="11"/>
      <c r="T73" s="8"/>
    </row>
    <row r="74" spans="8:20" ht="14.4">
      <c r="H74" s="5"/>
      <c r="I74" s="11"/>
      <c r="J74" s="5">
        <v>66</v>
      </c>
      <c r="K74" s="248">
        <v>980</v>
      </c>
      <c r="L74" s="14"/>
      <c r="M74" s="11"/>
      <c r="N74" s="14"/>
      <c r="O74" s="11"/>
      <c r="P74" s="14"/>
      <c r="Q74" s="11"/>
      <c r="R74" s="14"/>
      <c r="S74" s="11"/>
      <c r="T74" s="8"/>
    </row>
    <row r="75" spans="8:20" ht="14.4">
      <c r="H75" s="5"/>
      <c r="I75" s="11"/>
      <c r="J75" s="5">
        <v>67</v>
      </c>
      <c r="K75" s="248">
        <v>979.4</v>
      </c>
      <c r="L75" s="14"/>
      <c r="M75" s="11"/>
      <c r="N75" s="14"/>
      <c r="O75" s="11"/>
      <c r="P75" s="14"/>
      <c r="Q75" s="11"/>
      <c r="R75" s="14"/>
      <c r="S75" s="11"/>
      <c r="T75" s="8"/>
    </row>
    <row r="76" spans="8:20" ht="14.4">
      <c r="H76" s="5"/>
      <c r="I76" s="11"/>
      <c r="J76" s="5">
        <v>68</v>
      </c>
      <c r="K76" s="248">
        <v>978.9</v>
      </c>
      <c r="L76" s="14"/>
      <c r="M76" s="11"/>
      <c r="N76" s="14"/>
      <c r="O76" s="11"/>
      <c r="P76" s="14"/>
      <c r="Q76" s="11"/>
      <c r="R76" s="14"/>
      <c r="S76" s="11"/>
      <c r="T76" s="8"/>
    </row>
    <row r="77" spans="8:20" ht="14.4">
      <c r="H77" s="5"/>
      <c r="I77" s="11"/>
      <c r="J77" s="5">
        <v>69</v>
      </c>
      <c r="K77" s="248">
        <v>978.3</v>
      </c>
      <c r="L77" s="14"/>
      <c r="M77" s="11"/>
      <c r="N77" s="14"/>
      <c r="O77" s="11"/>
      <c r="P77" s="14"/>
      <c r="Q77" s="11"/>
      <c r="R77" s="14"/>
      <c r="S77" s="11"/>
      <c r="T77" s="8"/>
    </row>
    <row r="78" spans="8:20" ht="14.4">
      <c r="H78" s="5"/>
      <c r="I78" s="11"/>
      <c r="J78" s="5">
        <v>70</v>
      </c>
      <c r="K78" s="248">
        <v>977.8</v>
      </c>
      <c r="L78" s="14"/>
      <c r="M78" s="11"/>
      <c r="N78" s="14"/>
      <c r="O78" s="11"/>
      <c r="P78" s="14"/>
      <c r="Q78" s="11"/>
      <c r="R78" s="14"/>
      <c r="S78" s="11"/>
      <c r="T78" s="8"/>
    </row>
    <row r="79" spans="8:20" ht="14.4">
      <c r="H79" s="5"/>
      <c r="I79" s="11"/>
      <c r="J79" s="5">
        <v>71</v>
      </c>
      <c r="K79" s="248">
        <v>977.2</v>
      </c>
      <c r="L79" s="14"/>
      <c r="M79" s="11"/>
      <c r="N79" s="14"/>
      <c r="O79" s="11"/>
      <c r="P79" s="14"/>
      <c r="Q79" s="11"/>
      <c r="R79" s="14"/>
      <c r="S79" s="11"/>
      <c r="T79" s="8"/>
    </row>
    <row r="80" spans="8:20" ht="14.4">
      <c r="H80" s="5"/>
      <c r="I80" s="11"/>
      <c r="J80" s="5">
        <v>72</v>
      </c>
      <c r="K80" s="248">
        <v>976.6</v>
      </c>
      <c r="L80" s="14"/>
      <c r="M80" s="11"/>
      <c r="N80" s="14"/>
      <c r="O80" s="11"/>
      <c r="P80" s="14"/>
      <c r="Q80" s="11"/>
      <c r="R80" s="14"/>
      <c r="S80" s="11"/>
      <c r="T80" s="8"/>
    </row>
    <row r="81" spans="8:20" ht="14.4">
      <c r="H81" s="5"/>
      <c r="I81" s="11"/>
      <c r="J81" s="5">
        <v>73</v>
      </c>
      <c r="K81" s="248">
        <v>976</v>
      </c>
      <c r="L81" s="14"/>
      <c r="M81" s="11"/>
      <c r="N81" s="14"/>
      <c r="O81" s="11"/>
      <c r="P81" s="14"/>
      <c r="Q81" s="11"/>
      <c r="R81" s="14"/>
      <c r="S81" s="11"/>
      <c r="T81" s="8"/>
    </row>
    <row r="82" spans="8:20" ht="14.4">
      <c r="H82" s="5"/>
      <c r="I82" s="11"/>
      <c r="J82" s="5">
        <v>74</v>
      </c>
      <c r="K82" s="248">
        <v>975.4</v>
      </c>
      <c r="L82" s="14"/>
      <c r="M82" s="11"/>
      <c r="N82" s="14"/>
      <c r="O82" s="11"/>
      <c r="P82" s="14"/>
      <c r="Q82" s="11"/>
      <c r="R82" s="14"/>
      <c r="S82" s="11"/>
      <c r="T82" s="8"/>
    </row>
    <row r="83" spans="8:20" ht="14.4">
      <c r="H83" s="5"/>
      <c r="I83" s="11"/>
      <c r="J83" s="5">
        <v>75</v>
      </c>
      <c r="K83" s="248">
        <v>974.8</v>
      </c>
      <c r="L83" s="14"/>
      <c r="M83" s="11"/>
      <c r="N83" s="14"/>
      <c r="O83" s="11"/>
      <c r="P83" s="14"/>
      <c r="Q83" s="11"/>
      <c r="R83" s="14"/>
      <c r="S83" s="11"/>
      <c r="T83" s="8"/>
    </row>
    <row r="84" spans="8:20" ht="14.4">
      <c r="H84" s="5"/>
      <c r="I84" s="11"/>
      <c r="J84" s="5">
        <v>76</v>
      </c>
      <c r="K84" s="248">
        <v>974.2</v>
      </c>
      <c r="L84" s="14"/>
      <c r="M84" s="11"/>
      <c r="N84" s="14"/>
      <c r="O84" s="11"/>
      <c r="P84" s="14"/>
      <c r="Q84" s="11"/>
      <c r="R84" s="14"/>
      <c r="S84" s="11"/>
      <c r="T84" s="8"/>
    </row>
    <row r="85" spans="8:20" ht="14.4">
      <c r="H85" s="5"/>
      <c r="I85" s="11"/>
      <c r="J85" s="5">
        <v>77</v>
      </c>
      <c r="K85" s="248">
        <v>973.6</v>
      </c>
      <c r="L85" s="14"/>
      <c r="M85" s="11"/>
      <c r="N85" s="14"/>
      <c r="O85" s="11"/>
      <c r="P85" s="14"/>
      <c r="Q85" s="11"/>
      <c r="R85" s="14"/>
      <c r="S85" s="11"/>
      <c r="T85" s="8"/>
    </row>
    <row r="86" spans="8:20" ht="14.4">
      <c r="H86" s="5"/>
      <c r="I86" s="11"/>
      <c r="J86" s="5">
        <v>78</v>
      </c>
      <c r="K86" s="248">
        <v>973</v>
      </c>
      <c r="L86" s="14"/>
      <c r="M86" s="11"/>
      <c r="N86" s="14"/>
      <c r="O86" s="11"/>
      <c r="P86" s="14"/>
      <c r="Q86" s="11"/>
      <c r="R86" s="14"/>
      <c r="S86" s="11"/>
      <c r="T86" s="8"/>
    </row>
    <row r="87" spans="8:20" ht="14.4">
      <c r="H87" s="5"/>
      <c r="I87" s="11"/>
      <c r="J87" s="5">
        <v>79</v>
      </c>
      <c r="K87" s="248">
        <v>972.4</v>
      </c>
      <c r="L87" s="14"/>
      <c r="M87" s="11"/>
      <c r="N87" s="14"/>
      <c r="O87" s="11"/>
      <c r="P87" s="14"/>
      <c r="Q87" s="11"/>
      <c r="R87" s="14"/>
      <c r="S87" s="11"/>
      <c r="T87" s="8"/>
    </row>
    <row r="88" spans="8:20" ht="14.4">
      <c r="H88" s="5"/>
      <c r="I88" s="11"/>
      <c r="J88" s="5">
        <v>80</v>
      </c>
      <c r="K88" s="248">
        <v>971.8</v>
      </c>
      <c r="L88" s="14"/>
      <c r="M88" s="11"/>
      <c r="N88" s="14"/>
      <c r="O88" s="11"/>
      <c r="P88" s="14"/>
      <c r="Q88" s="11"/>
      <c r="R88" s="14"/>
      <c r="S88" s="11"/>
      <c r="T88" s="8"/>
    </row>
    <row r="89" spans="8:20" ht="14.4">
      <c r="H89" s="5"/>
      <c r="I89" s="11"/>
      <c r="J89" s="5">
        <v>81</v>
      </c>
      <c r="K89" s="248">
        <v>971.2</v>
      </c>
      <c r="L89" s="14"/>
      <c r="M89" s="11"/>
      <c r="N89" s="14"/>
      <c r="O89" s="11"/>
      <c r="P89" s="14"/>
      <c r="Q89" s="11"/>
      <c r="R89" s="14"/>
      <c r="S89" s="11"/>
      <c r="T89" s="8"/>
    </row>
    <row r="90" spans="8:20" ht="14.4">
      <c r="H90" s="5"/>
      <c r="I90" s="11"/>
      <c r="J90" s="5">
        <v>82</v>
      </c>
      <c r="K90" s="248">
        <v>970.5</v>
      </c>
      <c r="L90" s="14"/>
      <c r="M90" s="11"/>
      <c r="N90" s="14"/>
      <c r="O90" s="11"/>
      <c r="P90" s="14"/>
      <c r="Q90" s="11"/>
      <c r="R90" s="14"/>
      <c r="S90" s="11"/>
      <c r="T90" s="8"/>
    </row>
    <row r="91" spans="8:20" ht="14.4">
      <c r="H91" s="5"/>
      <c r="I91" s="11"/>
      <c r="J91" s="5">
        <v>83</v>
      </c>
      <c r="K91" s="248">
        <v>969.9</v>
      </c>
      <c r="L91" s="14"/>
      <c r="M91" s="11"/>
      <c r="N91" s="14"/>
      <c r="O91" s="11"/>
      <c r="P91" s="14"/>
      <c r="Q91" s="11"/>
      <c r="R91" s="14"/>
      <c r="S91" s="11"/>
      <c r="T91" s="8"/>
    </row>
    <row r="92" spans="8:20" ht="14.4">
      <c r="H92" s="5"/>
      <c r="I92" s="11"/>
      <c r="J92" s="5">
        <v>84</v>
      </c>
      <c r="K92" s="248">
        <v>969.3</v>
      </c>
      <c r="L92" s="14"/>
      <c r="M92" s="11"/>
      <c r="N92" s="14"/>
      <c r="O92" s="11"/>
      <c r="P92" s="14"/>
      <c r="Q92" s="11"/>
      <c r="R92" s="14"/>
      <c r="S92" s="11"/>
      <c r="T92" s="8"/>
    </row>
    <row r="93" spans="8:20" ht="14.4">
      <c r="H93" s="5"/>
      <c r="I93" s="11"/>
      <c r="J93" s="5">
        <v>85</v>
      </c>
      <c r="K93" s="248">
        <v>968.6</v>
      </c>
      <c r="L93" s="14"/>
      <c r="M93" s="11"/>
      <c r="N93" s="14"/>
      <c r="O93" s="11"/>
      <c r="P93" s="14"/>
      <c r="Q93" s="11"/>
      <c r="R93" s="14"/>
      <c r="S93" s="11"/>
      <c r="T93" s="8"/>
    </row>
    <row r="94" spans="8:20" ht="14.4">
      <c r="H94" s="5"/>
      <c r="I94" s="11"/>
      <c r="J94" s="5">
        <v>86</v>
      </c>
      <c r="K94" s="248">
        <v>968</v>
      </c>
      <c r="L94" s="14"/>
      <c r="M94" s="11"/>
      <c r="N94" s="14"/>
      <c r="O94" s="11"/>
      <c r="P94" s="14"/>
      <c r="Q94" s="11"/>
      <c r="R94" s="14"/>
      <c r="S94" s="11"/>
      <c r="T94" s="8"/>
    </row>
    <row r="95" spans="8:20" ht="14.4">
      <c r="H95" s="5"/>
      <c r="I95" s="11"/>
      <c r="J95" s="5">
        <v>87</v>
      </c>
      <c r="K95" s="248">
        <v>967.3</v>
      </c>
      <c r="L95" s="14"/>
      <c r="M95" s="11"/>
      <c r="N95" s="14"/>
      <c r="O95" s="11"/>
      <c r="P95" s="14"/>
      <c r="Q95" s="11"/>
      <c r="R95" s="14"/>
      <c r="S95" s="11"/>
      <c r="T95" s="8"/>
    </row>
    <row r="96" spans="8:20" ht="14.4">
      <c r="H96" s="5"/>
      <c r="I96" s="11"/>
      <c r="J96" s="5">
        <v>88</v>
      </c>
      <c r="K96" s="248">
        <v>966.6</v>
      </c>
      <c r="L96" s="14"/>
      <c r="M96" s="11"/>
      <c r="N96" s="14"/>
      <c r="O96" s="11"/>
      <c r="P96" s="14"/>
      <c r="Q96" s="11"/>
      <c r="R96" s="14"/>
      <c r="S96" s="11"/>
      <c r="T96" s="8"/>
    </row>
    <row r="97" spans="8:20" ht="14.4">
      <c r="H97" s="5"/>
      <c r="I97" s="11"/>
      <c r="J97" s="5">
        <v>89</v>
      </c>
      <c r="K97" s="248">
        <v>966</v>
      </c>
      <c r="L97" s="14"/>
      <c r="M97" s="11"/>
      <c r="N97" s="14"/>
      <c r="O97" s="11"/>
      <c r="P97" s="14"/>
      <c r="Q97" s="11"/>
      <c r="R97" s="14"/>
      <c r="S97" s="11"/>
      <c r="T97" s="8"/>
    </row>
    <row r="98" spans="8:20" ht="14.4">
      <c r="H98" s="5"/>
      <c r="I98" s="11"/>
      <c r="J98" s="5">
        <v>90</v>
      </c>
      <c r="K98" s="248">
        <v>965.3</v>
      </c>
      <c r="L98" s="14"/>
      <c r="M98" s="11"/>
      <c r="N98" s="14"/>
      <c r="O98" s="11"/>
      <c r="P98" s="14"/>
      <c r="Q98" s="11"/>
      <c r="R98" s="14"/>
      <c r="S98" s="11"/>
      <c r="T98" s="8"/>
    </row>
    <row r="99" spans="8:20" ht="14.4">
      <c r="H99" s="5"/>
      <c r="I99" s="11"/>
      <c r="L99" s="14"/>
      <c r="M99" s="11"/>
      <c r="N99" s="14"/>
      <c r="O99" s="11"/>
      <c r="P99" s="14"/>
      <c r="Q99" s="11"/>
      <c r="R99" s="14"/>
      <c r="S99" s="11"/>
      <c r="T99" s="8"/>
    </row>
    <row r="100" spans="8:20" ht="14.4">
      <c r="H100" s="5"/>
      <c r="I100" s="11"/>
      <c r="L100" s="14"/>
      <c r="M100" s="11"/>
      <c r="N100" s="14"/>
      <c r="O100" s="11"/>
      <c r="P100" s="14"/>
      <c r="Q100" s="11"/>
      <c r="R100" s="14"/>
      <c r="S100" s="11"/>
      <c r="T100" s="8"/>
    </row>
    <row r="101" spans="8:20" ht="14.4">
      <c r="H101" s="5"/>
      <c r="I101" s="11"/>
      <c r="L101" s="14"/>
      <c r="M101" s="11"/>
      <c r="N101" s="14"/>
      <c r="O101" s="11"/>
      <c r="P101" s="14"/>
      <c r="Q101" s="11"/>
      <c r="R101" s="14"/>
      <c r="S101" s="11"/>
      <c r="T101" s="8"/>
    </row>
    <row r="102" spans="8:20" ht="14.4">
      <c r="H102" s="5"/>
      <c r="I102" s="11"/>
      <c r="L102" s="14"/>
      <c r="M102" s="11"/>
      <c r="N102" s="14"/>
      <c r="O102" s="11"/>
      <c r="P102" s="14"/>
      <c r="Q102" s="11"/>
      <c r="R102" s="14"/>
      <c r="S102" s="11"/>
      <c r="T102" s="8"/>
    </row>
    <row r="103" spans="8:20" ht="14.4">
      <c r="H103" s="5"/>
      <c r="I103" s="11"/>
      <c r="L103" s="14"/>
      <c r="M103" s="11"/>
      <c r="N103" s="14"/>
      <c r="O103" s="11"/>
      <c r="P103" s="14"/>
      <c r="Q103" s="11"/>
      <c r="R103" s="14"/>
      <c r="S103" s="11"/>
      <c r="T103" s="8"/>
    </row>
    <row r="104" spans="8:20" ht="14.4">
      <c r="H104" s="5"/>
      <c r="I104" s="11"/>
      <c r="L104" s="14"/>
      <c r="M104" s="11"/>
      <c r="N104" s="14"/>
      <c r="O104" s="11"/>
      <c r="P104" s="14"/>
      <c r="Q104" s="11"/>
      <c r="R104" s="14"/>
      <c r="S104" s="11"/>
      <c r="T104" s="8"/>
    </row>
    <row r="105" spans="8:20" ht="14.4">
      <c r="H105" s="5"/>
      <c r="I105" s="11"/>
      <c r="L105" s="14"/>
      <c r="M105" s="11"/>
      <c r="N105" s="14"/>
      <c r="O105" s="11"/>
      <c r="P105" s="14"/>
      <c r="Q105" s="11"/>
      <c r="R105" s="14"/>
      <c r="S105" s="11"/>
      <c r="T105" s="8"/>
    </row>
    <row r="106" spans="8:20" ht="14.4">
      <c r="H106" s="5"/>
      <c r="I106" s="11"/>
      <c r="L106" s="14"/>
      <c r="M106" s="11"/>
      <c r="N106" s="14"/>
      <c r="O106" s="11"/>
      <c r="P106" s="14"/>
      <c r="Q106" s="11"/>
      <c r="R106" s="14"/>
      <c r="S106" s="11"/>
      <c r="T106" s="8"/>
    </row>
    <row r="107" spans="8:20" ht="14.4">
      <c r="H107" s="5"/>
      <c r="I107" s="11"/>
      <c r="L107" s="14"/>
      <c r="M107" s="11"/>
      <c r="N107" s="14"/>
      <c r="O107" s="11"/>
      <c r="P107" s="14"/>
      <c r="Q107" s="11"/>
      <c r="R107" s="14"/>
      <c r="S107" s="11"/>
      <c r="T107" s="8"/>
    </row>
    <row r="108" spans="8:20" ht="14.4">
      <c r="H108" s="5"/>
      <c r="I108" s="11"/>
      <c r="L108" s="14"/>
      <c r="M108" s="11"/>
      <c r="N108" s="14"/>
      <c r="O108" s="11"/>
      <c r="P108" s="14"/>
      <c r="Q108" s="11"/>
      <c r="R108" s="14"/>
      <c r="S108" s="11"/>
      <c r="T108" s="8"/>
    </row>
    <row r="109" spans="8:20" ht="14.4">
      <c r="H109" s="5"/>
      <c r="I109" s="11"/>
      <c r="L109" s="14"/>
      <c r="M109" s="11"/>
      <c r="N109" s="14"/>
      <c r="O109" s="11"/>
      <c r="P109" s="14"/>
      <c r="Q109" s="11"/>
      <c r="R109" s="14"/>
      <c r="S109" s="11"/>
      <c r="T109" s="8"/>
    </row>
    <row r="110" spans="8:20" ht="14.4">
      <c r="H110" s="5"/>
      <c r="I110" s="11"/>
      <c r="L110" s="14"/>
      <c r="M110" s="11"/>
      <c r="N110" s="14"/>
      <c r="O110" s="11"/>
      <c r="P110" s="14"/>
      <c r="Q110" s="11"/>
      <c r="R110" s="14"/>
      <c r="S110" s="11"/>
      <c r="T110" s="8"/>
    </row>
    <row r="111" spans="8:20" ht="14.4">
      <c r="H111" s="5"/>
      <c r="I111" s="11"/>
      <c r="L111" s="14"/>
      <c r="M111" s="11"/>
      <c r="N111" s="14"/>
      <c r="O111" s="11"/>
      <c r="P111" s="14"/>
      <c r="Q111" s="11"/>
      <c r="R111" s="14"/>
      <c r="S111" s="11"/>
      <c r="T111" s="8"/>
    </row>
    <row r="112" spans="8:20" ht="14.4">
      <c r="H112" s="5"/>
      <c r="I112" s="11"/>
      <c r="L112" s="14"/>
      <c r="M112" s="11"/>
      <c r="N112" s="14"/>
      <c r="O112" s="11"/>
      <c r="P112" s="14"/>
      <c r="Q112" s="11"/>
      <c r="R112" s="14"/>
      <c r="S112" s="11"/>
      <c r="T112" s="8"/>
    </row>
    <row r="113" spans="8:20" ht="14.4">
      <c r="H113" s="5"/>
      <c r="I113" s="11"/>
      <c r="L113" s="14"/>
      <c r="M113" s="11"/>
      <c r="N113" s="14"/>
      <c r="O113" s="11"/>
      <c r="P113" s="14"/>
      <c r="Q113" s="11"/>
      <c r="R113" s="14"/>
      <c r="S113" s="11"/>
      <c r="T113" s="8"/>
    </row>
    <row r="114" spans="8:20" ht="14.4">
      <c r="H114" s="5"/>
      <c r="I114" s="11"/>
      <c r="L114" s="14"/>
      <c r="M114" s="11"/>
      <c r="N114" s="14"/>
      <c r="O114" s="11"/>
      <c r="P114" s="14"/>
      <c r="Q114" s="11"/>
      <c r="R114" s="14"/>
      <c r="S114" s="11"/>
      <c r="T114" s="8"/>
    </row>
    <row r="115" spans="8:20" ht="14.4">
      <c r="H115" s="5"/>
      <c r="I115" s="11"/>
      <c r="L115" s="14"/>
      <c r="M115" s="11"/>
      <c r="N115" s="14"/>
      <c r="O115" s="11"/>
      <c r="P115" s="14"/>
      <c r="Q115" s="11"/>
      <c r="R115" s="14"/>
      <c r="S115" s="11"/>
      <c r="T115" s="8"/>
    </row>
    <row r="116" spans="8:20" ht="14.4">
      <c r="H116" s="5"/>
      <c r="I116" s="11"/>
      <c r="L116" s="14"/>
      <c r="M116" s="11"/>
      <c r="N116" s="14"/>
      <c r="O116" s="11"/>
      <c r="P116" s="14"/>
      <c r="Q116" s="11"/>
      <c r="R116" s="14"/>
      <c r="S116" s="11"/>
      <c r="T116" s="8"/>
    </row>
    <row r="117" spans="8:20" ht="14.4">
      <c r="H117" s="5"/>
      <c r="I117" s="11"/>
      <c r="L117" s="14"/>
      <c r="M117" s="11"/>
      <c r="N117" s="14"/>
      <c r="O117" s="11"/>
      <c r="P117" s="14"/>
      <c r="Q117" s="11"/>
      <c r="R117" s="14"/>
      <c r="S117" s="11"/>
      <c r="T117" s="8"/>
    </row>
    <row r="118" spans="8:20" ht="14.4">
      <c r="H118" s="5"/>
      <c r="I118" s="11"/>
      <c r="L118" s="14"/>
      <c r="M118" s="11"/>
      <c r="N118" s="14"/>
      <c r="O118" s="11"/>
      <c r="P118" s="14"/>
      <c r="Q118" s="11"/>
      <c r="R118" s="14"/>
      <c r="S118" s="11"/>
      <c r="T118" s="8"/>
    </row>
    <row r="119" spans="8:20" ht="14.4">
      <c r="H119" s="5"/>
      <c r="I119" s="11"/>
      <c r="L119" s="14"/>
      <c r="M119" s="11"/>
      <c r="N119" s="14"/>
      <c r="O119" s="11"/>
      <c r="P119" s="14"/>
      <c r="Q119" s="11"/>
      <c r="R119" s="14"/>
      <c r="S119" s="11"/>
      <c r="T119" s="8"/>
    </row>
    <row r="120" spans="8:20" ht="14.4">
      <c r="H120" s="5"/>
      <c r="I120" s="11"/>
      <c r="L120" s="14"/>
      <c r="M120" s="11"/>
      <c r="N120" s="14"/>
      <c r="O120" s="11"/>
      <c r="P120" s="14"/>
      <c r="Q120" s="11"/>
      <c r="R120" s="14"/>
      <c r="S120" s="11"/>
      <c r="T120" s="8"/>
    </row>
    <row r="121" spans="8:20" ht="14.4">
      <c r="H121" s="5"/>
      <c r="I121" s="11"/>
      <c r="L121" s="14"/>
      <c r="M121" s="11"/>
      <c r="N121" s="14"/>
      <c r="O121" s="11"/>
      <c r="P121" s="14"/>
      <c r="Q121" s="11"/>
      <c r="R121" s="14"/>
      <c r="S121" s="11"/>
      <c r="T121" s="8"/>
    </row>
    <row r="122" spans="8:20" ht="14.4">
      <c r="H122" s="5"/>
      <c r="I122" s="11"/>
      <c r="L122" s="14"/>
      <c r="M122" s="11"/>
      <c r="N122" s="14"/>
      <c r="O122" s="11"/>
      <c r="P122" s="14"/>
      <c r="Q122" s="11"/>
      <c r="R122" s="14"/>
      <c r="S122" s="11"/>
      <c r="T122" s="8"/>
    </row>
    <row r="123" spans="8:20" ht="14.4">
      <c r="H123" s="5"/>
      <c r="I123" s="11"/>
      <c r="L123" s="14"/>
      <c r="M123" s="11"/>
      <c r="N123" s="14"/>
      <c r="O123" s="11"/>
      <c r="P123" s="14"/>
      <c r="Q123" s="11"/>
      <c r="R123" s="14"/>
      <c r="S123" s="11"/>
      <c r="T123" s="8"/>
    </row>
    <row r="124" spans="8:20" ht="14.4">
      <c r="H124" s="5"/>
      <c r="I124" s="11"/>
      <c r="L124" s="14"/>
      <c r="M124" s="11"/>
      <c r="N124" s="14"/>
      <c r="O124" s="11"/>
      <c r="P124" s="14"/>
      <c r="Q124" s="11"/>
      <c r="R124" s="14"/>
      <c r="S124" s="11"/>
      <c r="T124" s="8"/>
    </row>
    <row r="125" spans="8:20" ht="14.4">
      <c r="H125" s="5"/>
      <c r="I125" s="11"/>
      <c r="J125" s="14"/>
      <c r="K125" s="11"/>
      <c r="L125" s="14"/>
      <c r="M125" s="11"/>
      <c r="N125" s="14"/>
      <c r="O125" s="11"/>
      <c r="P125" s="14"/>
      <c r="Q125" s="11"/>
      <c r="R125" s="14"/>
      <c r="S125" s="11"/>
      <c r="T125" s="8"/>
    </row>
    <row r="126" spans="8:20" ht="14.4">
      <c r="H126" s="5"/>
      <c r="I126" s="11"/>
      <c r="J126" s="14"/>
      <c r="K126" s="11"/>
      <c r="L126" s="14"/>
      <c r="M126" s="11"/>
      <c r="N126" s="14"/>
      <c r="O126" s="11"/>
      <c r="P126" s="14"/>
      <c r="Q126" s="11"/>
      <c r="R126" s="14"/>
      <c r="S126" s="11"/>
      <c r="T126" s="8"/>
    </row>
    <row r="127" spans="8:20" ht="14.4">
      <c r="H127" s="5"/>
      <c r="I127" s="11"/>
      <c r="J127" s="14"/>
      <c r="K127" s="11"/>
      <c r="L127" s="14"/>
      <c r="M127" s="11"/>
      <c r="N127" s="14"/>
      <c r="O127" s="11"/>
      <c r="P127" s="14"/>
      <c r="Q127" s="11"/>
      <c r="R127" s="14"/>
      <c r="S127" s="11"/>
      <c r="T127" s="8"/>
    </row>
    <row r="128" spans="8:20" ht="14.4">
      <c r="H128" s="5"/>
      <c r="I128" s="11"/>
      <c r="J128" s="14"/>
      <c r="K128" s="11"/>
      <c r="L128" s="14"/>
      <c r="M128" s="11"/>
      <c r="N128" s="14"/>
      <c r="O128" s="11"/>
      <c r="P128" s="14"/>
      <c r="Q128" s="11"/>
      <c r="R128" s="14"/>
      <c r="S128" s="11"/>
      <c r="T128" s="8"/>
    </row>
    <row r="129" spans="8:20" ht="14.4">
      <c r="H129" s="5"/>
      <c r="I129" s="11"/>
      <c r="J129" s="14"/>
      <c r="K129" s="11"/>
      <c r="L129" s="14"/>
      <c r="M129" s="11"/>
      <c r="N129" s="14"/>
      <c r="O129" s="11"/>
      <c r="P129" s="14"/>
      <c r="Q129" s="11"/>
      <c r="R129" s="14"/>
      <c r="S129" s="11"/>
      <c r="T129" s="8"/>
    </row>
    <row r="130" spans="8:20" ht="14.4">
      <c r="H130" s="5"/>
      <c r="I130" s="11"/>
      <c r="J130" s="14"/>
      <c r="K130" s="11"/>
      <c r="L130" s="14"/>
      <c r="M130" s="11"/>
      <c r="N130" s="14"/>
      <c r="O130" s="11"/>
      <c r="P130" s="14"/>
      <c r="Q130" s="11"/>
      <c r="R130" s="14"/>
      <c r="S130" s="11"/>
      <c r="T130" s="8"/>
    </row>
    <row r="131" spans="8:20" ht="14.4">
      <c r="H131" s="5"/>
      <c r="I131" s="11"/>
      <c r="J131" s="14"/>
      <c r="K131" s="11"/>
      <c r="L131" s="14"/>
      <c r="M131" s="11"/>
      <c r="N131" s="14"/>
      <c r="O131" s="11"/>
      <c r="P131" s="14"/>
      <c r="Q131" s="11"/>
      <c r="R131" s="14"/>
      <c r="S131" s="11"/>
      <c r="T131" s="8"/>
    </row>
    <row r="132" spans="8:20" ht="14.4">
      <c r="H132" s="5"/>
      <c r="I132" s="11"/>
      <c r="J132" s="14"/>
      <c r="K132" s="11"/>
      <c r="L132" s="14"/>
      <c r="M132" s="11"/>
      <c r="N132" s="14"/>
      <c r="O132" s="11"/>
      <c r="P132" s="14"/>
      <c r="Q132" s="11"/>
      <c r="R132" s="14"/>
      <c r="S132" s="11"/>
      <c r="T132" s="8"/>
    </row>
    <row r="133" spans="8:20" ht="14.4">
      <c r="H133" s="5"/>
      <c r="I133" s="11"/>
      <c r="J133" s="14"/>
      <c r="K133" s="11"/>
      <c r="L133" s="14"/>
      <c r="M133" s="11"/>
      <c r="N133" s="14"/>
      <c r="O133" s="11"/>
      <c r="P133" s="14"/>
      <c r="Q133" s="11"/>
      <c r="R133" s="14"/>
      <c r="S133" s="11"/>
      <c r="T133" s="8"/>
    </row>
    <row r="134" spans="8:20" ht="14.4">
      <c r="H134" s="5"/>
      <c r="I134" s="11"/>
      <c r="J134" s="14"/>
      <c r="K134" s="11"/>
      <c r="L134" s="14"/>
      <c r="M134" s="11"/>
      <c r="N134" s="14"/>
      <c r="O134" s="11"/>
      <c r="P134" s="14"/>
      <c r="Q134" s="11"/>
      <c r="R134" s="14"/>
      <c r="S134" s="11"/>
      <c r="T134" s="8"/>
    </row>
    <row r="135" spans="8:20" ht="14.4">
      <c r="H135" s="5"/>
      <c r="I135" s="11"/>
      <c r="J135" s="14"/>
      <c r="K135" s="11"/>
      <c r="L135" s="14"/>
      <c r="M135" s="11"/>
      <c r="N135" s="14"/>
      <c r="O135" s="11"/>
      <c r="P135" s="14"/>
      <c r="Q135" s="11"/>
      <c r="R135" s="14"/>
      <c r="S135" s="11"/>
      <c r="T135" s="8"/>
    </row>
    <row r="136" spans="8:20" ht="14.4">
      <c r="H136" s="5"/>
      <c r="I136" s="11"/>
      <c r="J136" s="14"/>
      <c r="K136" s="11"/>
      <c r="L136" s="14"/>
      <c r="M136" s="11"/>
      <c r="N136" s="14"/>
      <c r="O136" s="11"/>
      <c r="P136" s="14"/>
      <c r="Q136" s="11"/>
      <c r="R136" s="14"/>
      <c r="S136" s="11"/>
      <c r="T136" s="8"/>
    </row>
    <row r="137" spans="8:20" ht="14.4">
      <c r="H137" s="5"/>
      <c r="I137" s="11"/>
      <c r="J137" s="14"/>
      <c r="K137" s="11"/>
      <c r="L137" s="14"/>
      <c r="M137" s="11"/>
      <c r="N137" s="14"/>
      <c r="O137" s="11"/>
      <c r="P137" s="14"/>
      <c r="Q137" s="11"/>
      <c r="R137" s="14"/>
      <c r="S137" s="11"/>
      <c r="T137" s="8"/>
    </row>
    <row r="138" spans="8:20" ht="14.4">
      <c r="H138" s="5"/>
      <c r="I138" s="11"/>
      <c r="J138" s="14"/>
      <c r="K138" s="11"/>
      <c r="L138" s="14"/>
      <c r="M138" s="11"/>
      <c r="N138" s="14"/>
      <c r="O138" s="11"/>
      <c r="P138" s="14"/>
      <c r="Q138" s="11"/>
      <c r="R138" s="14"/>
      <c r="S138" s="11"/>
      <c r="T138" s="8"/>
    </row>
    <row r="139" spans="8:20" ht="14.4">
      <c r="H139" s="5"/>
      <c r="I139" s="11"/>
      <c r="J139" s="14"/>
      <c r="K139" s="11"/>
      <c r="L139" s="14"/>
      <c r="M139" s="11"/>
      <c r="N139" s="14"/>
      <c r="O139" s="11"/>
      <c r="P139" s="14"/>
      <c r="Q139" s="11"/>
      <c r="R139" s="14"/>
      <c r="S139" s="11"/>
      <c r="T139" s="8"/>
    </row>
    <row r="140" spans="8:20" ht="14.4">
      <c r="H140" s="5"/>
      <c r="I140" s="11"/>
      <c r="J140" s="14"/>
      <c r="K140" s="11"/>
      <c r="L140" s="14"/>
      <c r="M140" s="11"/>
      <c r="N140" s="14"/>
      <c r="O140" s="11"/>
      <c r="P140" s="14"/>
      <c r="Q140" s="11"/>
      <c r="R140" s="14"/>
      <c r="S140" s="11"/>
      <c r="T140" s="8"/>
    </row>
    <row r="141" spans="8:20" ht="14.4">
      <c r="H141" s="5"/>
      <c r="I141" s="11"/>
      <c r="J141" s="14"/>
      <c r="K141" s="11"/>
      <c r="L141" s="14"/>
      <c r="M141" s="11"/>
      <c r="N141" s="14"/>
      <c r="O141" s="11"/>
      <c r="P141" s="14"/>
      <c r="Q141" s="11"/>
      <c r="R141" s="14"/>
      <c r="S141" s="11"/>
      <c r="T141" s="8"/>
    </row>
    <row r="142" spans="8:20" ht="14.4">
      <c r="H142" s="5"/>
      <c r="I142" s="11"/>
      <c r="J142" s="14"/>
      <c r="K142" s="11"/>
      <c r="L142" s="14"/>
      <c r="M142" s="11"/>
      <c r="N142" s="14"/>
      <c r="O142" s="11"/>
      <c r="P142" s="14"/>
      <c r="Q142" s="11"/>
      <c r="R142" s="14"/>
      <c r="S142" s="11"/>
      <c r="T142" s="8"/>
    </row>
    <row r="143" spans="8:20" ht="14.4">
      <c r="H143" s="5"/>
      <c r="I143" s="11"/>
      <c r="J143" s="14"/>
      <c r="K143" s="11"/>
      <c r="L143" s="14"/>
      <c r="M143" s="11"/>
      <c r="N143" s="14"/>
      <c r="O143" s="11"/>
      <c r="P143" s="14"/>
      <c r="Q143" s="11"/>
      <c r="R143" s="14"/>
      <c r="S143" s="11"/>
      <c r="T143" s="8"/>
    </row>
    <row r="144" spans="8:20" ht="14.4">
      <c r="H144" s="5"/>
      <c r="I144" s="11"/>
      <c r="J144" s="14"/>
      <c r="K144" s="11"/>
      <c r="L144" s="14"/>
      <c r="M144" s="11"/>
      <c r="N144" s="14"/>
      <c r="O144" s="11"/>
      <c r="P144" s="14"/>
      <c r="Q144" s="11"/>
      <c r="R144" s="14"/>
      <c r="S144" s="11"/>
      <c r="T144" s="8"/>
    </row>
    <row r="145" spans="8:20" ht="14.4">
      <c r="H145" s="5"/>
      <c r="I145" s="11"/>
      <c r="J145" s="14"/>
      <c r="K145" s="11"/>
      <c r="L145" s="14"/>
      <c r="M145" s="11"/>
      <c r="N145" s="14"/>
      <c r="O145" s="11"/>
      <c r="P145" s="14"/>
      <c r="Q145" s="11"/>
      <c r="R145" s="14"/>
      <c r="S145" s="11"/>
      <c r="T145" s="8"/>
    </row>
    <row r="146" spans="8:20" ht="14.4">
      <c r="H146" s="5"/>
      <c r="I146" s="11"/>
      <c r="J146" s="14"/>
      <c r="K146" s="11"/>
      <c r="L146" s="14"/>
      <c r="M146" s="11"/>
      <c r="N146" s="14"/>
      <c r="O146" s="11"/>
      <c r="P146" s="14"/>
      <c r="Q146" s="11"/>
      <c r="R146" s="14"/>
      <c r="S146" s="11"/>
      <c r="T146" s="8"/>
    </row>
    <row r="147" spans="8:20" ht="14.4">
      <c r="H147" s="5"/>
      <c r="I147" s="11"/>
      <c r="J147" s="14"/>
      <c r="K147" s="11"/>
      <c r="L147" s="14"/>
      <c r="M147" s="11"/>
      <c r="N147" s="14"/>
      <c r="O147" s="11"/>
      <c r="P147" s="14"/>
      <c r="Q147" s="11"/>
      <c r="R147" s="14"/>
      <c r="S147" s="11"/>
      <c r="T147" s="8"/>
    </row>
    <row r="148" spans="8:20" ht="14.4">
      <c r="H148" s="5"/>
      <c r="I148" s="11"/>
      <c r="J148" s="14"/>
      <c r="K148" s="11"/>
      <c r="L148" s="14"/>
      <c r="M148" s="11"/>
      <c r="N148" s="14"/>
      <c r="O148" s="11"/>
      <c r="P148" s="14"/>
      <c r="Q148" s="11"/>
      <c r="R148" s="14"/>
      <c r="S148" s="11"/>
      <c r="T148" s="8"/>
    </row>
    <row r="149" spans="8:20" ht="14.4">
      <c r="H149" s="5"/>
      <c r="I149" s="11"/>
      <c r="J149" s="14"/>
      <c r="K149" s="11"/>
      <c r="L149" s="14"/>
      <c r="M149" s="11"/>
      <c r="N149" s="14"/>
      <c r="O149" s="11"/>
      <c r="P149" s="14"/>
      <c r="Q149" s="11"/>
      <c r="R149" s="14"/>
      <c r="S149" s="11"/>
      <c r="T149" s="8"/>
    </row>
    <row r="150" spans="8:20" ht="14.4">
      <c r="H150" s="5"/>
      <c r="I150" s="11"/>
      <c r="J150" s="14"/>
      <c r="K150" s="11"/>
      <c r="L150" s="14"/>
      <c r="M150" s="11"/>
      <c r="N150" s="14"/>
      <c r="O150" s="11"/>
      <c r="P150" s="14"/>
      <c r="Q150" s="11"/>
      <c r="R150" s="14"/>
      <c r="S150" s="11"/>
      <c r="T150" s="8"/>
    </row>
    <row r="151" spans="8:20" ht="14.4">
      <c r="H151" s="5"/>
      <c r="I151" s="11"/>
      <c r="J151" s="14"/>
      <c r="K151" s="11"/>
      <c r="L151" s="14"/>
      <c r="M151" s="11"/>
      <c r="N151" s="14"/>
      <c r="O151" s="11"/>
      <c r="P151" s="14"/>
      <c r="Q151" s="11"/>
      <c r="R151" s="14"/>
      <c r="S151" s="11"/>
      <c r="T151" s="8"/>
    </row>
    <row r="152" spans="8:20" ht="14.4">
      <c r="H152" s="5"/>
      <c r="I152" s="11"/>
      <c r="J152" s="14"/>
      <c r="K152" s="11"/>
      <c r="L152" s="14"/>
      <c r="M152" s="11"/>
      <c r="N152" s="14"/>
      <c r="O152" s="11"/>
      <c r="P152" s="14"/>
      <c r="Q152" s="11"/>
      <c r="R152" s="14"/>
      <c r="S152" s="11"/>
      <c r="T152" s="8"/>
    </row>
    <row r="153" spans="8:20" ht="14.4">
      <c r="H153" s="5"/>
      <c r="I153" s="11"/>
      <c r="J153" s="14"/>
      <c r="K153" s="11"/>
      <c r="L153" s="14"/>
      <c r="M153" s="11"/>
      <c r="N153" s="14"/>
      <c r="O153" s="11"/>
      <c r="P153" s="14"/>
      <c r="Q153" s="11"/>
      <c r="R153" s="14"/>
      <c r="S153" s="11"/>
      <c r="T153" s="8"/>
    </row>
    <row r="154" spans="8:20" ht="14.4">
      <c r="H154" s="5"/>
      <c r="I154" s="11"/>
      <c r="J154" s="14"/>
      <c r="K154" s="11"/>
      <c r="L154" s="14"/>
      <c r="M154" s="11"/>
      <c r="N154" s="14"/>
      <c r="O154" s="11"/>
      <c r="P154" s="14"/>
      <c r="Q154" s="11"/>
      <c r="R154" s="14"/>
      <c r="S154" s="11"/>
      <c r="T154" s="8"/>
    </row>
    <row r="155" spans="8:20" ht="14.4">
      <c r="H155" s="5"/>
      <c r="I155" s="11"/>
      <c r="J155" s="14"/>
      <c r="K155" s="11"/>
      <c r="L155" s="14"/>
      <c r="M155" s="11"/>
      <c r="N155" s="14"/>
      <c r="O155" s="11"/>
      <c r="P155" s="14"/>
      <c r="Q155" s="11"/>
      <c r="R155" s="14"/>
      <c r="S155" s="11"/>
      <c r="T155" s="8"/>
    </row>
    <row r="156" spans="8:20" ht="14.4">
      <c r="H156" s="5"/>
      <c r="I156" s="11"/>
      <c r="J156" s="14"/>
      <c r="K156" s="11"/>
      <c r="L156" s="14"/>
      <c r="M156" s="11"/>
      <c r="N156" s="14"/>
      <c r="O156" s="11"/>
      <c r="P156" s="14"/>
      <c r="Q156" s="11"/>
      <c r="R156" s="14"/>
      <c r="S156" s="11"/>
      <c r="T156" s="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3:T158"/>
  <sheetViews>
    <sheetView workbookViewId="0">
      <selection activeCell="C44" sqref="C44"/>
    </sheetView>
  </sheetViews>
  <sheetFormatPr defaultRowHeight="13.8"/>
  <cols>
    <col min="2" max="2" width="19.5" customWidth="1"/>
    <col min="3" max="3" width="12" customWidth="1"/>
  </cols>
  <sheetData>
    <row r="3" spans="1:20">
      <c r="C3" t="s">
        <v>533</v>
      </c>
      <c r="D3" t="s">
        <v>534</v>
      </c>
    </row>
    <row r="4" spans="1:20">
      <c r="C4">
        <v>15</v>
      </c>
      <c r="D4">
        <v>30</v>
      </c>
    </row>
    <row r="5" spans="1:20" ht="14.4">
      <c r="H5" s="3"/>
      <c r="I5" s="497"/>
      <c r="J5" s="497"/>
      <c r="K5" s="497"/>
      <c r="L5" s="497"/>
      <c r="M5" s="497"/>
      <c r="N5" s="497"/>
      <c r="O5" s="497"/>
      <c r="P5" s="497"/>
      <c r="Q5" s="497"/>
      <c r="R5" s="497"/>
      <c r="S5" s="497"/>
      <c r="T5" s="3"/>
    </row>
    <row r="6" spans="1:20" ht="14.4">
      <c r="H6" s="3"/>
      <c r="I6" s="4"/>
      <c r="J6" s="4"/>
      <c r="K6" s="4"/>
      <c r="L6" s="4"/>
      <c r="M6" s="4"/>
      <c r="N6" s="4"/>
      <c r="O6" s="4"/>
      <c r="P6" s="4"/>
      <c r="Q6" s="4"/>
      <c r="R6" s="4"/>
      <c r="S6" s="4"/>
      <c r="T6" s="3"/>
    </row>
    <row r="7" spans="1:20" ht="14.4">
      <c r="C7" s="9"/>
      <c r="D7" s="13"/>
      <c r="F7" s="9"/>
      <c r="G7" s="3"/>
      <c r="H7" s="5"/>
      <c r="I7" s="6"/>
      <c r="J7" s="6"/>
      <c r="K7" s="7"/>
      <c r="L7" s="6"/>
      <c r="M7" s="7"/>
      <c r="N7" s="6"/>
      <c r="O7" s="7"/>
      <c r="P7" s="6"/>
      <c r="Q7" s="7"/>
      <c r="R7" s="6"/>
      <c r="S7" s="7"/>
      <c r="T7" s="8"/>
    </row>
    <row r="8" spans="1:20" ht="14.4">
      <c r="F8" s="9"/>
      <c r="G8" s="3"/>
      <c r="H8" s="5"/>
      <c r="I8" s="6"/>
      <c r="J8" s="6"/>
      <c r="K8" s="7"/>
      <c r="L8" s="6"/>
      <c r="M8" s="7"/>
      <c r="N8" s="6"/>
      <c r="O8" s="7"/>
      <c r="P8" s="6"/>
      <c r="Q8" s="7"/>
      <c r="R8" s="6"/>
      <c r="S8" s="7"/>
      <c r="T8" s="8"/>
    </row>
    <row r="9" spans="1:20" ht="14.4">
      <c r="C9" t="s">
        <v>543</v>
      </c>
      <c r="D9" t="s">
        <v>533</v>
      </c>
      <c r="E9" t="s">
        <v>534</v>
      </c>
      <c r="F9" s="9" t="s">
        <v>10</v>
      </c>
      <c r="G9" s="3"/>
      <c r="H9" s="5"/>
      <c r="I9" s="6"/>
      <c r="J9" s="6"/>
      <c r="K9" s="7"/>
      <c r="L9" s="6"/>
      <c r="M9" s="7"/>
      <c r="N9" s="6"/>
      <c r="O9" s="7"/>
      <c r="P9" s="6"/>
      <c r="Q9" s="7"/>
      <c r="R9" s="6"/>
      <c r="S9" s="7"/>
      <c r="T9" s="8"/>
    </row>
    <row r="10" spans="1:20" ht="14.4">
      <c r="A10">
        <f>SUM(C10:F10)</f>
        <v>3</v>
      </c>
      <c r="B10" t="s">
        <v>995</v>
      </c>
      <c r="C10">
        <f>IF(VENTO!$J$26&lt;11,1,0)</f>
        <v>1</v>
      </c>
      <c r="D10">
        <f>IF(VENTO!$K$11&gt;0.4,1,0)</f>
        <v>1</v>
      </c>
      <c r="E10">
        <f>IF(VENTO!$K$13&lt;2.6,1,0)</f>
        <v>0</v>
      </c>
      <c r="F10">
        <f>IF(VENTO!$K$15&lt;91,1,0)</f>
        <v>1</v>
      </c>
      <c r="H10" s="5"/>
      <c r="I10" s="6"/>
      <c r="J10" s="6"/>
      <c r="K10" s="7"/>
      <c r="L10" s="6"/>
      <c r="M10" s="7"/>
      <c r="N10" s="6"/>
      <c r="O10" s="7"/>
      <c r="P10" s="6"/>
      <c r="Q10" s="7"/>
      <c r="R10" s="6"/>
      <c r="S10" s="7"/>
      <c r="T10" s="8"/>
    </row>
    <row r="11" spans="1:20" ht="14.4">
      <c r="A11">
        <f t="shared" ref="A11:A15" si="0">SUM(C11:F11)</f>
        <v>3</v>
      </c>
      <c r="B11" t="s">
        <v>544</v>
      </c>
      <c r="C11">
        <f>IF(VENTO!$J$26&lt;201,1,0)</f>
        <v>1</v>
      </c>
      <c r="D11">
        <f>IF(VENTO!$K$11&gt;0.9,1,0)</f>
        <v>1</v>
      </c>
      <c r="E11">
        <f>IF(VENTO!$K$13&lt;2.6,1,0)</f>
        <v>0</v>
      </c>
      <c r="F11">
        <f>IF(VENTO!$K$15&lt;91,1,0)</f>
        <v>1</v>
      </c>
      <c r="H11" s="5"/>
      <c r="I11" s="6"/>
      <c r="J11" s="6"/>
      <c r="K11" s="7"/>
      <c r="L11" s="6"/>
      <c r="M11" s="7"/>
      <c r="N11" s="6"/>
      <c r="O11" s="7"/>
      <c r="P11" s="6"/>
      <c r="Q11" s="7"/>
      <c r="R11" s="6"/>
      <c r="S11" s="7"/>
      <c r="T11" s="8"/>
    </row>
    <row r="12" spans="1:20" ht="14.4">
      <c r="A12">
        <f t="shared" si="0"/>
        <v>4</v>
      </c>
      <c r="B12" t="s">
        <v>545</v>
      </c>
      <c r="C12">
        <f>IF(VENTO!$J$26&lt;201,1,0)</f>
        <v>1</v>
      </c>
      <c r="D12">
        <f>IF(VENTO!$K$11&gt;1.4,1,0)</f>
        <v>1</v>
      </c>
      <c r="E12">
        <f>IF(VENTO!$K$13&lt;3.6,1,0)</f>
        <v>1</v>
      </c>
      <c r="F12">
        <f>IF(VENTO!$K$15&lt;91,1,0)</f>
        <v>1</v>
      </c>
      <c r="H12" s="5"/>
      <c r="I12" s="6"/>
      <c r="J12" s="6"/>
      <c r="K12" s="7"/>
      <c r="L12" s="6"/>
      <c r="M12" s="7"/>
      <c r="N12" s="6"/>
      <c r="O12" s="7"/>
      <c r="P12" s="6"/>
      <c r="Q12" s="7"/>
      <c r="R12" s="6"/>
      <c r="S12" s="7"/>
      <c r="T12" s="8"/>
    </row>
    <row r="13" spans="1:20" ht="14.4">
      <c r="A13">
        <f t="shared" si="0"/>
        <v>3</v>
      </c>
      <c r="B13" t="s">
        <v>546</v>
      </c>
      <c r="C13">
        <f>IF(VENTO!$J$26&lt;201,1,0)</f>
        <v>1</v>
      </c>
      <c r="D13">
        <f>IF(VENTO!$K$11&gt;1.9,1,0)</f>
        <v>0</v>
      </c>
      <c r="E13">
        <f>IF(VENTO!$K$13&lt;4.6,1,0)</f>
        <v>1</v>
      </c>
      <c r="F13">
        <f>IF(VENTO!$K$15&lt;91,1,0)</f>
        <v>1</v>
      </c>
      <c r="H13" s="5"/>
      <c r="I13" s="6"/>
      <c r="J13" s="6"/>
      <c r="K13" s="7"/>
      <c r="L13" s="6"/>
      <c r="M13" s="7"/>
      <c r="N13" s="6"/>
      <c r="O13" s="7"/>
      <c r="P13" s="6"/>
      <c r="Q13" s="7"/>
      <c r="R13" s="6"/>
      <c r="S13" s="7"/>
      <c r="T13" s="8"/>
    </row>
    <row r="14" spans="1:20" ht="14.4">
      <c r="A14">
        <f t="shared" si="0"/>
        <v>3</v>
      </c>
      <c r="B14" t="s">
        <v>547</v>
      </c>
      <c r="C14">
        <f>IF(VENTO!$J$26&lt;201,1,0)</f>
        <v>1</v>
      </c>
      <c r="D14">
        <f>IF(VENTO!$K$11&gt;3.4,1,0)</f>
        <v>0</v>
      </c>
      <c r="E14">
        <f>IF(VENTO!$K$13&lt;6.5,1,0)</f>
        <v>1</v>
      </c>
      <c r="F14">
        <f>IF(VENTO!$K$15&lt;91,1,0)</f>
        <v>1</v>
      </c>
      <c r="H14" s="5"/>
      <c r="I14" s="6"/>
      <c r="J14" s="6"/>
      <c r="K14" s="7"/>
      <c r="L14" s="6"/>
      <c r="M14" s="7"/>
      <c r="N14" s="6"/>
      <c r="O14" s="7"/>
      <c r="P14" s="6"/>
      <c r="Q14" s="7"/>
      <c r="R14" s="6"/>
      <c r="S14" s="7"/>
      <c r="T14" s="8"/>
    </row>
    <row r="15" spans="1:20" ht="14.4">
      <c r="A15">
        <f t="shared" si="0"/>
        <v>3</v>
      </c>
      <c r="B15" t="s">
        <v>996</v>
      </c>
      <c r="C15">
        <f>IF(VENTO!$J$26&lt;201,1,0)</f>
        <v>1</v>
      </c>
      <c r="D15">
        <f>IF(VENTO!$K$11&gt;5.4,1,0)</f>
        <v>0</v>
      </c>
      <c r="E15">
        <f>IF(VENTO!$K$13&lt;10.1,1,0)</f>
        <v>1</v>
      </c>
      <c r="F15">
        <f>IF(VENTO!$K$15&lt;91,1,0)</f>
        <v>1</v>
      </c>
      <c r="H15" s="5"/>
      <c r="I15" s="6"/>
      <c r="J15" s="6"/>
      <c r="K15" s="7"/>
      <c r="L15" s="6"/>
      <c r="M15" s="7"/>
      <c r="N15" s="6"/>
      <c r="O15" s="7"/>
      <c r="P15" s="6"/>
      <c r="Q15" s="7"/>
      <c r="R15" s="6"/>
      <c r="S15" s="7"/>
      <c r="T15" s="8"/>
    </row>
    <row r="16" spans="1:20" ht="14.4">
      <c r="A16">
        <f>SUM(C16:F16)</f>
        <v>3</v>
      </c>
      <c r="B16" t="s">
        <v>997</v>
      </c>
      <c r="C16">
        <f>IF(VENTO!$J$26&lt;201,1,0)</f>
        <v>1</v>
      </c>
      <c r="D16">
        <f>IF(VENTO!$K$11&gt;6.4,1,0)</f>
        <v>0</v>
      </c>
      <c r="E16">
        <f>IF(VENTO!$K$13&lt;15.6,1,0)</f>
        <v>1</v>
      </c>
      <c r="F16">
        <f>IF(VENTO!$K$15&lt;91,1,0)</f>
        <v>1</v>
      </c>
      <c r="H16" s="5"/>
      <c r="I16" s="6"/>
      <c r="J16" s="6"/>
      <c r="K16" s="7"/>
      <c r="L16" s="6"/>
      <c r="M16" s="7"/>
      <c r="N16" s="6"/>
      <c r="O16" s="7"/>
      <c r="P16" s="6"/>
      <c r="Q16" s="7"/>
      <c r="R16" s="6"/>
      <c r="S16" s="7"/>
      <c r="T16" s="8"/>
    </row>
    <row r="17" spans="1:20" ht="14.4">
      <c r="A17">
        <f t="shared" ref="A17" si="1">SUM(C17:F17)</f>
        <v>3</v>
      </c>
      <c r="B17" t="s">
        <v>998</v>
      </c>
      <c r="C17">
        <f>IF(VENTO!$J$26&lt;201,1,0)</f>
        <v>1</v>
      </c>
      <c r="D17">
        <f>IF(VENTO!$K$11&gt;10.4,1,0)</f>
        <v>0</v>
      </c>
      <c r="E17">
        <f>IF(VENTO!$K$13&lt;20.6,1,0)</f>
        <v>1</v>
      </c>
      <c r="F17">
        <f>IF(VENTO!$K$15&lt;91,1,0)</f>
        <v>1</v>
      </c>
      <c r="H17" s="5"/>
      <c r="I17" s="6"/>
      <c r="J17" s="6"/>
      <c r="K17" s="7"/>
      <c r="L17" s="6"/>
      <c r="M17" s="7"/>
      <c r="N17" s="6"/>
      <c r="O17" s="7"/>
      <c r="P17" s="6"/>
      <c r="Q17" s="7"/>
      <c r="R17" s="6"/>
      <c r="S17" s="7"/>
      <c r="T17" s="8"/>
    </row>
    <row r="18" spans="1:20" ht="14.4">
      <c r="A18" s="148">
        <v>4</v>
      </c>
      <c r="B18" s="149" t="s">
        <v>554</v>
      </c>
      <c r="C18" s="148"/>
      <c r="D18" s="27"/>
      <c r="F18" s="29"/>
      <c r="G18" s="27"/>
      <c r="H18" s="5"/>
      <c r="I18" s="6"/>
      <c r="J18" s="6"/>
      <c r="K18" s="7"/>
      <c r="L18" s="6"/>
      <c r="M18" s="7"/>
      <c r="N18" s="6"/>
      <c r="O18" s="7"/>
      <c r="P18" s="6"/>
      <c r="Q18" s="7"/>
      <c r="R18" s="6"/>
      <c r="S18" s="7"/>
      <c r="T18" s="8"/>
    </row>
    <row r="19" spans="1:20" ht="14.4">
      <c r="A19" s="148"/>
      <c r="B19" s="149"/>
      <c r="C19" s="148"/>
      <c r="D19" s="27"/>
      <c r="E19" s="27"/>
      <c r="F19" s="29"/>
      <c r="G19" s="27"/>
      <c r="H19" s="5"/>
      <c r="I19" s="6"/>
      <c r="J19" s="6"/>
      <c r="K19" s="7"/>
      <c r="L19" s="6"/>
      <c r="M19" s="7"/>
      <c r="N19" s="6"/>
      <c r="O19" s="7"/>
      <c r="P19" s="6"/>
      <c r="Q19" s="7"/>
      <c r="R19" s="6"/>
      <c r="S19" s="7"/>
      <c r="T19" s="8"/>
    </row>
    <row r="20" spans="1:20" ht="14.4">
      <c r="A20" s="148"/>
      <c r="B20" s="149">
        <v>4</v>
      </c>
      <c r="C20" s="148" t="str">
        <f>VLOOKUP(B20,A10:B18,2,0)</f>
        <v>Vento …6.1…</v>
      </c>
      <c r="D20" s="27" t="str">
        <f>IF(VENTO!K9&gt;100,"",IF(A12=4,"Vento …4.1…",""))</f>
        <v>Vento …4.1…</v>
      </c>
      <c r="E20" s="27"/>
      <c r="F20" s="29"/>
      <c r="G20" s="27"/>
      <c r="H20" s="5"/>
      <c r="I20" s="6"/>
      <c r="J20" s="6"/>
      <c r="K20" s="7"/>
      <c r="L20" s="6"/>
      <c r="M20" s="7"/>
      <c r="N20" s="6"/>
      <c r="O20" s="7"/>
      <c r="P20" s="6"/>
      <c r="Q20" s="7"/>
      <c r="R20" s="6"/>
      <c r="S20" s="7"/>
      <c r="T20" s="8"/>
    </row>
    <row r="21" spans="1:20" ht="14.4">
      <c r="A21" s="27"/>
      <c r="B21" s="28"/>
      <c r="C21" s="27"/>
      <c r="D21" s="27"/>
      <c r="E21" s="27"/>
      <c r="F21" s="29"/>
      <c r="G21" s="27"/>
      <c r="H21" s="5"/>
      <c r="I21" s="6"/>
      <c r="J21" s="6"/>
      <c r="K21" s="7"/>
      <c r="L21" s="6"/>
      <c r="M21" s="7"/>
      <c r="N21" s="6"/>
      <c r="O21" s="7"/>
      <c r="P21" s="6"/>
      <c r="Q21" s="7"/>
      <c r="R21" s="6"/>
      <c r="S21" s="7"/>
      <c r="T21" s="8"/>
    </row>
    <row r="22" spans="1:20" ht="14.4">
      <c r="A22" s="27"/>
      <c r="B22" s="28"/>
      <c r="C22" s="27"/>
      <c r="D22" s="27"/>
      <c r="F22" s="29"/>
      <c r="G22" s="27"/>
      <c r="H22" s="5"/>
      <c r="I22" s="6"/>
      <c r="J22" s="6"/>
      <c r="K22" s="7"/>
      <c r="L22" s="6"/>
      <c r="M22" s="7"/>
      <c r="N22" s="6"/>
      <c r="O22" s="7"/>
      <c r="P22" s="6"/>
      <c r="Q22" s="7"/>
      <c r="R22" s="6"/>
      <c r="S22" s="7"/>
      <c r="T22" s="8"/>
    </row>
    <row r="23" spans="1:20" ht="14.4">
      <c r="A23" s="27"/>
      <c r="B23" s="28"/>
      <c r="C23" s="27"/>
      <c r="D23" s="27"/>
      <c r="F23" s="29"/>
      <c r="G23" s="27"/>
      <c r="H23" s="5"/>
      <c r="I23" s="6"/>
      <c r="J23" s="6"/>
      <c r="K23" s="7"/>
      <c r="L23" s="6"/>
      <c r="M23" s="7"/>
      <c r="N23" s="6"/>
      <c r="O23" s="7"/>
      <c r="P23" s="6"/>
      <c r="Q23" s="7"/>
      <c r="R23" s="6"/>
      <c r="S23" s="7"/>
      <c r="T23" s="8"/>
    </row>
    <row r="24" spans="1:20" ht="14.4">
      <c r="A24" s="27"/>
      <c r="B24" s="28"/>
      <c r="C24" s="27"/>
      <c r="D24" s="27"/>
      <c r="F24" s="29"/>
      <c r="G24" s="27"/>
      <c r="H24" s="5"/>
      <c r="I24" s="6"/>
      <c r="J24" s="6"/>
      <c r="K24" s="7"/>
      <c r="L24" s="6"/>
      <c r="M24" s="7"/>
      <c r="N24" s="6"/>
      <c r="O24" s="7"/>
      <c r="P24" s="6"/>
      <c r="Q24" s="7"/>
      <c r="R24" s="6"/>
      <c r="S24" s="7"/>
      <c r="T24" s="8"/>
    </row>
    <row r="25" spans="1:20" ht="14.4">
      <c r="A25" s="27"/>
      <c r="B25" s="28">
        <v>3</v>
      </c>
      <c r="C25" s="27">
        <f>VLOOKUP(B25,A26:C44,3,0)</f>
        <v>8121101</v>
      </c>
      <c r="D25" s="27" t="str">
        <f>VLOOKUP(B25,A26:B44,2,0)</f>
        <v>Vento V 4.1 E Connect</v>
      </c>
      <c r="F25" s="29"/>
      <c r="G25" s="27"/>
      <c r="H25" s="5"/>
      <c r="I25" s="6"/>
      <c r="J25" s="6"/>
      <c r="K25" s="7"/>
      <c r="L25" s="6"/>
      <c r="M25" s="7"/>
      <c r="N25" s="6"/>
      <c r="O25" s="7"/>
      <c r="P25" s="6"/>
      <c r="Q25" s="7"/>
      <c r="R25" s="6"/>
      <c r="S25" s="7"/>
      <c r="T25" s="8"/>
    </row>
    <row r="26" spans="1:20" ht="14.4">
      <c r="A26" s="27">
        <v>1</v>
      </c>
      <c r="B26" s="32" t="s">
        <v>999</v>
      </c>
      <c r="C26" s="32">
        <v>30303010400</v>
      </c>
      <c r="D26" s="27"/>
      <c r="F26" s="29"/>
      <c r="G26" s="27"/>
      <c r="H26" s="5"/>
      <c r="I26" s="6"/>
      <c r="J26" s="6"/>
      <c r="K26" s="7"/>
      <c r="L26" s="6"/>
      <c r="M26" s="7"/>
      <c r="N26" s="6"/>
      <c r="O26" s="7"/>
      <c r="P26" s="6"/>
      <c r="Q26" s="7"/>
      <c r="R26" s="6"/>
      <c r="S26" s="7"/>
      <c r="T26" s="8"/>
    </row>
    <row r="27" spans="1:20" ht="14.4">
      <c r="A27" s="27">
        <v>2</v>
      </c>
      <c r="B27" s="32" t="s">
        <v>1000</v>
      </c>
      <c r="C27" s="32">
        <v>30303020400</v>
      </c>
      <c r="D27" s="27"/>
      <c r="F27" s="29"/>
      <c r="G27" s="27"/>
      <c r="H27" s="5"/>
      <c r="I27" s="6"/>
      <c r="J27" s="6"/>
      <c r="K27" s="7"/>
      <c r="L27" s="6"/>
      <c r="M27" s="7"/>
      <c r="N27" s="6"/>
      <c r="O27" s="7"/>
      <c r="P27" s="6"/>
      <c r="Q27" s="7"/>
      <c r="R27" s="6"/>
      <c r="S27" s="7"/>
      <c r="T27" s="8"/>
    </row>
    <row r="28" spans="1:20" ht="14.4">
      <c r="A28" s="27">
        <v>3</v>
      </c>
      <c r="B28" s="32" t="s">
        <v>1001</v>
      </c>
      <c r="C28" s="32">
        <v>8121101</v>
      </c>
      <c r="D28" s="27"/>
      <c r="F28" s="29"/>
      <c r="G28" s="27"/>
      <c r="H28" s="5"/>
      <c r="I28" s="11"/>
      <c r="J28" s="14"/>
      <c r="K28" s="7"/>
      <c r="L28" s="6"/>
      <c r="M28" s="7"/>
      <c r="N28" s="6"/>
      <c r="O28" s="7"/>
      <c r="P28" s="6"/>
      <c r="Q28" s="7"/>
      <c r="R28" s="6"/>
      <c r="S28" s="7"/>
      <c r="T28" s="8"/>
    </row>
    <row r="29" spans="1:20" ht="14.4">
      <c r="A29" s="27">
        <v>4</v>
      </c>
      <c r="B29" s="32" t="s">
        <v>1002</v>
      </c>
      <c r="C29" s="32">
        <v>8121102</v>
      </c>
      <c r="D29" s="27"/>
      <c r="F29" s="29"/>
      <c r="G29" s="27"/>
      <c r="H29" s="5"/>
      <c r="I29" s="11"/>
      <c r="J29" s="14"/>
      <c r="K29" s="7"/>
      <c r="L29" s="6"/>
      <c r="M29" s="7"/>
      <c r="N29" s="6"/>
      <c r="O29" s="7"/>
      <c r="P29" s="6"/>
      <c r="Q29" s="7"/>
      <c r="R29" s="6"/>
      <c r="S29" s="7"/>
      <c r="T29" s="8"/>
    </row>
    <row r="30" spans="1:20" ht="14.4">
      <c r="A30" s="27">
        <v>5</v>
      </c>
      <c r="B30" s="32" t="s">
        <v>1003</v>
      </c>
      <c r="C30" s="32">
        <v>8121103</v>
      </c>
      <c r="D30" s="27"/>
      <c r="F30" s="29"/>
      <c r="G30" s="27"/>
      <c r="H30" s="5"/>
      <c r="I30" s="11"/>
      <c r="J30" s="14"/>
      <c r="K30" s="7"/>
      <c r="L30" s="6"/>
      <c r="M30" s="7"/>
      <c r="N30" s="6"/>
      <c r="O30" s="7"/>
      <c r="P30" s="6"/>
      <c r="Q30" s="7"/>
      <c r="R30" s="6"/>
      <c r="S30" s="7"/>
      <c r="T30" s="8"/>
    </row>
    <row r="31" spans="1:20" ht="14.4">
      <c r="A31" s="27">
        <v>6</v>
      </c>
      <c r="B31" s="32" t="s">
        <v>1004</v>
      </c>
      <c r="C31" s="32">
        <v>8121104</v>
      </c>
      <c r="D31" s="27"/>
      <c r="F31" s="29"/>
      <c r="G31" s="27"/>
      <c r="H31" s="5"/>
      <c r="I31" s="11"/>
      <c r="J31" s="14"/>
      <c r="K31" s="7"/>
      <c r="L31" s="6"/>
      <c r="M31" s="7"/>
      <c r="N31" s="6"/>
      <c r="O31" s="7"/>
      <c r="P31" s="6"/>
      <c r="Q31" s="7"/>
      <c r="R31" s="6"/>
      <c r="S31" s="7"/>
      <c r="T31" s="8"/>
    </row>
    <row r="32" spans="1:20" ht="14.4">
      <c r="A32" s="27">
        <v>7</v>
      </c>
      <c r="B32" s="32" t="s">
        <v>1005</v>
      </c>
      <c r="C32" s="32">
        <v>8121105</v>
      </c>
      <c r="D32" s="27"/>
      <c r="F32" s="29"/>
      <c r="G32" s="27"/>
      <c r="H32" s="5"/>
      <c r="I32" s="11"/>
      <c r="J32" s="14"/>
      <c r="K32" s="7"/>
      <c r="L32" s="6"/>
      <c r="M32" s="7"/>
      <c r="N32" s="6"/>
      <c r="O32" s="7"/>
      <c r="P32" s="6"/>
      <c r="Q32" s="7"/>
      <c r="R32" s="6"/>
      <c r="S32" s="7"/>
      <c r="T32" s="8"/>
    </row>
    <row r="33" spans="1:20" ht="14.4">
      <c r="A33" s="27">
        <v>8</v>
      </c>
      <c r="B33" s="32" t="s">
        <v>1006</v>
      </c>
      <c r="C33" s="32">
        <v>8121201</v>
      </c>
      <c r="D33" s="27"/>
      <c r="F33" s="29"/>
      <c r="G33" s="27"/>
      <c r="H33" s="5"/>
      <c r="I33" s="11"/>
      <c r="J33" s="14"/>
      <c r="K33" s="7"/>
      <c r="L33" s="6"/>
      <c r="M33" s="7"/>
      <c r="N33" s="6"/>
      <c r="O33" s="7"/>
      <c r="P33" s="6"/>
      <c r="Q33" s="7"/>
      <c r="R33" s="6"/>
      <c r="S33" s="7"/>
      <c r="T33" s="8"/>
    </row>
    <row r="34" spans="1:20" ht="14.4">
      <c r="A34" s="27">
        <v>9</v>
      </c>
      <c r="B34" s="32" t="s">
        <v>1007</v>
      </c>
      <c r="C34" s="32">
        <v>8121202</v>
      </c>
      <c r="D34" s="27"/>
      <c r="F34" s="29"/>
      <c r="G34" s="27"/>
      <c r="H34" s="5"/>
      <c r="I34" s="11"/>
      <c r="J34" s="14"/>
      <c r="K34" s="7"/>
      <c r="L34" s="6"/>
      <c r="M34" s="7"/>
      <c r="N34" s="6"/>
      <c r="O34" s="7"/>
      <c r="P34" s="6"/>
      <c r="Q34" s="7"/>
      <c r="R34" s="6"/>
      <c r="S34" s="7"/>
      <c r="T34" s="8"/>
    </row>
    <row r="35" spans="1:20" ht="14.4">
      <c r="A35" s="27">
        <v>10</v>
      </c>
      <c r="B35" s="32" t="s">
        <v>1008</v>
      </c>
      <c r="C35" s="32">
        <v>8121203</v>
      </c>
      <c r="D35" s="27"/>
      <c r="F35" s="29"/>
      <c r="G35" s="27"/>
      <c r="H35" s="5"/>
      <c r="I35" s="11"/>
      <c r="J35" s="14"/>
      <c r="K35" s="7"/>
      <c r="L35" s="6"/>
      <c r="M35" s="7"/>
      <c r="N35" s="6"/>
      <c r="O35" s="7"/>
      <c r="P35" s="6"/>
      <c r="Q35" s="7"/>
      <c r="R35" s="6"/>
      <c r="S35" s="7"/>
      <c r="T35" s="8"/>
    </row>
    <row r="36" spans="1:20" ht="14.4">
      <c r="A36" s="27">
        <v>11</v>
      </c>
      <c r="B36" s="32" t="s">
        <v>1009</v>
      </c>
      <c r="C36" s="32">
        <v>8121204</v>
      </c>
      <c r="D36" s="27"/>
      <c r="F36" s="29"/>
      <c r="G36" s="27"/>
      <c r="H36" s="5"/>
      <c r="I36" s="11"/>
      <c r="J36" s="14"/>
      <c r="K36" s="7"/>
      <c r="L36" s="6"/>
      <c r="M36" s="7"/>
      <c r="N36" s="6"/>
      <c r="O36" s="7"/>
      <c r="P36" s="6"/>
      <c r="Q36" s="7"/>
      <c r="R36" s="6"/>
      <c r="S36" s="7"/>
      <c r="T36" s="8"/>
    </row>
    <row r="37" spans="1:20" ht="14.4">
      <c r="A37" s="27">
        <v>12</v>
      </c>
      <c r="B37" s="32" t="s">
        <v>1010</v>
      </c>
      <c r="C37" s="32">
        <v>8121205</v>
      </c>
      <c r="D37" s="27"/>
      <c r="F37" s="29"/>
      <c r="G37" s="27"/>
      <c r="H37" s="5"/>
      <c r="I37" s="11"/>
      <c r="J37" s="14"/>
      <c r="K37" s="7"/>
      <c r="L37" s="6"/>
      <c r="M37" s="7"/>
      <c r="N37" s="6"/>
      <c r="O37" s="7"/>
      <c r="P37" s="6"/>
      <c r="Q37" s="7"/>
      <c r="R37" s="6"/>
      <c r="S37" s="7"/>
      <c r="T37" s="8"/>
    </row>
    <row r="38" spans="1:20" ht="14.4">
      <c r="A38" s="27">
        <v>13</v>
      </c>
      <c r="B38" s="32" t="s">
        <v>1011</v>
      </c>
      <c r="C38" s="32">
        <v>30303160600</v>
      </c>
      <c r="D38" s="27"/>
      <c r="F38" s="29"/>
      <c r="G38" s="27"/>
      <c r="H38" s="5"/>
      <c r="I38" s="11"/>
      <c r="J38" s="14"/>
      <c r="K38" s="7"/>
      <c r="L38" s="6"/>
      <c r="M38" s="7"/>
      <c r="N38" s="6"/>
      <c r="O38" s="7"/>
      <c r="P38" s="6"/>
      <c r="Q38" s="7"/>
      <c r="R38" s="6"/>
      <c r="S38" s="7"/>
      <c r="T38" s="8"/>
    </row>
    <row r="39" spans="1:20" ht="14.4">
      <c r="A39" s="27">
        <v>14</v>
      </c>
      <c r="B39" s="32" t="s">
        <v>1012</v>
      </c>
      <c r="C39" s="32">
        <v>30303160700</v>
      </c>
      <c r="D39" s="27"/>
      <c r="F39" s="29"/>
      <c r="G39" s="27"/>
      <c r="H39" s="5"/>
      <c r="I39" s="11"/>
      <c r="J39" s="14"/>
      <c r="K39" s="7"/>
      <c r="L39" s="6"/>
      <c r="M39" s="7"/>
      <c r="N39" s="6"/>
      <c r="O39" s="7"/>
      <c r="P39" s="6"/>
      <c r="Q39" s="7"/>
      <c r="R39" s="6"/>
      <c r="S39" s="7"/>
      <c r="T39" s="8"/>
    </row>
    <row r="40" spans="1:20" ht="14.4">
      <c r="A40" s="27">
        <v>15</v>
      </c>
      <c r="B40" s="32" t="s">
        <v>1013</v>
      </c>
      <c r="C40" s="32">
        <v>30303170600</v>
      </c>
      <c r="D40" s="27"/>
      <c r="F40" s="29"/>
      <c r="G40" s="27"/>
      <c r="H40" s="5"/>
      <c r="I40" s="11"/>
      <c r="J40" s="14"/>
      <c r="K40" s="7"/>
      <c r="L40" s="6"/>
      <c r="M40" s="7"/>
      <c r="N40" s="6"/>
      <c r="O40" s="7"/>
      <c r="P40" s="6"/>
      <c r="Q40" s="7"/>
      <c r="R40" s="6"/>
      <c r="S40" s="7"/>
      <c r="T40" s="8"/>
    </row>
    <row r="41" spans="1:20" ht="14.4">
      <c r="A41" s="27">
        <v>16</v>
      </c>
      <c r="B41" s="32" t="s">
        <v>1014</v>
      </c>
      <c r="C41" s="32">
        <v>30303170700</v>
      </c>
      <c r="D41" s="27"/>
      <c r="F41" s="29"/>
      <c r="G41" s="27"/>
      <c r="H41" s="5"/>
      <c r="I41" s="11"/>
      <c r="J41" s="14"/>
      <c r="K41" s="7"/>
      <c r="L41" s="6"/>
      <c r="M41" s="7"/>
      <c r="N41" s="6"/>
      <c r="O41" s="7"/>
      <c r="P41" s="6"/>
      <c r="Q41" s="7"/>
      <c r="R41" s="6"/>
      <c r="S41" s="7"/>
      <c r="T41" s="8"/>
    </row>
    <row r="42" spans="1:20" ht="14.4">
      <c r="A42" s="27"/>
      <c r="B42" s="32"/>
      <c r="C42" s="32"/>
      <c r="D42" s="27"/>
      <c r="F42" s="29"/>
      <c r="G42" s="27"/>
      <c r="H42" s="5"/>
      <c r="I42" s="11"/>
      <c r="J42" s="14"/>
      <c r="K42" s="7"/>
      <c r="L42" s="6"/>
      <c r="M42" s="7"/>
      <c r="N42" s="6"/>
      <c r="O42" s="7"/>
      <c r="P42" s="6"/>
      <c r="Q42" s="7"/>
      <c r="R42" s="6"/>
      <c r="S42" s="7"/>
      <c r="T42" s="8"/>
    </row>
    <row r="43" spans="1:20" ht="14.4">
      <c r="A43" s="27"/>
      <c r="B43" s="32"/>
      <c r="C43" s="32"/>
      <c r="D43" s="27"/>
      <c r="F43" s="29"/>
      <c r="G43" s="27"/>
      <c r="H43" s="5"/>
      <c r="I43" s="11"/>
      <c r="J43" s="14"/>
      <c r="K43" s="7"/>
      <c r="L43" s="6"/>
      <c r="M43" s="7"/>
      <c r="N43" s="6"/>
      <c r="O43" s="7"/>
      <c r="P43" s="6"/>
      <c r="Q43" s="7"/>
      <c r="R43" s="6"/>
      <c r="S43" s="7"/>
      <c r="T43" s="8"/>
    </row>
    <row r="44" spans="1:20" ht="14.4">
      <c r="A44" s="27"/>
      <c r="B44" s="32"/>
      <c r="C44" s="32"/>
      <c r="H44" s="5"/>
      <c r="I44" s="11"/>
      <c r="J44" s="14"/>
      <c r="K44" s="7"/>
      <c r="L44" s="6"/>
      <c r="M44" s="7"/>
      <c r="N44" s="6"/>
      <c r="O44" s="7"/>
      <c r="P44" s="6"/>
      <c r="Q44" s="7"/>
      <c r="R44" s="6"/>
      <c r="S44" s="7"/>
      <c r="T44" s="8"/>
    </row>
    <row r="45" spans="1:20" ht="14.4">
      <c r="H45" s="5"/>
      <c r="I45" s="11"/>
      <c r="J45" s="14"/>
      <c r="K45" s="7"/>
      <c r="L45" s="6"/>
      <c r="M45" s="7"/>
      <c r="N45" s="6"/>
      <c r="O45" s="7"/>
      <c r="P45" s="6"/>
      <c r="Q45" s="7"/>
      <c r="R45" s="6"/>
      <c r="S45" s="7"/>
      <c r="T45" s="8"/>
    </row>
    <row r="46" spans="1:20" ht="14.4">
      <c r="H46" s="5"/>
      <c r="I46" s="11"/>
      <c r="J46" s="14"/>
      <c r="K46" s="7"/>
      <c r="L46" s="6"/>
      <c r="M46" s="7"/>
      <c r="N46" s="6"/>
      <c r="O46" s="7"/>
      <c r="P46" s="6"/>
      <c r="Q46" s="7"/>
      <c r="R46" s="6"/>
      <c r="S46" s="7"/>
      <c r="T46" s="8"/>
    </row>
    <row r="47" spans="1:20" ht="14.4">
      <c r="H47" s="5"/>
      <c r="I47" s="11"/>
      <c r="J47" s="14"/>
      <c r="K47" s="7"/>
      <c r="L47" s="6"/>
      <c r="M47" s="7"/>
      <c r="N47" s="6"/>
      <c r="O47" s="7"/>
      <c r="P47" s="6"/>
      <c r="Q47" s="7"/>
      <c r="R47" s="6"/>
      <c r="S47" s="7"/>
      <c r="T47" s="8"/>
    </row>
    <row r="48" spans="1:20" ht="14.4">
      <c r="H48" s="5"/>
      <c r="I48" s="11"/>
      <c r="J48" s="14"/>
      <c r="K48" s="11"/>
      <c r="L48" s="14"/>
      <c r="M48" s="11"/>
      <c r="N48" s="14"/>
      <c r="O48" s="11"/>
      <c r="P48" s="14"/>
      <c r="Q48" s="11"/>
      <c r="R48" s="14"/>
      <c r="S48" s="11"/>
      <c r="T48" s="8"/>
    </row>
    <row r="49" spans="8:20" ht="14.4">
      <c r="H49" s="5"/>
      <c r="I49" s="11"/>
      <c r="J49" s="14"/>
      <c r="K49" s="11"/>
      <c r="L49" s="14"/>
      <c r="M49" s="11"/>
      <c r="N49" s="14"/>
      <c r="O49" s="11"/>
      <c r="P49" s="14"/>
      <c r="Q49" s="11"/>
      <c r="R49" s="14"/>
      <c r="S49" s="11"/>
      <c r="T49" s="8"/>
    </row>
    <row r="50" spans="8:20" ht="14.4">
      <c r="H50" s="5"/>
      <c r="I50" s="11"/>
      <c r="J50" s="14"/>
      <c r="K50" s="11"/>
      <c r="L50" s="14"/>
      <c r="M50" s="11"/>
      <c r="N50" s="14"/>
      <c r="O50" s="11"/>
      <c r="P50" s="14"/>
      <c r="Q50" s="11"/>
      <c r="R50" s="14"/>
      <c r="S50" s="11"/>
      <c r="T50" s="8"/>
    </row>
    <row r="51" spans="8:20" ht="14.4">
      <c r="H51" s="5"/>
      <c r="I51" s="11"/>
      <c r="J51" s="14"/>
      <c r="K51" s="11"/>
      <c r="L51" s="14"/>
      <c r="M51" s="11"/>
      <c r="N51" s="14"/>
      <c r="O51" s="11"/>
      <c r="P51" s="14"/>
      <c r="Q51" s="11"/>
      <c r="R51" s="14"/>
      <c r="S51" s="11"/>
      <c r="T51" s="8"/>
    </row>
    <row r="52" spans="8:20" ht="14.4">
      <c r="H52" s="5"/>
      <c r="I52" s="11"/>
      <c r="J52" s="14"/>
      <c r="K52" s="11"/>
      <c r="L52" s="14"/>
      <c r="M52" s="11"/>
      <c r="N52" s="14"/>
      <c r="O52" s="11"/>
      <c r="P52" s="14"/>
      <c r="Q52" s="11"/>
      <c r="R52" s="14"/>
      <c r="S52" s="11"/>
      <c r="T52" s="8"/>
    </row>
    <row r="53" spans="8:20" ht="14.4">
      <c r="H53" s="5"/>
      <c r="I53" s="11"/>
      <c r="J53" s="14"/>
      <c r="K53" s="11"/>
      <c r="L53" s="14"/>
      <c r="M53" s="11"/>
      <c r="N53" s="14"/>
      <c r="O53" s="11"/>
      <c r="P53" s="14"/>
      <c r="Q53" s="11"/>
      <c r="R53" s="14"/>
      <c r="S53" s="11"/>
      <c r="T53" s="8"/>
    </row>
    <row r="54" spans="8:20" ht="14.4">
      <c r="H54" s="5"/>
      <c r="I54" s="11"/>
      <c r="J54" s="14"/>
      <c r="K54" s="11"/>
      <c r="L54" s="14"/>
      <c r="M54" s="11"/>
      <c r="N54" s="14"/>
      <c r="O54" s="11"/>
      <c r="P54" s="14"/>
      <c r="Q54" s="11"/>
      <c r="R54" s="14"/>
      <c r="S54" s="11"/>
      <c r="T54" s="8"/>
    </row>
    <row r="55" spans="8:20" ht="14.4">
      <c r="H55" s="5"/>
      <c r="I55" s="11"/>
      <c r="J55" s="14"/>
      <c r="K55" s="11"/>
      <c r="L55" s="14"/>
      <c r="M55" s="11"/>
      <c r="N55" s="14"/>
      <c r="O55" s="11"/>
      <c r="P55" s="14"/>
      <c r="Q55" s="11"/>
      <c r="R55" s="14"/>
      <c r="S55" s="11"/>
      <c r="T55" s="8"/>
    </row>
    <row r="56" spans="8:20" ht="14.4">
      <c r="H56" s="5"/>
      <c r="I56" s="11"/>
      <c r="J56" s="14"/>
      <c r="K56" s="11"/>
      <c r="L56" s="14"/>
      <c r="M56" s="11"/>
      <c r="N56" s="14"/>
      <c r="O56" s="11"/>
      <c r="P56" s="14"/>
      <c r="Q56" s="11"/>
      <c r="R56" s="14"/>
      <c r="S56" s="11"/>
      <c r="T56" s="8"/>
    </row>
    <row r="57" spans="8:20" ht="14.4">
      <c r="H57" s="5"/>
      <c r="I57" s="11"/>
      <c r="J57" s="14"/>
      <c r="K57" s="11"/>
      <c r="L57" s="14"/>
      <c r="M57" s="11"/>
      <c r="N57" s="14"/>
      <c r="O57" s="11"/>
      <c r="P57" s="14"/>
      <c r="Q57" s="11"/>
      <c r="R57" s="14"/>
      <c r="S57" s="11"/>
      <c r="T57" s="8"/>
    </row>
    <row r="58" spans="8:20" ht="14.4">
      <c r="H58" s="5"/>
      <c r="I58" s="11"/>
      <c r="J58" s="14"/>
      <c r="K58" s="11"/>
      <c r="L58" s="14"/>
      <c r="M58" s="11"/>
      <c r="N58" s="14"/>
      <c r="O58" s="11"/>
      <c r="P58" s="14"/>
      <c r="Q58" s="11"/>
      <c r="R58" s="14"/>
      <c r="S58" s="11"/>
      <c r="T58" s="8"/>
    </row>
    <row r="59" spans="8:20" ht="14.4">
      <c r="H59" s="5"/>
      <c r="I59" s="11"/>
      <c r="J59" s="14"/>
      <c r="K59" s="11"/>
      <c r="L59" s="14"/>
      <c r="M59" s="11"/>
      <c r="N59" s="14"/>
      <c r="O59" s="11"/>
      <c r="P59" s="14"/>
      <c r="Q59" s="11"/>
      <c r="R59" s="14"/>
      <c r="S59" s="11"/>
      <c r="T59" s="8"/>
    </row>
    <row r="60" spans="8:20" ht="14.4">
      <c r="H60" s="5"/>
      <c r="I60" s="11"/>
      <c r="J60" s="14"/>
      <c r="K60" s="11"/>
      <c r="L60" s="14"/>
      <c r="M60" s="11"/>
      <c r="N60" s="14"/>
      <c r="O60" s="11"/>
      <c r="P60" s="14"/>
      <c r="Q60" s="11"/>
      <c r="R60" s="14"/>
      <c r="S60" s="11"/>
      <c r="T60" s="8"/>
    </row>
    <row r="61" spans="8:20" ht="14.4">
      <c r="H61" s="5"/>
      <c r="I61" s="11"/>
      <c r="J61" s="14"/>
      <c r="K61" s="11"/>
      <c r="L61" s="14"/>
      <c r="M61" s="11"/>
      <c r="N61" s="14"/>
      <c r="O61" s="11"/>
      <c r="P61" s="14"/>
      <c r="Q61" s="11"/>
      <c r="R61" s="14"/>
      <c r="S61" s="11"/>
      <c r="T61" s="8"/>
    </row>
    <row r="62" spans="8:20" ht="14.4">
      <c r="H62" s="5"/>
      <c r="I62" s="11"/>
      <c r="J62" s="14"/>
      <c r="K62" s="11"/>
      <c r="L62" s="14"/>
      <c r="M62" s="11"/>
      <c r="N62" s="14"/>
      <c r="O62" s="11"/>
      <c r="P62" s="14"/>
      <c r="Q62" s="11"/>
      <c r="R62" s="14"/>
      <c r="S62" s="11"/>
      <c r="T62" s="8"/>
    </row>
    <row r="63" spans="8:20" ht="14.4">
      <c r="H63" s="5"/>
      <c r="I63" s="11"/>
      <c r="J63" s="14"/>
      <c r="K63" s="11"/>
      <c r="L63" s="14"/>
      <c r="M63" s="11"/>
      <c r="N63" s="14"/>
      <c r="O63" s="11"/>
      <c r="P63" s="14"/>
      <c r="Q63" s="11"/>
      <c r="R63" s="14"/>
      <c r="S63" s="11"/>
      <c r="T63" s="8"/>
    </row>
    <row r="64" spans="8:20" ht="14.4">
      <c r="H64" s="5"/>
      <c r="I64" s="11"/>
      <c r="J64" s="14"/>
      <c r="K64" s="11"/>
      <c r="L64" s="14"/>
      <c r="M64" s="11"/>
      <c r="N64" s="14"/>
      <c r="O64" s="11"/>
      <c r="P64" s="14"/>
      <c r="Q64" s="11"/>
      <c r="R64" s="14"/>
      <c r="S64" s="11"/>
      <c r="T64" s="8"/>
    </row>
    <row r="65" spans="8:20" ht="14.4">
      <c r="H65" s="5"/>
      <c r="I65" s="11"/>
      <c r="J65" s="14"/>
      <c r="K65" s="11"/>
      <c r="L65" s="14"/>
      <c r="M65" s="11"/>
      <c r="N65" s="14"/>
      <c r="O65" s="11"/>
      <c r="P65" s="14"/>
      <c r="Q65" s="11"/>
      <c r="R65" s="14"/>
      <c r="S65" s="11"/>
      <c r="T65" s="8"/>
    </row>
    <row r="66" spans="8:20" ht="14.4">
      <c r="H66" s="5"/>
      <c r="I66" s="11"/>
      <c r="J66" s="14"/>
      <c r="K66" s="11"/>
      <c r="L66" s="14"/>
      <c r="M66" s="11"/>
      <c r="N66" s="14"/>
      <c r="O66" s="11"/>
      <c r="P66" s="14"/>
      <c r="Q66" s="11"/>
      <c r="R66" s="14"/>
      <c r="S66" s="11"/>
      <c r="T66" s="8"/>
    </row>
    <row r="67" spans="8:20" ht="14.4">
      <c r="H67" s="5"/>
      <c r="I67" s="11"/>
      <c r="J67" s="14"/>
      <c r="K67" s="11"/>
      <c r="L67" s="14"/>
      <c r="M67" s="11"/>
      <c r="N67" s="14"/>
      <c r="O67" s="11"/>
      <c r="P67" s="14"/>
      <c r="Q67" s="11"/>
      <c r="R67" s="14"/>
      <c r="S67" s="11"/>
      <c r="T67" s="8"/>
    </row>
    <row r="68" spans="8:20" ht="14.4">
      <c r="H68" s="5"/>
      <c r="I68" s="11"/>
      <c r="J68" s="14"/>
      <c r="K68" s="11"/>
      <c r="L68" s="14"/>
      <c r="M68" s="11"/>
      <c r="N68" s="14"/>
      <c r="O68" s="11"/>
      <c r="P68" s="14"/>
      <c r="Q68" s="11"/>
      <c r="R68" s="14"/>
      <c r="S68" s="11"/>
      <c r="T68" s="8"/>
    </row>
    <row r="69" spans="8:20" ht="14.4">
      <c r="H69" s="5"/>
      <c r="I69" s="11"/>
      <c r="J69" s="14"/>
      <c r="K69" s="11"/>
      <c r="L69" s="14"/>
      <c r="M69" s="11"/>
      <c r="N69" s="14"/>
      <c r="O69" s="11"/>
      <c r="P69" s="14"/>
      <c r="Q69" s="11"/>
      <c r="R69" s="14"/>
      <c r="S69" s="11"/>
      <c r="T69" s="8"/>
    </row>
    <row r="70" spans="8:20" ht="14.4">
      <c r="H70" s="5"/>
      <c r="I70" s="11"/>
      <c r="J70" s="14"/>
      <c r="K70" s="11"/>
      <c r="L70" s="14"/>
      <c r="M70" s="11"/>
      <c r="N70" s="14"/>
      <c r="O70" s="11"/>
      <c r="P70" s="14"/>
      <c r="Q70" s="11"/>
      <c r="R70" s="14"/>
      <c r="S70" s="11"/>
      <c r="T70" s="8"/>
    </row>
    <row r="71" spans="8:20" ht="14.4">
      <c r="H71" s="5"/>
      <c r="I71" s="11"/>
      <c r="J71" s="14"/>
      <c r="K71" s="11"/>
      <c r="L71" s="14"/>
      <c r="M71" s="11"/>
      <c r="N71" s="14"/>
      <c r="O71" s="11"/>
      <c r="P71" s="14"/>
      <c r="Q71" s="11"/>
      <c r="R71" s="14"/>
      <c r="S71" s="11"/>
      <c r="T71" s="8"/>
    </row>
    <row r="72" spans="8:20" ht="14.4">
      <c r="H72" s="5"/>
      <c r="I72" s="11"/>
      <c r="J72" s="14"/>
      <c r="K72" s="11"/>
      <c r="L72" s="14"/>
      <c r="M72" s="11"/>
      <c r="N72" s="14"/>
      <c r="O72" s="11"/>
      <c r="P72" s="14"/>
      <c r="Q72" s="11"/>
      <c r="R72" s="14"/>
      <c r="S72" s="11"/>
      <c r="T72" s="8"/>
    </row>
    <row r="73" spans="8:20" ht="14.4">
      <c r="H73" s="5"/>
      <c r="I73" s="11"/>
      <c r="J73" s="14"/>
      <c r="K73" s="11"/>
      <c r="L73" s="14"/>
      <c r="M73" s="11"/>
      <c r="N73" s="14"/>
      <c r="O73" s="11"/>
      <c r="P73" s="14"/>
      <c r="Q73" s="11"/>
      <c r="R73" s="14"/>
      <c r="S73" s="11"/>
      <c r="T73" s="8"/>
    </row>
    <row r="74" spans="8:20" ht="14.4">
      <c r="H74" s="5"/>
      <c r="I74" s="11"/>
      <c r="J74" s="14"/>
      <c r="K74" s="11"/>
      <c r="L74" s="14"/>
      <c r="M74" s="11"/>
      <c r="N74" s="14"/>
      <c r="O74" s="11"/>
      <c r="P74" s="14"/>
      <c r="Q74" s="11"/>
      <c r="R74" s="14"/>
      <c r="S74" s="11"/>
      <c r="T74" s="8"/>
    </row>
    <row r="75" spans="8:20" ht="14.4">
      <c r="H75" s="5"/>
      <c r="I75" s="11"/>
      <c r="J75" s="14"/>
      <c r="K75" s="11"/>
      <c r="L75" s="14"/>
      <c r="M75" s="11"/>
      <c r="N75" s="14"/>
      <c r="O75" s="11"/>
      <c r="P75" s="14"/>
      <c r="Q75" s="11"/>
      <c r="R75" s="14"/>
      <c r="S75" s="11"/>
      <c r="T75" s="8"/>
    </row>
    <row r="76" spans="8:20" ht="14.4">
      <c r="H76" s="5"/>
      <c r="I76" s="11"/>
      <c r="J76" s="14"/>
      <c r="K76" s="11"/>
      <c r="L76" s="14"/>
      <c r="M76" s="11"/>
      <c r="N76" s="14"/>
      <c r="O76" s="11"/>
      <c r="P76" s="14"/>
      <c r="Q76" s="11"/>
      <c r="R76" s="14"/>
      <c r="S76" s="11"/>
      <c r="T76" s="8"/>
    </row>
    <row r="77" spans="8:20" ht="14.4">
      <c r="H77" s="5"/>
      <c r="I77" s="11"/>
      <c r="J77" s="14"/>
      <c r="K77" s="11"/>
      <c r="L77" s="14"/>
      <c r="M77" s="11"/>
      <c r="N77" s="14"/>
      <c r="O77" s="11"/>
      <c r="P77" s="14"/>
      <c r="Q77" s="11"/>
      <c r="R77" s="14"/>
      <c r="S77" s="11"/>
      <c r="T77" s="8"/>
    </row>
    <row r="78" spans="8:20" ht="14.4">
      <c r="H78" s="5"/>
      <c r="I78" s="11"/>
      <c r="J78" s="14"/>
      <c r="K78" s="11"/>
      <c r="L78" s="14"/>
      <c r="M78" s="11"/>
      <c r="N78" s="14"/>
      <c r="O78" s="11"/>
      <c r="P78" s="14"/>
      <c r="Q78" s="11"/>
      <c r="R78" s="14"/>
      <c r="S78" s="11"/>
      <c r="T78" s="8"/>
    </row>
    <row r="79" spans="8:20" ht="14.4">
      <c r="H79" s="5"/>
      <c r="I79" s="11"/>
      <c r="J79" s="14"/>
      <c r="K79" s="11"/>
      <c r="L79" s="14"/>
      <c r="M79" s="11"/>
      <c r="N79" s="14"/>
      <c r="O79" s="11"/>
      <c r="P79" s="14"/>
      <c r="Q79" s="11"/>
      <c r="R79" s="14"/>
      <c r="S79" s="11"/>
      <c r="T79" s="8"/>
    </row>
    <row r="80" spans="8:20" ht="14.4">
      <c r="H80" s="5"/>
      <c r="I80" s="11"/>
      <c r="J80" s="14"/>
      <c r="K80" s="11"/>
      <c r="L80" s="14"/>
      <c r="M80" s="11"/>
      <c r="N80" s="14"/>
      <c r="O80" s="11"/>
      <c r="P80" s="14"/>
      <c r="Q80" s="11"/>
      <c r="R80" s="14"/>
      <c r="S80" s="11"/>
      <c r="T80" s="8"/>
    </row>
    <row r="81" spans="8:20" ht="14.4">
      <c r="H81" s="5"/>
      <c r="I81" s="11"/>
      <c r="J81" s="14"/>
      <c r="K81" s="11"/>
      <c r="L81" s="14"/>
      <c r="M81" s="11"/>
      <c r="N81" s="14"/>
      <c r="O81" s="11"/>
      <c r="P81" s="14"/>
      <c r="Q81" s="11"/>
      <c r="R81" s="14"/>
      <c r="S81" s="11"/>
      <c r="T81" s="8"/>
    </row>
    <row r="82" spans="8:20" ht="14.4">
      <c r="H82" s="5"/>
      <c r="I82" s="11"/>
      <c r="J82" s="14"/>
      <c r="K82" s="11"/>
      <c r="L82" s="14"/>
      <c r="M82" s="11"/>
      <c r="N82" s="14"/>
      <c r="O82" s="11"/>
      <c r="P82" s="14"/>
      <c r="Q82" s="11"/>
      <c r="R82" s="14"/>
      <c r="S82" s="11"/>
      <c r="T82" s="8"/>
    </row>
    <row r="83" spans="8:20" ht="14.4">
      <c r="H83" s="5"/>
      <c r="I83" s="11"/>
      <c r="J83" s="14"/>
      <c r="K83" s="11"/>
      <c r="L83" s="14"/>
      <c r="M83" s="11"/>
      <c r="N83" s="14"/>
      <c r="O83" s="11"/>
      <c r="P83" s="14"/>
      <c r="Q83" s="11"/>
      <c r="R83" s="14"/>
      <c r="S83" s="11"/>
      <c r="T83" s="8"/>
    </row>
    <row r="84" spans="8:20" ht="14.4">
      <c r="H84" s="5"/>
      <c r="I84" s="11"/>
      <c r="J84" s="14"/>
      <c r="K84" s="11"/>
      <c r="L84" s="14"/>
      <c r="M84" s="11"/>
      <c r="N84" s="14"/>
      <c r="O84" s="11"/>
      <c r="P84" s="14"/>
      <c r="Q84" s="11"/>
      <c r="R84" s="14"/>
      <c r="S84" s="11"/>
      <c r="T84" s="8"/>
    </row>
    <row r="85" spans="8:20" ht="14.4">
      <c r="H85" s="5"/>
      <c r="I85" s="11"/>
      <c r="J85" s="14"/>
      <c r="K85" s="11"/>
      <c r="L85" s="14"/>
      <c r="M85" s="11"/>
      <c r="N85" s="14"/>
      <c r="O85" s="11"/>
      <c r="P85" s="14"/>
      <c r="Q85" s="11"/>
      <c r="R85" s="14"/>
      <c r="S85" s="11"/>
      <c r="T85" s="8"/>
    </row>
    <row r="86" spans="8:20" ht="14.4">
      <c r="H86" s="5"/>
      <c r="I86" s="11"/>
      <c r="J86" s="14"/>
      <c r="K86" s="11"/>
      <c r="L86" s="14"/>
      <c r="M86" s="11"/>
      <c r="N86" s="14"/>
      <c r="O86" s="11"/>
      <c r="P86" s="14"/>
      <c r="Q86" s="11"/>
      <c r="R86" s="14"/>
      <c r="S86" s="11"/>
      <c r="T86" s="8"/>
    </row>
    <row r="87" spans="8:20" ht="14.4">
      <c r="H87" s="5"/>
      <c r="I87" s="11"/>
      <c r="J87" s="14"/>
      <c r="K87" s="11"/>
      <c r="L87" s="14"/>
      <c r="M87" s="11"/>
      <c r="N87" s="14"/>
      <c r="O87" s="11"/>
      <c r="P87" s="14"/>
      <c r="Q87" s="11"/>
      <c r="R87" s="14"/>
      <c r="S87" s="11"/>
      <c r="T87" s="8"/>
    </row>
    <row r="88" spans="8:20" ht="14.4">
      <c r="H88" s="5"/>
      <c r="I88" s="11"/>
      <c r="J88" s="14"/>
      <c r="K88" s="11"/>
      <c r="L88" s="14"/>
      <c r="M88" s="11"/>
      <c r="N88" s="14"/>
      <c r="O88" s="11"/>
      <c r="P88" s="14"/>
      <c r="Q88" s="11"/>
      <c r="R88" s="14"/>
      <c r="S88" s="11"/>
      <c r="T88" s="8"/>
    </row>
    <row r="89" spans="8:20" ht="14.4">
      <c r="H89" s="5"/>
      <c r="I89" s="11"/>
      <c r="J89" s="14"/>
      <c r="K89" s="11"/>
      <c r="L89" s="14"/>
      <c r="M89" s="11"/>
      <c r="N89" s="14"/>
      <c r="O89" s="11"/>
      <c r="P89" s="14"/>
      <c r="Q89" s="11"/>
      <c r="R89" s="14"/>
      <c r="S89" s="11"/>
      <c r="T89" s="8"/>
    </row>
    <row r="90" spans="8:20" ht="14.4">
      <c r="H90" s="5"/>
      <c r="I90" s="11"/>
      <c r="J90" s="14"/>
      <c r="K90" s="11"/>
      <c r="L90" s="14"/>
      <c r="M90" s="11"/>
      <c r="N90" s="14"/>
      <c r="O90" s="11"/>
      <c r="P90" s="14"/>
      <c r="Q90" s="11"/>
      <c r="R90" s="14"/>
      <c r="S90" s="11"/>
      <c r="T90" s="8"/>
    </row>
    <row r="91" spans="8:20" ht="14.4">
      <c r="H91" s="5"/>
      <c r="I91" s="11"/>
      <c r="J91" s="14"/>
      <c r="K91" s="11"/>
      <c r="L91" s="14"/>
      <c r="M91" s="11"/>
      <c r="N91" s="14"/>
      <c r="O91" s="11"/>
      <c r="P91" s="14"/>
      <c r="Q91" s="11"/>
      <c r="R91" s="14"/>
      <c r="S91" s="11"/>
      <c r="T91" s="8"/>
    </row>
    <row r="92" spans="8:20" ht="14.4">
      <c r="H92" s="5"/>
      <c r="I92" s="11"/>
      <c r="J92" s="14"/>
      <c r="K92" s="11"/>
      <c r="L92" s="14"/>
      <c r="M92" s="11"/>
      <c r="N92" s="14"/>
      <c r="O92" s="11"/>
      <c r="P92" s="14"/>
      <c r="Q92" s="11"/>
      <c r="R92" s="14"/>
      <c r="S92" s="11"/>
      <c r="T92" s="8"/>
    </row>
    <row r="93" spans="8:20" ht="14.4">
      <c r="H93" s="5"/>
      <c r="I93" s="11"/>
      <c r="J93" s="14"/>
      <c r="K93" s="11"/>
      <c r="L93" s="14"/>
      <c r="M93" s="11"/>
      <c r="N93" s="14"/>
      <c r="O93" s="11"/>
      <c r="P93" s="14"/>
      <c r="Q93" s="11"/>
      <c r="R93" s="14"/>
      <c r="S93" s="11"/>
      <c r="T93" s="8"/>
    </row>
    <row r="94" spans="8:20" ht="14.4">
      <c r="H94" s="5"/>
      <c r="I94" s="11"/>
      <c r="J94" s="14"/>
      <c r="K94" s="11"/>
      <c r="L94" s="14"/>
      <c r="M94" s="11"/>
      <c r="N94" s="14"/>
      <c r="O94" s="11"/>
      <c r="P94" s="14"/>
      <c r="Q94" s="11"/>
      <c r="R94" s="14"/>
      <c r="S94" s="11"/>
      <c r="T94" s="8"/>
    </row>
    <row r="95" spans="8:20" ht="14.4">
      <c r="H95" s="5"/>
      <c r="I95" s="11"/>
      <c r="J95" s="14"/>
      <c r="K95" s="11"/>
      <c r="L95" s="14"/>
      <c r="M95" s="11"/>
      <c r="N95" s="14"/>
      <c r="O95" s="11"/>
      <c r="P95" s="14"/>
      <c r="Q95" s="11"/>
      <c r="R95" s="14"/>
      <c r="S95" s="11"/>
      <c r="T95" s="8"/>
    </row>
    <row r="96" spans="8:20" ht="14.4">
      <c r="H96" s="5"/>
      <c r="I96" s="11"/>
      <c r="J96" s="14"/>
      <c r="K96" s="11"/>
      <c r="L96" s="14"/>
      <c r="M96" s="11"/>
      <c r="N96" s="14"/>
      <c r="O96" s="11"/>
      <c r="P96" s="14"/>
      <c r="Q96" s="11"/>
      <c r="R96" s="14"/>
      <c r="S96" s="11"/>
      <c r="T96" s="8"/>
    </row>
    <row r="97" spans="8:20" ht="14.4">
      <c r="H97" s="5"/>
      <c r="I97" s="11"/>
      <c r="J97" s="14"/>
      <c r="K97" s="11"/>
      <c r="L97" s="14"/>
      <c r="M97" s="11"/>
      <c r="N97" s="14"/>
      <c r="O97" s="11"/>
      <c r="P97" s="14"/>
      <c r="Q97" s="11"/>
      <c r="R97" s="14"/>
      <c r="S97" s="11"/>
      <c r="T97" s="8"/>
    </row>
    <row r="98" spans="8:20" ht="14.4">
      <c r="H98" s="5"/>
      <c r="I98" s="11"/>
      <c r="J98" s="14"/>
      <c r="K98" s="11"/>
      <c r="L98" s="14"/>
      <c r="M98" s="11"/>
      <c r="N98" s="14"/>
      <c r="O98" s="11"/>
      <c r="P98" s="14"/>
      <c r="Q98" s="11"/>
      <c r="R98" s="14"/>
      <c r="S98" s="11"/>
      <c r="T98" s="8"/>
    </row>
    <row r="99" spans="8:20" ht="14.4">
      <c r="H99" s="5"/>
      <c r="I99" s="11"/>
      <c r="J99" s="14"/>
      <c r="K99" s="11"/>
      <c r="L99" s="14"/>
      <c r="M99" s="11"/>
      <c r="N99" s="14"/>
      <c r="O99" s="11"/>
      <c r="P99" s="14"/>
      <c r="Q99" s="11"/>
      <c r="R99" s="14"/>
      <c r="S99" s="11"/>
      <c r="T99" s="8"/>
    </row>
    <row r="100" spans="8:20" ht="14.4">
      <c r="H100" s="5"/>
      <c r="I100" s="11"/>
      <c r="J100" s="14"/>
      <c r="K100" s="11"/>
      <c r="L100" s="14"/>
      <c r="M100" s="11"/>
      <c r="N100" s="14"/>
      <c r="O100" s="11"/>
      <c r="P100" s="14"/>
      <c r="Q100" s="11"/>
      <c r="R100" s="14"/>
      <c r="S100" s="11"/>
      <c r="T100" s="8"/>
    </row>
    <row r="101" spans="8:20" ht="14.4">
      <c r="H101" s="5"/>
      <c r="I101" s="11"/>
      <c r="J101" s="14"/>
      <c r="K101" s="11"/>
      <c r="L101" s="14"/>
      <c r="M101" s="11"/>
      <c r="N101" s="14"/>
      <c r="O101" s="11"/>
      <c r="P101" s="14"/>
      <c r="Q101" s="11"/>
      <c r="R101" s="14"/>
      <c r="S101" s="11"/>
      <c r="T101" s="8"/>
    </row>
    <row r="102" spans="8:20" ht="14.4">
      <c r="H102" s="5"/>
      <c r="I102" s="11"/>
      <c r="J102" s="14"/>
      <c r="K102" s="11"/>
      <c r="L102" s="14"/>
      <c r="M102" s="11"/>
      <c r="N102" s="14"/>
      <c r="O102" s="11"/>
      <c r="P102" s="14"/>
      <c r="Q102" s="11"/>
      <c r="R102" s="14"/>
      <c r="S102" s="11"/>
      <c r="T102" s="8"/>
    </row>
    <row r="103" spans="8:20" ht="14.4">
      <c r="H103" s="5"/>
      <c r="I103" s="11"/>
      <c r="J103" s="14"/>
      <c r="K103" s="11"/>
      <c r="L103" s="14"/>
      <c r="M103" s="11"/>
      <c r="N103" s="14"/>
      <c r="O103" s="11"/>
      <c r="P103" s="14"/>
      <c r="Q103" s="11"/>
      <c r="R103" s="14"/>
      <c r="S103" s="11"/>
      <c r="T103" s="8"/>
    </row>
    <row r="104" spans="8:20" ht="14.4">
      <c r="H104" s="5"/>
      <c r="I104" s="11"/>
      <c r="J104" s="14"/>
      <c r="K104" s="11"/>
      <c r="L104" s="14"/>
      <c r="M104" s="11"/>
      <c r="N104" s="14"/>
      <c r="O104" s="11"/>
      <c r="P104" s="14"/>
      <c r="Q104" s="11"/>
      <c r="R104" s="14"/>
      <c r="S104" s="11"/>
      <c r="T104" s="8"/>
    </row>
    <row r="105" spans="8:20" ht="14.4">
      <c r="H105" s="5"/>
      <c r="I105" s="11"/>
      <c r="J105" s="14"/>
      <c r="K105" s="11"/>
      <c r="L105" s="14"/>
      <c r="M105" s="11"/>
      <c r="N105" s="14"/>
      <c r="O105" s="11"/>
      <c r="P105" s="14"/>
      <c r="Q105" s="11"/>
      <c r="R105" s="14"/>
      <c r="S105" s="11"/>
      <c r="T105" s="8"/>
    </row>
    <row r="106" spans="8:20" ht="14.4">
      <c r="H106" s="5"/>
      <c r="I106" s="11"/>
      <c r="J106" s="14"/>
      <c r="K106" s="11"/>
      <c r="L106" s="14"/>
      <c r="M106" s="11"/>
      <c r="N106" s="14"/>
      <c r="O106" s="11"/>
      <c r="P106" s="14"/>
      <c r="Q106" s="11"/>
      <c r="R106" s="14"/>
      <c r="S106" s="11"/>
      <c r="T106" s="8"/>
    </row>
    <row r="107" spans="8:20" ht="14.4">
      <c r="H107" s="5"/>
      <c r="I107" s="11"/>
      <c r="J107" s="14"/>
      <c r="K107" s="11"/>
      <c r="L107" s="14"/>
      <c r="M107" s="11"/>
      <c r="N107" s="14"/>
      <c r="O107" s="11"/>
      <c r="P107" s="14"/>
      <c r="Q107" s="11"/>
      <c r="R107" s="14"/>
      <c r="S107" s="11"/>
      <c r="T107" s="8"/>
    </row>
    <row r="108" spans="8:20" ht="14.4">
      <c r="H108" s="5"/>
      <c r="I108" s="11"/>
      <c r="J108" s="14"/>
      <c r="K108" s="11"/>
      <c r="L108" s="14"/>
      <c r="M108" s="11"/>
      <c r="N108" s="14"/>
      <c r="O108" s="11"/>
      <c r="P108" s="14"/>
      <c r="Q108" s="11"/>
      <c r="R108" s="14"/>
      <c r="S108" s="11"/>
      <c r="T108" s="8"/>
    </row>
    <row r="109" spans="8:20" ht="14.4">
      <c r="H109" s="5"/>
      <c r="I109" s="11"/>
      <c r="J109" s="14"/>
      <c r="K109" s="11"/>
      <c r="L109" s="14"/>
      <c r="M109" s="11"/>
      <c r="N109" s="14"/>
      <c r="O109" s="11"/>
      <c r="P109" s="14"/>
      <c r="Q109" s="11"/>
      <c r="R109" s="14"/>
      <c r="S109" s="11"/>
      <c r="T109" s="8"/>
    </row>
    <row r="110" spans="8:20" ht="14.4">
      <c r="H110" s="5"/>
      <c r="I110" s="11"/>
      <c r="J110" s="14"/>
      <c r="K110" s="11"/>
      <c r="L110" s="14"/>
      <c r="M110" s="11"/>
      <c r="N110" s="14"/>
      <c r="O110" s="11"/>
      <c r="P110" s="14"/>
      <c r="Q110" s="11"/>
      <c r="R110" s="14"/>
      <c r="S110" s="11"/>
      <c r="T110" s="8"/>
    </row>
    <row r="111" spans="8:20" ht="14.4">
      <c r="H111" s="5"/>
      <c r="I111" s="11"/>
      <c r="J111" s="14"/>
      <c r="K111" s="11"/>
      <c r="L111" s="14"/>
      <c r="M111" s="11"/>
      <c r="N111" s="14"/>
      <c r="O111" s="11"/>
      <c r="P111" s="14"/>
      <c r="Q111" s="11"/>
      <c r="R111" s="14"/>
      <c r="S111" s="11"/>
      <c r="T111" s="8"/>
    </row>
    <row r="112" spans="8:20" ht="14.4">
      <c r="H112" s="5"/>
      <c r="I112" s="11"/>
      <c r="J112" s="14"/>
      <c r="K112" s="11"/>
      <c r="L112" s="14"/>
      <c r="M112" s="11"/>
      <c r="N112" s="14"/>
      <c r="O112" s="11"/>
      <c r="P112" s="14"/>
      <c r="Q112" s="11"/>
      <c r="R112" s="14"/>
      <c r="S112" s="11"/>
      <c r="T112" s="8"/>
    </row>
    <row r="113" spans="8:20" ht="14.4">
      <c r="H113" s="5"/>
      <c r="I113" s="11"/>
      <c r="J113" s="14"/>
      <c r="K113" s="11"/>
      <c r="L113" s="14"/>
      <c r="M113" s="11"/>
      <c r="N113" s="14"/>
      <c r="O113" s="11"/>
      <c r="P113" s="14"/>
      <c r="Q113" s="11"/>
      <c r="R113" s="14"/>
      <c r="S113" s="11"/>
      <c r="T113" s="8"/>
    </row>
    <row r="114" spans="8:20" ht="14.4">
      <c r="H114" s="5"/>
      <c r="I114" s="11"/>
      <c r="J114" s="14"/>
      <c r="K114" s="11"/>
      <c r="L114" s="14"/>
      <c r="M114" s="11"/>
      <c r="N114" s="14"/>
      <c r="O114" s="11"/>
      <c r="P114" s="14"/>
      <c r="Q114" s="11"/>
      <c r="R114" s="14"/>
      <c r="S114" s="11"/>
      <c r="T114" s="8"/>
    </row>
    <row r="115" spans="8:20" ht="14.4">
      <c r="H115" s="5"/>
      <c r="I115" s="11"/>
      <c r="J115" s="14"/>
      <c r="K115" s="11"/>
      <c r="L115" s="14"/>
      <c r="M115" s="11"/>
      <c r="N115" s="14"/>
      <c r="O115" s="11"/>
      <c r="P115" s="14"/>
      <c r="Q115" s="11"/>
      <c r="R115" s="14"/>
      <c r="S115" s="11"/>
      <c r="T115" s="8"/>
    </row>
    <row r="116" spans="8:20" ht="14.4">
      <c r="H116" s="5"/>
      <c r="I116" s="11"/>
      <c r="J116" s="14"/>
      <c r="K116" s="11"/>
      <c r="L116" s="14"/>
      <c r="M116" s="11"/>
      <c r="N116" s="14"/>
      <c r="O116" s="11"/>
      <c r="P116" s="14"/>
      <c r="Q116" s="11"/>
      <c r="R116" s="14"/>
      <c r="S116" s="11"/>
      <c r="T116" s="8"/>
    </row>
    <row r="117" spans="8:20" ht="14.4">
      <c r="H117" s="5"/>
      <c r="I117" s="11"/>
      <c r="J117" s="14"/>
      <c r="K117" s="11"/>
      <c r="L117" s="14"/>
      <c r="M117" s="11"/>
      <c r="N117" s="14"/>
      <c r="O117" s="11"/>
      <c r="P117" s="14"/>
      <c r="Q117" s="11"/>
      <c r="R117" s="14"/>
      <c r="S117" s="11"/>
      <c r="T117" s="8"/>
    </row>
    <row r="118" spans="8:20" ht="14.4">
      <c r="H118" s="5"/>
      <c r="I118" s="11"/>
      <c r="J118" s="14"/>
      <c r="K118" s="11"/>
      <c r="L118" s="14"/>
      <c r="M118" s="11"/>
      <c r="N118" s="14"/>
      <c r="O118" s="11"/>
      <c r="P118" s="14"/>
      <c r="Q118" s="11"/>
      <c r="R118" s="14"/>
      <c r="S118" s="11"/>
      <c r="T118" s="8"/>
    </row>
    <row r="119" spans="8:20" ht="14.4">
      <c r="H119" s="5"/>
      <c r="I119" s="11"/>
      <c r="J119" s="14"/>
      <c r="K119" s="11"/>
      <c r="L119" s="14"/>
      <c r="M119" s="11"/>
      <c r="N119" s="14"/>
      <c r="O119" s="11"/>
      <c r="P119" s="14"/>
      <c r="Q119" s="11"/>
      <c r="R119" s="14"/>
      <c r="S119" s="11"/>
      <c r="T119" s="8"/>
    </row>
    <row r="120" spans="8:20" ht="14.4">
      <c r="H120" s="5"/>
      <c r="I120" s="11"/>
      <c r="J120" s="14"/>
      <c r="K120" s="11"/>
      <c r="L120" s="14"/>
      <c r="M120" s="11"/>
      <c r="N120" s="14"/>
      <c r="O120" s="11"/>
      <c r="P120" s="14"/>
      <c r="Q120" s="11"/>
      <c r="R120" s="14"/>
      <c r="S120" s="11"/>
      <c r="T120" s="8"/>
    </row>
    <row r="121" spans="8:20" ht="14.4">
      <c r="H121" s="5"/>
      <c r="I121" s="11"/>
      <c r="J121" s="14"/>
      <c r="K121" s="11"/>
      <c r="L121" s="14"/>
      <c r="M121" s="11"/>
      <c r="N121" s="14"/>
      <c r="O121" s="11"/>
      <c r="P121" s="14"/>
      <c r="Q121" s="11"/>
      <c r="R121" s="14"/>
      <c r="S121" s="11"/>
      <c r="T121" s="8"/>
    </row>
    <row r="122" spans="8:20" ht="14.4">
      <c r="H122" s="5"/>
      <c r="I122" s="11"/>
      <c r="J122" s="14"/>
      <c r="K122" s="11"/>
      <c r="L122" s="14"/>
      <c r="M122" s="11"/>
      <c r="N122" s="14"/>
      <c r="O122" s="11"/>
      <c r="P122" s="14"/>
      <c r="Q122" s="11"/>
      <c r="R122" s="14"/>
      <c r="S122" s="11"/>
      <c r="T122" s="8"/>
    </row>
    <row r="123" spans="8:20" ht="14.4">
      <c r="H123" s="5"/>
      <c r="I123" s="11"/>
      <c r="J123" s="14"/>
      <c r="K123" s="11"/>
      <c r="L123" s="14"/>
      <c r="M123" s="11"/>
      <c r="N123" s="14"/>
      <c r="O123" s="11"/>
      <c r="P123" s="14"/>
      <c r="Q123" s="11"/>
      <c r="R123" s="14"/>
      <c r="S123" s="11"/>
      <c r="T123" s="8"/>
    </row>
    <row r="124" spans="8:20" ht="14.4">
      <c r="H124" s="5"/>
      <c r="I124" s="11"/>
      <c r="J124" s="14"/>
      <c r="K124" s="11"/>
      <c r="L124" s="14"/>
      <c r="M124" s="11"/>
      <c r="N124" s="14"/>
      <c r="O124" s="11"/>
      <c r="P124" s="14"/>
      <c r="Q124" s="11"/>
      <c r="R124" s="14"/>
      <c r="S124" s="11"/>
      <c r="T124" s="8"/>
    </row>
    <row r="125" spans="8:20" ht="14.4">
      <c r="H125" s="5"/>
      <c r="I125" s="11"/>
      <c r="J125" s="14"/>
      <c r="K125" s="11"/>
      <c r="L125" s="14"/>
      <c r="M125" s="11"/>
      <c r="N125" s="14"/>
      <c r="O125" s="11"/>
      <c r="P125" s="14"/>
      <c r="Q125" s="11"/>
      <c r="R125" s="14"/>
      <c r="S125" s="11"/>
      <c r="T125" s="8"/>
    </row>
    <row r="126" spans="8:20" ht="14.4">
      <c r="H126" s="5"/>
      <c r="I126" s="11"/>
      <c r="J126" s="14"/>
      <c r="K126" s="11"/>
      <c r="L126" s="14"/>
      <c r="M126" s="11"/>
      <c r="N126" s="14"/>
      <c r="O126" s="11"/>
      <c r="P126" s="14"/>
      <c r="Q126" s="11"/>
      <c r="R126" s="14"/>
      <c r="S126" s="11"/>
      <c r="T126" s="8"/>
    </row>
    <row r="127" spans="8:20" ht="14.4">
      <c r="H127" s="5"/>
      <c r="I127" s="11"/>
      <c r="J127" s="14"/>
      <c r="K127" s="11"/>
      <c r="L127" s="14"/>
      <c r="M127" s="11"/>
      <c r="N127" s="14"/>
      <c r="O127" s="11"/>
      <c r="P127" s="14"/>
      <c r="Q127" s="11"/>
      <c r="R127" s="14"/>
      <c r="S127" s="11"/>
      <c r="T127" s="8"/>
    </row>
    <row r="128" spans="8:20" ht="14.4">
      <c r="H128" s="5"/>
      <c r="I128" s="11"/>
      <c r="J128" s="14"/>
      <c r="K128" s="11"/>
      <c r="L128" s="14"/>
      <c r="M128" s="11"/>
      <c r="N128" s="14"/>
      <c r="O128" s="11"/>
      <c r="P128" s="14"/>
      <c r="Q128" s="11"/>
      <c r="R128" s="14"/>
      <c r="S128" s="11"/>
      <c r="T128" s="8"/>
    </row>
    <row r="129" spans="8:20" ht="14.4">
      <c r="H129" s="5"/>
      <c r="I129" s="11"/>
      <c r="J129" s="14"/>
      <c r="K129" s="11"/>
      <c r="L129" s="14"/>
      <c r="M129" s="11"/>
      <c r="N129" s="14"/>
      <c r="O129" s="11"/>
      <c r="P129" s="14"/>
      <c r="Q129" s="11"/>
      <c r="R129" s="14"/>
      <c r="S129" s="11"/>
      <c r="T129" s="8"/>
    </row>
    <row r="130" spans="8:20" ht="14.4">
      <c r="H130" s="5"/>
      <c r="I130" s="11"/>
      <c r="J130" s="14"/>
      <c r="K130" s="11"/>
      <c r="L130" s="14"/>
      <c r="M130" s="11"/>
      <c r="N130" s="14"/>
      <c r="O130" s="11"/>
      <c r="P130" s="14"/>
      <c r="Q130" s="11"/>
      <c r="R130" s="14"/>
      <c r="S130" s="11"/>
      <c r="T130" s="8"/>
    </row>
    <row r="131" spans="8:20" ht="14.4">
      <c r="H131" s="5"/>
      <c r="I131" s="11"/>
      <c r="J131" s="14"/>
      <c r="K131" s="11"/>
      <c r="L131" s="14"/>
      <c r="M131" s="11"/>
      <c r="N131" s="14"/>
      <c r="O131" s="11"/>
      <c r="P131" s="14"/>
      <c r="Q131" s="11"/>
      <c r="R131" s="14"/>
      <c r="S131" s="11"/>
      <c r="T131" s="8"/>
    </row>
    <row r="132" spans="8:20" ht="14.4">
      <c r="H132" s="5"/>
      <c r="I132" s="11"/>
      <c r="J132" s="14"/>
      <c r="K132" s="11"/>
      <c r="L132" s="14"/>
      <c r="M132" s="11"/>
      <c r="N132" s="14"/>
      <c r="O132" s="11"/>
      <c r="P132" s="14"/>
      <c r="Q132" s="11"/>
      <c r="R132" s="14"/>
      <c r="S132" s="11"/>
      <c r="T132" s="8"/>
    </row>
    <row r="133" spans="8:20" ht="14.4">
      <c r="H133" s="5"/>
      <c r="I133" s="11"/>
      <c r="J133" s="14"/>
      <c r="K133" s="11"/>
      <c r="L133" s="14"/>
      <c r="M133" s="11"/>
      <c r="N133" s="14"/>
      <c r="O133" s="11"/>
      <c r="P133" s="14"/>
      <c r="Q133" s="11"/>
      <c r="R133" s="14"/>
      <c r="S133" s="11"/>
      <c r="T133" s="8"/>
    </row>
    <row r="134" spans="8:20" ht="14.4">
      <c r="H134" s="5"/>
      <c r="I134" s="11"/>
      <c r="J134" s="14"/>
      <c r="K134" s="11"/>
      <c r="L134" s="14"/>
      <c r="M134" s="11"/>
      <c r="N134" s="14"/>
      <c r="O134" s="11"/>
      <c r="P134" s="14"/>
      <c r="Q134" s="11"/>
      <c r="R134" s="14"/>
      <c r="S134" s="11"/>
      <c r="T134" s="8"/>
    </row>
    <row r="135" spans="8:20" ht="14.4">
      <c r="H135" s="5"/>
      <c r="I135" s="11"/>
      <c r="J135" s="14"/>
      <c r="K135" s="11"/>
      <c r="L135" s="14"/>
      <c r="M135" s="11"/>
      <c r="N135" s="14"/>
      <c r="O135" s="11"/>
      <c r="P135" s="14"/>
      <c r="Q135" s="11"/>
      <c r="R135" s="14"/>
      <c r="S135" s="11"/>
      <c r="T135" s="8"/>
    </row>
    <row r="136" spans="8:20" ht="14.4">
      <c r="H136" s="5"/>
      <c r="I136" s="11"/>
      <c r="J136" s="14"/>
      <c r="K136" s="11"/>
      <c r="L136" s="14"/>
      <c r="M136" s="11"/>
      <c r="N136" s="14"/>
      <c r="O136" s="11"/>
      <c r="P136" s="14"/>
      <c r="Q136" s="11"/>
      <c r="R136" s="14"/>
      <c r="S136" s="11"/>
      <c r="T136" s="8"/>
    </row>
    <row r="137" spans="8:20" ht="14.4">
      <c r="H137" s="5"/>
      <c r="I137" s="11"/>
      <c r="J137" s="14"/>
      <c r="K137" s="11"/>
      <c r="L137" s="14"/>
      <c r="M137" s="11"/>
      <c r="N137" s="14"/>
      <c r="O137" s="11"/>
      <c r="P137" s="14"/>
      <c r="Q137" s="11"/>
      <c r="R137" s="14"/>
      <c r="S137" s="11"/>
      <c r="T137" s="8"/>
    </row>
    <row r="138" spans="8:20" ht="14.4">
      <c r="H138" s="5"/>
      <c r="I138" s="11"/>
      <c r="J138" s="14"/>
      <c r="K138" s="11"/>
      <c r="L138" s="14"/>
      <c r="M138" s="11"/>
      <c r="N138" s="14"/>
      <c r="O138" s="11"/>
      <c r="P138" s="14"/>
      <c r="Q138" s="11"/>
      <c r="R138" s="14"/>
      <c r="S138" s="11"/>
      <c r="T138" s="8"/>
    </row>
    <row r="139" spans="8:20" ht="14.4">
      <c r="H139" s="5"/>
      <c r="I139" s="11"/>
      <c r="J139" s="14"/>
      <c r="K139" s="11"/>
      <c r="L139" s="14"/>
      <c r="M139" s="11"/>
      <c r="N139" s="14"/>
      <c r="O139" s="11"/>
      <c r="P139" s="14"/>
      <c r="Q139" s="11"/>
      <c r="R139" s="14"/>
      <c r="S139" s="11"/>
      <c r="T139" s="8"/>
    </row>
    <row r="140" spans="8:20" ht="14.4">
      <c r="H140" s="5"/>
      <c r="I140" s="11"/>
      <c r="J140" s="14"/>
      <c r="K140" s="11"/>
      <c r="L140" s="14"/>
      <c r="M140" s="11"/>
      <c r="N140" s="14"/>
      <c r="O140" s="11"/>
      <c r="P140" s="14"/>
      <c r="Q140" s="11"/>
      <c r="R140" s="14"/>
      <c r="S140" s="11"/>
      <c r="T140" s="8"/>
    </row>
    <row r="141" spans="8:20" ht="14.4">
      <c r="H141" s="5"/>
      <c r="I141" s="11"/>
      <c r="J141" s="14"/>
      <c r="K141" s="11"/>
      <c r="L141" s="14"/>
      <c r="M141" s="11"/>
      <c r="N141" s="14"/>
      <c r="O141" s="11"/>
      <c r="P141" s="14"/>
      <c r="Q141" s="11"/>
      <c r="R141" s="14"/>
      <c r="S141" s="11"/>
      <c r="T141" s="8"/>
    </row>
    <row r="142" spans="8:20" ht="14.4">
      <c r="H142" s="5"/>
      <c r="I142" s="11"/>
      <c r="J142" s="14"/>
      <c r="K142" s="11"/>
      <c r="L142" s="14"/>
      <c r="M142" s="11"/>
      <c r="N142" s="14"/>
      <c r="O142" s="11"/>
      <c r="P142" s="14"/>
      <c r="Q142" s="11"/>
      <c r="R142" s="14"/>
      <c r="S142" s="11"/>
      <c r="T142" s="8"/>
    </row>
    <row r="143" spans="8:20" ht="14.4">
      <c r="H143" s="5"/>
      <c r="I143" s="11"/>
      <c r="J143" s="14"/>
      <c r="K143" s="11"/>
      <c r="L143" s="14"/>
      <c r="M143" s="11"/>
      <c r="N143" s="14"/>
      <c r="O143" s="11"/>
      <c r="P143" s="14"/>
      <c r="Q143" s="11"/>
      <c r="R143" s="14"/>
      <c r="S143" s="11"/>
      <c r="T143" s="8"/>
    </row>
    <row r="144" spans="8:20" ht="14.4">
      <c r="H144" s="5"/>
      <c r="I144" s="11"/>
      <c r="J144" s="14"/>
      <c r="K144" s="11"/>
      <c r="L144" s="14"/>
      <c r="M144" s="11"/>
      <c r="N144" s="14"/>
      <c r="O144" s="11"/>
      <c r="P144" s="14"/>
      <c r="Q144" s="11"/>
      <c r="R144" s="14"/>
      <c r="S144" s="11"/>
      <c r="T144" s="8"/>
    </row>
    <row r="145" spans="8:20" ht="14.4">
      <c r="H145" s="5"/>
      <c r="I145" s="11"/>
      <c r="J145" s="14"/>
      <c r="K145" s="11"/>
      <c r="L145" s="14"/>
      <c r="M145" s="11"/>
      <c r="N145" s="14"/>
      <c r="O145" s="11"/>
      <c r="P145" s="14"/>
      <c r="Q145" s="11"/>
      <c r="R145" s="14"/>
      <c r="S145" s="11"/>
      <c r="T145" s="8"/>
    </row>
    <row r="146" spans="8:20" ht="14.4">
      <c r="H146" s="5"/>
      <c r="I146" s="11"/>
      <c r="J146" s="14"/>
      <c r="K146" s="11"/>
      <c r="L146" s="14"/>
      <c r="M146" s="11"/>
      <c r="N146" s="14"/>
      <c r="O146" s="11"/>
      <c r="P146" s="14"/>
      <c r="Q146" s="11"/>
      <c r="R146" s="14"/>
      <c r="S146" s="11"/>
      <c r="T146" s="8"/>
    </row>
    <row r="147" spans="8:20" ht="14.4">
      <c r="H147" s="5"/>
      <c r="I147" s="11"/>
      <c r="J147" s="14"/>
      <c r="K147" s="11"/>
      <c r="L147" s="14"/>
      <c r="M147" s="11"/>
      <c r="N147" s="14"/>
      <c r="O147" s="11"/>
      <c r="P147" s="14"/>
      <c r="Q147" s="11"/>
      <c r="R147" s="14"/>
      <c r="S147" s="11"/>
      <c r="T147" s="8"/>
    </row>
    <row r="148" spans="8:20" ht="14.4">
      <c r="H148" s="5"/>
      <c r="I148" s="11"/>
      <c r="J148" s="14"/>
      <c r="K148" s="11"/>
      <c r="L148" s="14"/>
      <c r="M148" s="11"/>
      <c r="N148" s="14"/>
      <c r="O148" s="11"/>
      <c r="P148" s="14"/>
      <c r="Q148" s="11"/>
      <c r="R148" s="14"/>
      <c r="S148" s="11"/>
      <c r="T148" s="8"/>
    </row>
    <row r="149" spans="8:20" ht="14.4">
      <c r="H149" s="5"/>
      <c r="I149" s="11"/>
      <c r="J149" s="14"/>
      <c r="K149" s="11"/>
      <c r="L149" s="14"/>
      <c r="M149" s="11"/>
      <c r="N149" s="14"/>
      <c r="O149" s="11"/>
      <c r="P149" s="14"/>
      <c r="Q149" s="11"/>
      <c r="R149" s="14"/>
      <c r="S149" s="11"/>
      <c r="T149" s="8"/>
    </row>
    <row r="150" spans="8:20" ht="14.4">
      <c r="H150" s="5"/>
      <c r="I150" s="11"/>
      <c r="J150" s="14"/>
      <c r="K150" s="11"/>
      <c r="L150" s="14"/>
      <c r="M150" s="11"/>
      <c r="N150" s="14"/>
      <c r="O150" s="11"/>
      <c r="P150" s="14"/>
      <c r="Q150" s="11"/>
      <c r="R150" s="14"/>
      <c r="S150" s="11"/>
      <c r="T150" s="8"/>
    </row>
    <row r="151" spans="8:20" ht="14.4">
      <c r="H151" s="5"/>
      <c r="I151" s="11"/>
      <c r="J151" s="14"/>
      <c r="K151" s="11"/>
      <c r="L151" s="14"/>
      <c r="M151" s="11"/>
      <c r="N151" s="14"/>
      <c r="O151" s="11"/>
      <c r="P151" s="14"/>
      <c r="Q151" s="11"/>
      <c r="R151" s="14"/>
      <c r="S151" s="11"/>
      <c r="T151" s="8"/>
    </row>
    <row r="152" spans="8:20" ht="14.4">
      <c r="H152" s="5"/>
      <c r="I152" s="11"/>
      <c r="J152" s="14"/>
      <c r="K152" s="11"/>
      <c r="L152" s="14"/>
      <c r="M152" s="11"/>
      <c r="N152" s="14"/>
      <c r="O152" s="11"/>
      <c r="P152" s="14"/>
      <c r="Q152" s="11"/>
      <c r="R152" s="14"/>
      <c r="S152" s="11"/>
      <c r="T152" s="8"/>
    </row>
    <row r="153" spans="8:20" ht="14.4">
      <c r="H153" s="5"/>
      <c r="I153" s="11"/>
      <c r="J153" s="14"/>
      <c r="K153" s="11"/>
      <c r="L153" s="14"/>
      <c r="M153" s="11"/>
      <c r="N153" s="14"/>
      <c r="O153" s="11"/>
      <c r="P153" s="14"/>
      <c r="Q153" s="11"/>
      <c r="R153" s="14"/>
      <c r="S153" s="11"/>
      <c r="T153" s="8"/>
    </row>
    <row r="154" spans="8:20" ht="14.4">
      <c r="H154" s="5"/>
      <c r="I154" s="11"/>
      <c r="J154" s="14"/>
      <c r="K154" s="11"/>
      <c r="L154" s="14"/>
      <c r="M154" s="11"/>
      <c r="N154" s="14"/>
      <c r="O154" s="11"/>
      <c r="P154" s="14"/>
      <c r="Q154" s="11"/>
      <c r="R154" s="14"/>
      <c r="S154" s="11"/>
      <c r="T154" s="8"/>
    </row>
    <row r="155" spans="8:20" ht="14.4">
      <c r="H155" s="5"/>
      <c r="I155" s="11"/>
      <c r="J155" s="14"/>
      <c r="K155" s="11"/>
      <c r="L155" s="14"/>
      <c r="M155" s="11"/>
      <c r="N155" s="14"/>
      <c r="O155" s="11"/>
      <c r="P155" s="14"/>
      <c r="Q155" s="11"/>
      <c r="R155" s="14"/>
      <c r="S155" s="11"/>
      <c r="T155" s="8"/>
    </row>
    <row r="156" spans="8:20" ht="14.4">
      <c r="H156" s="5"/>
      <c r="I156" s="11"/>
      <c r="J156" s="14"/>
      <c r="K156" s="11"/>
      <c r="L156" s="14"/>
      <c r="M156" s="11"/>
      <c r="N156" s="14"/>
      <c r="O156" s="11"/>
      <c r="P156" s="14"/>
      <c r="Q156" s="11"/>
      <c r="R156" s="14"/>
      <c r="S156" s="11"/>
      <c r="T156" s="8"/>
    </row>
    <row r="157" spans="8:20" ht="14.4">
      <c r="H157" s="5"/>
      <c r="I157" s="11"/>
      <c r="J157" s="14"/>
      <c r="K157" s="11"/>
      <c r="L157" s="14"/>
      <c r="M157" s="11"/>
      <c r="N157" s="14"/>
      <c r="O157" s="11"/>
      <c r="P157" s="14"/>
      <c r="Q157" s="11"/>
      <c r="R157" s="14"/>
      <c r="S157" s="11"/>
      <c r="T157" s="8"/>
    </row>
    <row r="158" spans="8:20" ht="14.4">
      <c r="H158" s="5"/>
      <c r="I158" s="11"/>
      <c r="J158" s="14"/>
      <c r="K158" s="11"/>
      <c r="L158" s="14"/>
      <c r="M158" s="11"/>
      <c r="N158" s="14"/>
      <c r="O158" s="11"/>
      <c r="P158" s="14"/>
      <c r="Q158" s="11"/>
      <c r="R158" s="14"/>
      <c r="S158" s="11"/>
      <c r="T158" s="8"/>
    </row>
  </sheetData>
  <mergeCells count="1">
    <mergeCell ref="I5:S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A3:X182"/>
  <sheetViews>
    <sheetView workbookViewId="0">
      <selection activeCell="C44" sqref="C44"/>
    </sheetView>
  </sheetViews>
  <sheetFormatPr defaultRowHeight="13.8"/>
  <cols>
    <col min="2" max="2" width="28.09765625" customWidth="1"/>
    <col min="5" max="5" width="12.5" customWidth="1"/>
    <col min="6" max="6" width="17.19921875" customWidth="1"/>
  </cols>
  <sheetData>
    <row r="3" spans="1:24" ht="14.4">
      <c r="J3" s="295"/>
      <c r="K3" s="296"/>
      <c r="L3" s="497" t="s">
        <v>666</v>
      </c>
      <c r="M3" s="498"/>
      <c r="N3" s="498"/>
      <c r="O3" s="498"/>
      <c r="P3" s="498"/>
      <c r="Q3" s="497" t="s">
        <v>667</v>
      </c>
      <c r="R3" s="498"/>
      <c r="S3" s="498"/>
      <c r="T3" s="498"/>
      <c r="U3" s="498"/>
      <c r="V3" s="3"/>
    </row>
    <row r="4" spans="1:24" ht="14.4">
      <c r="J4" s="3" t="s">
        <v>640</v>
      </c>
      <c r="K4" s="4">
        <v>0</v>
      </c>
      <c r="L4">
        <v>15</v>
      </c>
      <c r="M4" s="4">
        <v>20</v>
      </c>
      <c r="N4" s="4">
        <v>25</v>
      </c>
      <c r="O4" s="4">
        <v>30</v>
      </c>
      <c r="P4" s="4">
        <v>35</v>
      </c>
      <c r="Q4" s="4">
        <v>40</v>
      </c>
      <c r="R4" s="4">
        <v>15</v>
      </c>
      <c r="S4" s="4">
        <v>20</v>
      </c>
      <c r="T4" s="4">
        <v>25</v>
      </c>
      <c r="U4" s="4">
        <v>30</v>
      </c>
      <c r="V4" s="4">
        <v>35</v>
      </c>
      <c r="W4" s="4">
        <v>40</v>
      </c>
      <c r="X4" s="3" t="s">
        <v>640</v>
      </c>
    </row>
    <row r="5" spans="1:24" ht="14.4">
      <c r="J5" s="3"/>
      <c r="K5" s="4">
        <v>1</v>
      </c>
      <c r="L5">
        <v>2</v>
      </c>
      <c r="M5" s="4">
        <v>3</v>
      </c>
      <c r="N5">
        <v>4</v>
      </c>
      <c r="O5" s="4">
        <v>5</v>
      </c>
      <c r="P5">
        <v>6</v>
      </c>
      <c r="Q5" s="4">
        <v>7</v>
      </c>
      <c r="R5">
        <v>8</v>
      </c>
      <c r="S5" s="4">
        <v>9</v>
      </c>
      <c r="T5">
        <v>10</v>
      </c>
      <c r="U5" s="4">
        <v>11</v>
      </c>
      <c r="V5">
        <v>12</v>
      </c>
      <c r="W5" s="4">
        <v>13</v>
      </c>
      <c r="X5" s="3"/>
    </row>
    <row r="6" spans="1:24" ht="14.4">
      <c r="J6" s="269">
        <v>-26</v>
      </c>
      <c r="K6" s="4"/>
      <c r="M6" s="4"/>
      <c r="N6" s="4"/>
      <c r="O6" s="4"/>
      <c r="P6" s="4"/>
      <c r="Q6" s="270">
        <v>1072.9000000000001</v>
      </c>
      <c r="S6" s="3"/>
      <c r="T6" s="3"/>
      <c r="U6" s="4"/>
      <c r="V6" s="4"/>
      <c r="W6" s="3"/>
      <c r="X6" s="269">
        <v>-26</v>
      </c>
    </row>
    <row r="7" spans="1:24" ht="14.4">
      <c r="J7" s="269">
        <v>-25</v>
      </c>
      <c r="K7" s="4"/>
      <c r="M7" s="4"/>
      <c r="N7" s="4"/>
      <c r="O7" s="4"/>
      <c r="P7" s="4"/>
      <c r="Q7" s="270">
        <v>1072.7</v>
      </c>
      <c r="S7" s="3"/>
      <c r="T7" s="3"/>
      <c r="U7" s="4"/>
      <c r="V7" s="4"/>
      <c r="W7" s="3"/>
      <c r="X7" s="269">
        <v>-25</v>
      </c>
    </row>
    <row r="8" spans="1:24" ht="14.4">
      <c r="J8" s="246">
        <v>-24</v>
      </c>
      <c r="K8" s="248"/>
      <c r="M8" s="248"/>
      <c r="N8" s="248"/>
      <c r="O8" s="248"/>
      <c r="P8" s="248"/>
      <c r="Q8" s="248">
        <v>1072.5</v>
      </c>
      <c r="S8" s="248"/>
      <c r="T8" s="248"/>
      <c r="U8" s="248"/>
      <c r="V8" s="248"/>
      <c r="W8" s="3"/>
      <c r="X8" s="246">
        <v>-24</v>
      </c>
    </row>
    <row r="9" spans="1:24" ht="14.4">
      <c r="C9" s="314" t="s">
        <v>485</v>
      </c>
      <c r="D9">
        <v>30</v>
      </c>
      <c r="J9" s="246">
        <v>-23</v>
      </c>
      <c r="K9" s="248"/>
      <c r="M9" s="248"/>
      <c r="N9" s="248"/>
      <c r="O9" s="248"/>
      <c r="P9" s="248"/>
      <c r="Q9" s="248">
        <v>1072.3</v>
      </c>
      <c r="S9" s="248"/>
      <c r="T9" s="248"/>
      <c r="U9" s="248"/>
      <c r="V9" s="248"/>
      <c r="W9" s="3"/>
      <c r="X9" s="246">
        <v>-23</v>
      </c>
    </row>
    <row r="10" spans="1:24" ht="14.4">
      <c r="J10" s="246">
        <v>-22</v>
      </c>
      <c r="K10" s="248"/>
      <c r="M10" s="248"/>
      <c r="N10" s="248"/>
      <c r="O10" s="248"/>
      <c r="P10" s="248">
        <v>1064.2</v>
      </c>
      <c r="Q10" s="248">
        <v>1072.0999999999999</v>
      </c>
      <c r="S10" s="248"/>
      <c r="T10" s="248"/>
      <c r="U10" s="248"/>
      <c r="V10" s="248"/>
      <c r="W10" s="3"/>
      <c r="X10" s="246">
        <v>-22</v>
      </c>
    </row>
    <row r="11" spans="1:24" ht="14.4">
      <c r="A11" s="3"/>
      <c r="B11" s="9" t="s">
        <v>759</v>
      </c>
      <c r="C11" s="3" t="s">
        <v>9</v>
      </c>
      <c r="D11" s="3" t="s">
        <v>5</v>
      </c>
      <c r="E11" s="3" t="s">
        <v>758</v>
      </c>
      <c r="F11" s="3" t="s">
        <v>35</v>
      </c>
      <c r="J11" s="246">
        <v>-21</v>
      </c>
      <c r="K11" s="248"/>
      <c r="M11" s="248"/>
      <c r="N11" s="248"/>
      <c r="O11" s="248"/>
      <c r="P11" s="248">
        <v>1064</v>
      </c>
      <c r="Q11" s="248">
        <v>1071.9000000000001</v>
      </c>
      <c r="S11" s="248"/>
      <c r="T11" s="248"/>
      <c r="U11" s="248"/>
      <c r="V11" s="248"/>
      <c r="W11" s="248">
        <v>1057.5999999999999</v>
      </c>
      <c r="X11" s="246">
        <v>-21</v>
      </c>
    </row>
    <row r="12" spans="1:24" ht="14.4">
      <c r="A12" s="3"/>
      <c r="B12" s="3">
        <f>NP!K11</f>
        <v>5</v>
      </c>
      <c r="C12" s="3">
        <v>13</v>
      </c>
      <c r="D12" s="3">
        <f>VLOOKUP(C12,A13:C25,3,0)</f>
        <v>40</v>
      </c>
      <c r="E12" s="3">
        <f>NP!K9</f>
        <v>-20</v>
      </c>
      <c r="F12" s="3" t="str">
        <f>VLOOKUP(C12,A13:C25,2,0)</f>
        <v>glikol propylenowy:  40%        (-21˚C)</v>
      </c>
      <c r="J12" s="246">
        <v>-20</v>
      </c>
      <c r="K12" s="248"/>
      <c r="M12" s="248"/>
      <c r="N12" s="248"/>
      <c r="O12" s="248"/>
      <c r="P12" s="248">
        <v>1063.8</v>
      </c>
      <c r="Q12" s="248">
        <v>1071.7</v>
      </c>
      <c r="S12" s="248"/>
      <c r="T12" s="248"/>
      <c r="U12" s="248"/>
      <c r="V12" s="248"/>
      <c r="W12" s="248">
        <v>1057.0999999999999</v>
      </c>
      <c r="X12" s="246">
        <v>-20</v>
      </c>
    </row>
    <row r="13" spans="1:24" ht="14.4">
      <c r="A13" s="3">
        <v>1</v>
      </c>
      <c r="B13" s="3" t="s">
        <v>6</v>
      </c>
      <c r="C13" s="3">
        <v>0</v>
      </c>
      <c r="D13" s="3"/>
      <c r="E13" s="3"/>
      <c r="F13" s="3"/>
      <c r="J13" s="246">
        <v>-19</v>
      </c>
      <c r="K13" s="248"/>
      <c r="M13" s="248"/>
      <c r="N13" s="248"/>
      <c r="O13" s="248"/>
      <c r="P13" s="248">
        <v>1063.5</v>
      </c>
      <c r="Q13" s="248">
        <v>1071.4000000000001</v>
      </c>
      <c r="S13" s="248"/>
      <c r="T13" s="248"/>
      <c r="U13" s="248"/>
      <c r="V13" s="248"/>
      <c r="W13" s="248">
        <v>1056.5999999999999</v>
      </c>
      <c r="X13" s="246">
        <v>-19</v>
      </c>
    </row>
    <row r="14" spans="1:24" ht="14.4">
      <c r="A14" s="3">
        <v>2</v>
      </c>
      <c r="B14" s="475" t="s">
        <v>1015</v>
      </c>
      <c r="C14" s="3">
        <v>15</v>
      </c>
      <c r="D14" s="3"/>
      <c r="E14" s="3"/>
      <c r="F14" s="3"/>
      <c r="J14" s="246">
        <v>-18</v>
      </c>
      <c r="K14" s="248"/>
      <c r="M14" s="248"/>
      <c r="N14" s="248"/>
      <c r="O14" s="248"/>
      <c r="P14" s="248">
        <v>1063.3</v>
      </c>
      <c r="Q14" s="248">
        <v>1071.0999999999999</v>
      </c>
      <c r="S14" s="248"/>
      <c r="T14" s="248"/>
      <c r="U14" s="248"/>
      <c r="V14" s="248"/>
      <c r="W14" s="248">
        <v>1056.0999999999999</v>
      </c>
      <c r="X14" s="246">
        <v>-18</v>
      </c>
    </row>
    <row r="15" spans="1:24" ht="14.4">
      <c r="A15" s="3">
        <v>3</v>
      </c>
      <c r="B15" s="3" t="s">
        <v>672</v>
      </c>
      <c r="C15" s="3">
        <v>20</v>
      </c>
      <c r="D15" s="3"/>
      <c r="E15" s="9"/>
      <c r="F15" s="3"/>
      <c r="J15" s="246">
        <v>-17</v>
      </c>
      <c r="K15" s="248"/>
      <c r="M15" s="248"/>
      <c r="N15" s="248"/>
      <c r="O15" s="248"/>
      <c r="P15" s="248">
        <v>1063.0999999999999</v>
      </c>
      <c r="Q15" s="248">
        <v>1070.8</v>
      </c>
      <c r="S15" s="248"/>
      <c r="T15" s="248"/>
      <c r="U15" s="248"/>
      <c r="V15" s="248">
        <v>1051.5</v>
      </c>
      <c r="W15" s="248">
        <v>1055.5999999999999</v>
      </c>
      <c r="X15" s="246">
        <v>-17</v>
      </c>
    </row>
    <row r="16" spans="1:24" ht="14.4">
      <c r="A16" s="3">
        <v>4</v>
      </c>
      <c r="B16" s="3" t="s">
        <v>671</v>
      </c>
      <c r="C16" s="3">
        <v>25</v>
      </c>
      <c r="D16" s="3"/>
      <c r="E16" s="9"/>
      <c r="F16" s="15"/>
      <c r="J16" s="246">
        <v>-16</v>
      </c>
      <c r="K16" s="248"/>
      <c r="M16" s="248"/>
      <c r="N16" s="248"/>
      <c r="O16" s="248">
        <v>1051.9000000000001</v>
      </c>
      <c r="P16" s="248">
        <v>1062.8</v>
      </c>
      <c r="Q16" s="248">
        <v>1070.5</v>
      </c>
      <c r="S16" s="248"/>
      <c r="T16" s="248"/>
      <c r="U16" s="248"/>
      <c r="V16" s="248">
        <v>1051.0999999999999</v>
      </c>
      <c r="W16" s="248">
        <v>1055.0999999999999</v>
      </c>
      <c r="X16" s="246">
        <v>-16</v>
      </c>
    </row>
    <row r="17" spans="1:24" ht="14.4">
      <c r="A17" s="3">
        <v>5</v>
      </c>
      <c r="B17" s="3" t="s">
        <v>670</v>
      </c>
      <c r="C17" s="3">
        <v>30</v>
      </c>
      <c r="D17" s="3"/>
      <c r="E17" s="1"/>
      <c r="F17" s="15"/>
      <c r="J17" s="246">
        <v>-15</v>
      </c>
      <c r="K17" s="248"/>
      <c r="M17" s="248"/>
      <c r="N17" s="248"/>
      <c r="O17" s="248">
        <v>1051.7</v>
      </c>
      <c r="P17" s="248">
        <v>1062.5999999999999</v>
      </c>
      <c r="Q17" s="248">
        <v>1070.2</v>
      </c>
      <c r="S17" s="248"/>
      <c r="T17" s="248"/>
      <c r="U17" s="248"/>
      <c r="V17" s="248">
        <v>1050.5999999999999</v>
      </c>
      <c r="W17" s="248">
        <v>1054.5999999999999</v>
      </c>
      <c r="X17" s="246">
        <v>-15</v>
      </c>
    </row>
    <row r="18" spans="1:24" ht="14.4">
      <c r="A18" s="3">
        <v>6</v>
      </c>
      <c r="B18" s="3" t="s">
        <v>669</v>
      </c>
      <c r="C18" s="3">
        <v>35</v>
      </c>
      <c r="D18" s="3"/>
      <c r="E18" s="9"/>
      <c r="F18" s="31"/>
      <c r="J18" s="246">
        <v>-14</v>
      </c>
      <c r="K18" s="248"/>
      <c r="M18" s="248"/>
      <c r="N18" s="248"/>
      <c r="O18" s="248">
        <v>1051.5</v>
      </c>
      <c r="P18" s="248">
        <v>1062.3</v>
      </c>
      <c r="Q18" s="248">
        <v>1069.9000000000001</v>
      </c>
      <c r="S18" s="248"/>
      <c r="T18" s="248"/>
      <c r="U18" s="248">
        <v>1045.8</v>
      </c>
      <c r="V18" s="248">
        <v>1050.0999999999999</v>
      </c>
      <c r="W18" s="248">
        <v>1054.0999999999999</v>
      </c>
      <c r="X18" s="246">
        <v>-14</v>
      </c>
    </row>
    <row r="19" spans="1:24" ht="15.6">
      <c r="A19" s="3">
        <v>7</v>
      </c>
      <c r="B19" s="3" t="s">
        <v>668</v>
      </c>
      <c r="C19" s="3">
        <v>40</v>
      </c>
      <c r="D19" s="3"/>
      <c r="E19" s="249" t="s">
        <v>760</v>
      </c>
      <c r="F19" s="3">
        <f>INDEX(K6:W182,MATCH(E12,J6:J182,0),MATCH(C12,K5:W5,0))</f>
        <v>1057.0999999999999</v>
      </c>
      <c r="J19" s="246">
        <v>-13</v>
      </c>
      <c r="K19" s="248"/>
      <c r="M19" s="248"/>
      <c r="N19" s="248"/>
      <c r="O19" s="248">
        <v>1051.3</v>
      </c>
      <c r="P19" s="248">
        <v>1062.0999999999999</v>
      </c>
      <c r="Q19" s="248">
        <v>1069.5999999999999</v>
      </c>
      <c r="S19" s="248"/>
      <c r="T19" s="248"/>
      <c r="U19" s="248">
        <v>1045.5999999999999</v>
      </c>
      <c r="V19" s="248">
        <v>1049.5999999999999</v>
      </c>
      <c r="W19" s="248">
        <v>1053.5999999999999</v>
      </c>
      <c r="X19" s="246">
        <v>-13</v>
      </c>
    </row>
    <row r="20" spans="1:24" ht="14.4">
      <c r="A20" s="3">
        <v>8</v>
      </c>
      <c r="B20" s="475" t="s">
        <v>1016</v>
      </c>
      <c r="C20" s="3">
        <v>15</v>
      </c>
      <c r="D20" s="3"/>
      <c r="E20" s="249" t="s">
        <v>761</v>
      </c>
      <c r="F20" s="3">
        <f>INDEX(K6:W182,MATCH(B12,J6:J182,0),MATCH(C12,K5:W5,0))</f>
        <v>1044</v>
      </c>
      <c r="J20" s="246">
        <v>-12</v>
      </c>
      <c r="K20" s="248"/>
      <c r="M20" s="248"/>
      <c r="N20" s="248">
        <v>1043.7</v>
      </c>
      <c r="O20" s="248">
        <v>1051.0999999999999</v>
      </c>
      <c r="P20" s="248">
        <v>1061.8</v>
      </c>
      <c r="Q20" s="248">
        <v>1069.3</v>
      </c>
      <c r="S20" s="248"/>
      <c r="T20" s="248"/>
      <c r="U20" s="248">
        <v>1045.0999999999999</v>
      </c>
      <c r="V20" s="248">
        <v>1049.2</v>
      </c>
      <c r="W20" s="248">
        <v>1053.0999999999999</v>
      </c>
      <c r="X20" s="246">
        <v>-12</v>
      </c>
    </row>
    <row r="21" spans="1:24" ht="15.6">
      <c r="A21" s="3">
        <v>9</v>
      </c>
      <c r="B21" s="3" t="s">
        <v>673</v>
      </c>
      <c r="C21" s="3">
        <v>20</v>
      </c>
      <c r="D21" s="3"/>
      <c r="E21" s="3" t="s">
        <v>644</v>
      </c>
      <c r="F21" s="3">
        <f>1/F19</f>
        <v>9.4598429666067549E-4</v>
      </c>
      <c r="J21" s="246">
        <v>-11</v>
      </c>
      <c r="K21" s="248"/>
      <c r="M21" s="248"/>
      <c r="N21" s="248">
        <v>1043.5</v>
      </c>
      <c r="O21" s="248">
        <v>1050.9000000000001</v>
      </c>
      <c r="P21" s="248">
        <v>1061.5999999999999</v>
      </c>
      <c r="Q21" s="248">
        <v>1069</v>
      </c>
      <c r="S21" s="248"/>
      <c r="T21" s="248"/>
      <c r="U21" s="248">
        <v>1044.7</v>
      </c>
      <c r="V21" s="248">
        <v>1048.7</v>
      </c>
      <c r="W21" s="248">
        <v>1052.5999999999999</v>
      </c>
      <c r="X21" s="246">
        <v>-11</v>
      </c>
    </row>
    <row r="22" spans="1:24" ht="15.6">
      <c r="A22" s="3">
        <v>10</v>
      </c>
      <c r="B22" s="3" t="s">
        <v>674</v>
      </c>
      <c r="C22" s="3">
        <v>25</v>
      </c>
      <c r="D22" s="3"/>
      <c r="E22" s="3" t="s">
        <v>645</v>
      </c>
      <c r="F22" s="3">
        <f>1/F20</f>
        <v>9.5785440613026815E-4</v>
      </c>
      <c r="J22" s="246">
        <v>-10</v>
      </c>
      <c r="K22" s="248"/>
      <c r="M22" s="248"/>
      <c r="N22" s="248">
        <v>1043.3</v>
      </c>
      <c r="O22" s="248">
        <v>1050.7</v>
      </c>
      <c r="P22" s="248">
        <v>1061.4000000000001</v>
      </c>
      <c r="Q22" s="248">
        <v>1068.7</v>
      </c>
      <c r="S22" s="248"/>
      <c r="T22" s="248">
        <v>1039.4000000000001</v>
      </c>
      <c r="U22" s="248">
        <v>1044.3</v>
      </c>
      <c r="V22" s="248">
        <v>1048.2</v>
      </c>
      <c r="W22" s="248">
        <v>1052.0999999999999</v>
      </c>
      <c r="X22" s="246">
        <v>-10</v>
      </c>
    </row>
    <row r="23" spans="1:24" ht="14.4">
      <c r="A23" s="3">
        <v>11</v>
      </c>
      <c r="B23" s="3" t="s">
        <v>675</v>
      </c>
      <c r="C23" s="3">
        <v>30</v>
      </c>
      <c r="D23" s="3"/>
      <c r="E23" s="250" t="s">
        <v>646</v>
      </c>
      <c r="F23" s="251">
        <f>ABS(F21-F22)</f>
        <v>1.1870109469592658E-5</v>
      </c>
      <c r="J23" s="246">
        <v>-9</v>
      </c>
      <c r="K23" s="248"/>
      <c r="M23" s="248">
        <v>1034.4000000000001</v>
      </c>
      <c r="N23" s="248">
        <v>1043.0999999999999</v>
      </c>
      <c r="O23" s="248">
        <v>1050.5</v>
      </c>
      <c r="P23" s="248">
        <v>1061</v>
      </c>
      <c r="Q23" s="248">
        <v>1068.3</v>
      </c>
      <c r="S23" s="248"/>
      <c r="T23" s="248">
        <v>1039</v>
      </c>
      <c r="U23" s="248">
        <v>1043.8</v>
      </c>
      <c r="V23" s="248">
        <v>1047.7</v>
      </c>
      <c r="W23" s="248">
        <v>1051.5999999999999</v>
      </c>
      <c r="X23" s="246">
        <v>-9</v>
      </c>
    </row>
    <row r="24" spans="1:24" ht="14.4">
      <c r="A24" s="3">
        <v>12</v>
      </c>
      <c r="B24" s="3" t="s">
        <v>676</v>
      </c>
      <c r="C24" s="3">
        <v>35</v>
      </c>
      <c r="D24" s="3"/>
      <c r="E24" s="9" t="s">
        <v>737</v>
      </c>
      <c r="F24" s="3">
        <f>F20*F23</f>
        <v>1.2392394286254736E-2</v>
      </c>
      <c r="J24" s="246">
        <v>-8</v>
      </c>
      <c r="K24" s="248"/>
      <c r="M24" s="248">
        <v>1034.2</v>
      </c>
      <c r="N24" s="248">
        <v>1042.9000000000001</v>
      </c>
      <c r="O24" s="248">
        <v>1050.3</v>
      </c>
      <c r="P24" s="248">
        <v>1060.7</v>
      </c>
      <c r="Q24" s="248">
        <v>1067.9000000000001</v>
      </c>
      <c r="S24" s="248">
        <v>1033</v>
      </c>
      <c r="T24" s="248">
        <v>1038.5</v>
      </c>
      <c r="U24" s="248">
        <v>1043.3</v>
      </c>
      <c r="V24" s="248">
        <v>1047.2</v>
      </c>
      <c r="W24" s="248">
        <v>1051</v>
      </c>
      <c r="X24" s="246">
        <v>-8</v>
      </c>
    </row>
    <row r="25" spans="1:24" ht="14.4">
      <c r="A25" s="3">
        <v>13</v>
      </c>
      <c r="B25" s="3" t="s">
        <v>677</v>
      </c>
      <c r="C25" s="3">
        <v>40</v>
      </c>
      <c r="J25" s="246">
        <v>-7</v>
      </c>
      <c r="K25" s="248"/>
      <c r="M25" s="248">
        <v>1034</v>
      </c>
      <c r="N25" s="248">
        <v>1042.7</v>
      </c>
      <c r="O25" s="248">
        <v>1050</v>
      </c>
      <c r="P25" s="248">
        <v>1060.3</v>
      </c>
      <c r="Q25" s="248">
        <v>1067.5</v>
      </c>
      <c r="S25" s="248">
        <v>1032.7</v>
      </c>
      <c r="T25" s="248">
        <v>1038.0999999999999</v>
      </c>
      <c r="U25" s="248">
        <v>1042.9000000000001</v>
      </c>
      <c r="V25" s="248">
        <v>1046.8</v>
      </c>
      <c r="W25" s="248">
        <v>1050.5</v>
      </c>
      <c r="X25" s="246">
        <v>-7</v>
      </c>
    </row>
    <row r="26" spans="1:24" ht="14.4">
      <c r="J26" s="246">
        <v>-6</v>
      </c>
      <c r="K26" s="248"/>
      <c r="M26" s="248">
        <v>1033.8</v>
      </c>
      <c r="N26" s="248">
        <v>1042.5</v>
      </c>
      <c r="O26" s="248">
        <v>1049.8</v>
      </c>
      <c r="P26" s="248">
        <v>1060</v>
      </c>
      <c r="Q26" s="248">
        <v>1067.0999999999999</v>
      </c>
      <c r="S26" s="248">
        <v>1032.3</v>
      </c>
      <c r="T26" s="248">
        <v>1037.7</v>
      </c>
      <c r="U26" s="248">
        <v>1042.4000000000001</v>
      </c>
      <c r="V26" s="248">
        <v>1046.3</v>
      </c>
      <c r="W26" s="248">
        <v>1050</v>
      </c>
      <c r="X26" s="246">
        <v>-6</v>
      </c>
    </row>
    <row r="27" spans="1:24" ht="14.4">
      <c r="J27" s="246">
        <v>-5</v>
      </c>
      <c r="K27" s="248"/>
      <c r="M27" s="248">
        <v>1033.5999999999999</v>
      </c>
      <c r="N27" s="248">
        <v>1042.3</v>
      </c>
      <c r="O27" s="248">
        <v>1049.5999999999999</v>
      </c>
      <c r="P27" s="248">
        <v>1059.7</v>
      </c>
      <c r="Q27" s="248">
        <v>1066.7</v>
      </c>
      <c r="S27" s="248">
        <v>1031.9000000000001</v>
      </c>
      <c r="T27" s="248">
        <v>1037.3</v>
      </c>
      <c r="U27" s="248">
        <v>1041.9000000000001</v>
      </c>
      <c r="V27" s="248">
        <v>1045.8</v>
      </c>
      <c r="W27" s="248">
        <v>1049.4000000000001</v>
      </c>
      <c r="X27" s="246">
        <v>-5</v>
      </c>
    </row>
    <row r="28" spans="1:24" ht="14.4">
      <c r="J28" s="246">
        <v>-4</v>
      </c>
      <c r="K28" s="248"/>
      <c r="M28" s="248">
        <v>1033.4000000000001</v>
      </c>
      <c r="N28" s="248">
        <v>1042.0999999999999</v>
      </c>
      <c r="O28" s="248">
        <v>1049.4000000000001</v>
      </c>
      <c r="P28" s="248">
        <v>1059.3</v>
      </c>
      <c r="Q28" s="248">
        <v>1066.3</v>
      </c>
      <c r="S28" s="248">
        <v>1031.5999999999999</v>
      </c>
      <c r="T28" s="248">
        <v>1036.9000000000001</v>
      </c>
      <c r="U28" s="248">
        <v>1041.5</v>
      </c>
      <c r="V28" s="248">
        <v>1045.3</v>
      </c>
      <c r="W28" s="248">
        <v>1048.9000000000001</v>
      </c>
      <c r="X28" s="246">
        <v>-4</v>
      </c>
    </row>
    <row r="29" spans="1:24" ht="14.4">
      <c r="C29">
        <f>IF(C30,1,0)</f>
        <v>0</v>
      </c>
      <c r="J29" s="246">
        <v>-3</v>
      </c>
      <c r="K29" s="248"/>
      <c r="M29" s="248">
        <v>1033.2</v>
      </c>
      <c r="N29" s="248">
        <v>1041.9000000000001</v>
      </c>
      <c r="O29" s="248">
        <v>1049.0999999999999</v>
      </c>
      <c r="P29" s="248">
        <v>1059</v>
      </c>
      <c r="Q29" s="248">
        <v>1065.9000000000001</v>
      </c>
      <c r="S29" s="248">
        <v>1031.2</v>
      </c>
      <c r="T29" s="248">
        <v>1036.4000000000001</v>
      </c>
      <c r="U29" s="248">
        <v>1041</v>
      </c>
      <c r="V29" s="248">
        <v>1044.8</v>
      </c>
      <c r="W29" s="248">
        <v>1048.4000000000001</v>
      </c>
      <c r="X29" s="246">
        <v>-3</v>
      </c>
    </row>
    <row r="30" spans="1:24" ht="14.4">
      <c r="B30" s="9" t="s">
        <v>19</v>
      </c>
      <c r="C30" s="26" t="b">
        <v>0</v>
      </c>
      <c r="D30" s="3">
        <f>IF(C29=1,5,0)</f>
        <v>0</v>
      </c>
      <c r="J30" s="246">
        <v>-2</v>
      </c>
      <c r="K30" s="248"/>
      <c r="M30" s="248">
        <v>1033</v>
      </c>
      <c r="N30" s="248">
        <v>1041.7</v>
      </c>
      <c r="O30" s="248">
        <v>1048.9000000000001</v>
      </c>
      <c r="P30" s="248">
        <v>1058.5999999999999</v>
      </c>
      <c r="Q30" s="248">
        <v>1065.5</v>
      </c>
      <c r="S30" s="248">
        <v>1030.8</v>
      </c>
      <c r="T30" s="248">
        <v>1036</v>
      </c>
      <c r="U30" s="248">
        <v>1040.5999999999999</v>
      </c>
      <c r="V30" s="248">
        <v>1044.3</v>
      </c>
      <c r="W30" s="248">
        <v>1047.9000000000001</v>
      </c>
      <c r="X30" s="246">
        <v>-2</v>
      </c>
    </row>
    <row r="31" spans="1:24" ht="14.4">
      <c r="J31" s="246">
        <v>-1</v>
      </c>
      <c r="K31" s="248"/>
      <c r="M31" s="248">
        <v>1032.8</v>
      </c>
      <c r="N31" s="248">
        <v>1041.5</v>
      </c>
      <c r="O31" s="248">
        <v>1048.7</v>
      </c>
      <c r="P31" s="248">
        <v>1058.3</v>
      </c>
      <c r="Q31" s="248">
        <v>1065.0999999999999</v>
      </c>
      <c r="S31" s="248">
        <v>1030.4000000000001</v>
      </c>
      <c r="T31" s="248">
        <v>1035.5999999999999</v>
      </c>
      <c r="U31" s="248">
        <v>1040.0999999999999</v>
      </c>
      <c r="V31" s="248">
        <v>1043.8</v>
      </c>
      <c r="W31" s="248">
        <v>1047.3</v>
      </c>
      <c r="X31" s="246">
        <v>-1</v>
      </c>
    </row>
    <row r="32" spans="1:24" ht="14.4">
      <c r="J32" s="246">
        <v>0</v>
      </c>
      <c r="K32" s="248">
        <v>999.9</v>
      </c>
      <c r="M32" s="248">
        <v>1032.5999999999999</v>
      </c>
      <c r="N32" s="248">
        <v>1041.3</v>
      </c>
      <c r="O32" s="248">
        <v>1048.5</v>
      </c>
      <c r="P32" s="248">
        <v>1057.9000000000001</v>
      </c>
      <c r="Q32" s="248">
        <v>1064.7</v>
      </c>
      <c r="S32" s="248">
        <v>1030</v>
      </c>
      <c r="T32" s="248">
        <v>1035.2</v>
      </c>
      <c r="U32" s="248">
        <v>1039.5999999999999</v>
      </c>
      <c r="V32" s="248">
        <v>1043.3</v>
      </c>
      <c r="W32" s="248">
        <v>1046.8</v>
      </c>
      <c r="X32" s="246">
        <v>0</v>
      </c>
    </row>
    <row r="33" spans="1:24" ht="14.4">
      <c r="J33" s="5">
        <v>1</v>
      </c>
      <c r="K33" s="247">
        <v>999.9</v>
      </c>
      <c r="M33" s="247">
        <v>1032.4000000000001</v>
      </c>
      <c r="N33" s="248">
        <v>1041</v>
      </c>
      <c r="O33" s="247">
        <v>1048.0999999999999</v>
      </c>
      <c r="P33" s="248">
        <v>1057.5</v>
      </c>
      <c r="Q33" s="247">
        <v>1064.2</v>
      </c>
      <c r="S33" s="248">
        <v>1029.5999999999999</v>
      </c>
      <c r="T33" s="248">
        <v>1034.7</v>
      </c>
      <c r="U33" s="247">
        <v>1039.0999999999999</v>
      </c>
      <c r="V33" s="248">
        <v>1042.7</v>
      </c>
      <c r="W33" s="248">
        <v>1046.2</v>
      </c>
      <c r="X33" s="5">
        <v>1</v>
      </c>
    </row>
    <row r="34" spans="1:24" ht="14.4">
      <c r="J34" s="5">
        <v>2</v>
      </c>
      <c r="K34" s="247">
        <v>999.9</v>
      </c>
      <c r="M34" s="247">
        <v>1032.3</v>
      </c>
      <c r="N34" s="248">
        <v>1040.8</v>
      </c>
      <c r="O34" s="247">
        <v>1047.8</v>
      </c>
      <c r="P34" s="248">
        <v>1057.0999999999999</v>
      </c>
      <c r="Q34" s="247">
        <v>1063.8</v>
      </c>
      <c r="S34" s="247">
        <v>1029.0999999999999</v>
      </c>
      <c r="T34" s="248">
        <v>1034.3</v>
      </c>
      <c r="U34" s="247">
        <v>1038.5999999999999</v>
      </c>
      <c r="V34" s="248">
        <v>1042.2</v>
      </c>
      <c r="W34" s="248">
        <v>1045.7</v>
      </c>
      <c r="X34" s="5">
        <v>2</v>
      </c>
    </row>
    <row r="35" spans="1:24" ht="14.4">
      <c r="J35" s="5">
        <v>3</v>
      </c>
      <c r="K35" s="247">
        <v>1000</v>
      </c>
      <c r="M35" s="247">
        <v>1032.0999999999999</v>
      </c>
      <c r="N35" s="248">
        <v>1040.5</v>
      </c>
      <c r="O35" s="247">
        <v>1047.5</v>
      </c>
      <c r="P35" s="248">
        <v>1056.7</v>
      </c>
      <c r="Q35" s="247">
        <v>1063.4000000000001</v>
      </c>
      <c r="S35" s="247">
        <v>1028.7</v>
      </c>
      <c r="T35" s="248">
        <v>1033.8</v>
      </c>
      <c r="U35" s="247">
        <v>1038.0999999999999</v>
      </c>
      <c r="V35" s="248">
        <v>1041.7</v>
      </c>
      <c r="W35" s="248">
        <v>1045.0999999999999</v>
      </c>
      <c r="X35" s="5">
        <v>3</v>
      </c>
    </row>
    <row r="36" spans="1:24" ht="14.4">
      <c r="A36" s="3"/>
      <c r="B36" s="27">
        <v>2</v>
      </c>
      <c r="C36" s="27" t="s">
        <v>125</v>
      </c>
      <c r="D36" s="27" t="s">
        <v>126</v>
      </c>
      <c r="E36" s="27"/>
      <c r="F36" s="27" t="s">
        <v>128</v>
      </c>
      <c r="G36" s="27" t="s">
        <v>143</v>
      </c>
      <c r="J36" s="5">
        <v>4</v>
      </c>
      <c r="K36" s="247">
        <v>1000</v>
      </c>
      <c r="M36" s="247">
        <v>1031.9000000000001</v>
      </c>
      <c r="N36" s="248">
        <v>1040.3</v>
      </c>
      <c r="O36" s="247">
        <v>1047.0999999999999</v>
      </c>
      <c r="P36" s="248">
        <v>1056.3</v>
      </c>
      <c r="Q36" s="247">
        <v>1062.9000000000001</v>
      </c>
      <c r="S36" s="247">
        <v>1028.3</v>
      </c>
      <c r="T36" s="248">
        <v>1033.3</v>
      </c>
      <c r="U36" s="247">
        <v>1037.5999999999999</v>
      </c>
      <c r="V36" s="248">
        <v>1041.2</v>
      </c>
      <c r="W36" s="248">
        <v>1044.5999999999999</v>
      </c>
      <c r="X36" s="5">
        <v>4</v>
      </c>
    </row>
    <row r="37" spans="1:24" ht="14.4">
      <c r="A37" s="27">
        <v>1</v>
      </c>
      <c r="B37" s="28"/>
      <c r="C37" s="28"/>
      <c r="D37" s="28"/>
      <c r="E37" s="28"/>
      <c r="F37" s="28"/>
      <c r="G37" s="28"/>
      <c r="J37" s="5">
        <v>5</v>
      </c>
      <c r="K37" s="247">
        <v>1000</v>
      </c>
      <c r="M37" s="247">
        <v>1031.7</v>
      </c>
      <c r="N37" s="248">
        <v>1040</v>
      </c>
      <c r="O37" s="247">
        <v>1046.8</v>
      </c>
      <c r="P37" s="248">
        <v>1055.9000000000001</v>
      </c>
      <c r="Q37" s="247">
        <v>1062.5</v>
      </c>
      <c r="S37" s="247">
        <v>1027.9000000000001</v>
      </c>
      <c r="T37" s="248">
        <v>1032.9000000000001</v>
      </c>
      <c r="U37" s="247">
        <v>1037.0999999999999</v>
      </c>
      <c r="V37" s="248">
        <v>1040.5999999999999</v>
      </c>
      <c r="W37" s="248">
        <v>1044</v>
      </c>
      <c r="X37" s="5">
        <v>5</v>
      </c>
    </row>
    <row r="38" spans="1:24" ht="14.4">
      <c r="A38" s="27">
        <v>2</v>
      </c>
      <c r="B38" s="28" t="s">
        <v>174</v>
      </c>
      <c r="C38" s="27">
        <v>8</v>
      </c>
      <c r="D38" s="27">
        <v>10</v>
      </c>
      <c r="E38" s="27"/>
      <c r="F38" s="29">
        <v>7142020</v>
      </c>
      <c r="G38" s="27">
        <v>3.9</v>
      </c>
      <c r="J38" s="5">
        <v>6</v>
      </c>
      <c r="K38" s="247">
        <v>999.9</v>
      </c>
      <c r="M38" s="247">
        <v>1031.5</v>
      </c>
      <c r="N38" s="248">
        <v>1039.7</v>
      </c>
      <c r="O38" s="247">
        <v>1046.5</v>
      </c>
      <c r="P38" s="248">
        <v>1055.5</v>
      </c>
      <c r="Q38" s="247">
        <v>1062.0999999999999</v>
      </c>
      <c r="S38" s="247">
        <v>1027.4000000000001</v>
      </c>
      <c r="T38" s="248">
        <v>1032.4000000000001</v>
      </c>
      <c r="U38" s="247">
        <v>1036.5999999999999</v>
      </c>
      <c r="V38" s="248">
        <v>1040.0999999999999</v>
      </c>
      <c r="W38" s="248">
        <v>1043.5</v>
      </c>
      <c r="X38" s="5">
        <v>6</v>
      </c>
    </row>
    <row r="39" spans="1:24" ht="14.4">
      <c r="A39" s="27">
        <v>3</v>
      </c>
      <c r="B39" s="28" t="s">
        <v>175</v>
      </c>
      <c r="C39" s="27">
        <v>12</v>
      </c>
      <c r="D39" s="27">
        <v>10</v>
      </c>
      <c r="E39" s="27"/>
      <c r="F39" s="29">
        <v>7142021</v>
      </c>
      <c r="G39" s="27">
        <v>5.0999999999999996</v>
      </c>
      <c r="J39" s="5">
        <v>7</v>
      </c>
      <c r="K39" s="247">
        <v>999.9</v>
      </c>
      <c r="M39" s="247">
        <v>1031.3</v>
      </c>
      <c r="N39" s="248">
        <v>1039.5</v>
      </c>
      <c r="O39" s="247">
        <v>1046.2</v>
      </c>
      <c r="P39" s="248">
        <v>1055.0999999999999</v>
      </c>
      <c r="Q39" s="247">
        <v>1061.5999999999999</v>
      </c>
      <c r="S39" s="247">
        <v>1027</v>
      </c>
      <c r="T39" s="248">
        <v>1031.9000000000001</v>
      </c>
      <c r="U39" s="247">
        <v>1036.0999999999999</v>
      </c>
      <c r="V39" s="248">
        <v>1039.5999999999999</v>
      </c>
      <c r="W39" s="248">
        <v>1042.9000000000001</v>
      </c>
      <c r="X39" s="5">
        <v>7</v>
      </c>
    </row>
    <row r="40" spans="1:24" ht="14.4">
      <c r="A40" s="27">
        <v>4</v>
      </c>
      <c r="B40" s="28" t="s">
        <v>176</v>
      </c>
      <c r="C40" s="27">
        <v>18</v>
      </c>
      <c r="D40" s="27">
        <v>10</v>
      </c>
      <c r="E40" s="27"/>
      <c r="F40" s="29">
        <v>7142022</v>
      </c>
      <c r="G40" s="27">
        <v>6.3</v>
      </c>
      <c r="J40" s="5">
        <v>8</v>
      </c>
      <c r="K40" s="247">
        <v>999.8</v>
      </c>
      <c r="M40" s="247">
        <v>1031.2</v>
      </c>
      <c r="N40" s="248">
        <v>1039.2</v>
      </c>
      <c r="O40" s="247">
        <v>1045.8</v>
      </c>
      <c r="P40" s="248">
        <v>1054.7</v>
      </c>
      <c r="Q40" s="247">
        <v>1061.2</v>
      </c>
      <c r="S40" s="247">
        <v>1026.5999999999999</v>
      </c>
      <c r="T40" s="248">
        <v>1031.5</v>
      </c>
      <c r="U40" s="247">
        <v>1035.5999999999999</v>
      </c>
      <c r="V40" s="248">
        <v>1039.0999999999999</v>
      </c>
      <c r="W40" s="248">
        <v>1042.4000000000001</v>
      </c>
      <c r="X40" s="5">
        <v>8</v>
      </c>
    </row>
    <row r="41" spans="1:24" ht="14.4">
      <c r="A41" s="27">
        <v>5</v>
      </c>
      <c r="B41" s="28" t="s">
        <v>177</v>
      </c>
      <c r="C41" s="27">
        <v>25</v>
      </c>
      <c r="D41" s="27">
        <v>10</v>
      </c>
      <c r="E41" s="27"/>
      <c r="F41" s="29">
        <v>7142023</v>
      </c>
      <c r="G41" s="27">
        <v>8.1</v>
      </c>
      <c r="J41" s="5">
        <v>9</v>
      </c>
      <c r="K41" s="247">
        <v>999.8</v>
      </c>
      <c r="M41" s="247">
        <v>1031</v>
      </c>
      <c r="N41" s="248">
        <v>1039</v>
      </c>
      <c r="O41" s="247">
        <v>1045.5</v>
      </c>
      <c r="P41" s="248">
        <v>1054.3</v>
      </c>
      <c r="Q41" s="247">
        <v>1060.8</v>
      </c>
      <c r="S41" s="247">
        <v>1026.2</v>
      </c>
      <c r="T41" s="248">
        <v>1031</v>
      </c>
      <c r="U41" s="247">
        <v>1035.0999999999999</v>
      </c>
      <c r="V41" s="248">
        <v>1038.5</v>
      </c>
      <c r="W41" s="248">
        <v>1041.8</v>
      </c>
      <c r="X41" s="5">
        <v>9</v>
      </c>
    </row>
    <row r="42" spans="1:24" ht="14.4">
      <c r="A42" s="27">
        <v>6</v>
      </c>
      <c r="B42" s="28" t="s">
        <v>178</v>
      </c>
      <c r="C42" s="27">
        <v>35</v>
      </c>
      <c r="D42" s="27">
        <v>10</v>
      </c>
      <c r="E42" s="27"/>
      <c r="F42" s="29">
        <v>7142024</v>
      </c>
      <c r="G42" s="27">
        <v>10</v>
      </c>
      <c r="J42" s="5">
        <v>10</v>
      </c>
      <c r="K42" s="247">
        <v>999.7</v>
      </c>
      <c r="M42" s="247">
        <v>1030.8</v>
      </c>
      <c r="N42" s="248">
        <v>1038.7</v>
      </c>
      <c r="O42" s="247">
        <v>1045.2</v>
      </c>
      <c r="P42" s="248">
        <v>1053.9000000000001</v>
      </c>
      <c r="Q42" s="247">
        <v>1060.3</v>
      </c>
      <c r="S42" s="247">
        <v>1025.7</v>
      </c>
      <c r="T42" s="248">
        <v>1030.5</v>
      </c>
      <c r="U42" s="247">
        <v>1034.7</v>
      </c>
      <c r="V42" s="248">
        <v>1038</v>
      </c>
      <c r="W42" s="248">
        <v>1041.2</v>
      </c>
      <c r="X42" s="5">
        <v>10</v>
      </c>
    </row>
    <row r="43" spans="1:24" ht="14.4">
      <c r="A43" s="27">
        <v>7</v>
      </c>
      <c r="B43" s="28" t="s">
        <v>179</v>
      </c>
      <c r="C43" s="27">
        <v>50</v>
      </c>
      <c r="D43" s="27">
        <v>10</v>
      </c>
      <c r="E43" s="27"/>
      <c r="F43" s="29">
        <v>7142025</v>
      </c>
      <c r="G43" s="27">
        <v>12.2</v>
      </c>
      <c r="J43" s="5">
        <v>11</v>
      </c>
      <c r="K43" s="247">
        <v>999.6</v>
      </c>
      <c r="M43" s="247">
        <v>1030.5</v>
      </c>
      <c r="N43" s="248">
        <v>1038.4000000000001</v>
      </c>
      <c r="O43" s="247">
        <v>1044.8</v>
      </c>
      <c r="P43" s="248">
        <v>1053.5</v>
      </c>
      <c r="Q43" s="247">
        <v>1059.9000000000001</v>
      </c>
      <c r="S43" s="247">
        <v>1025.3</v>
      </c>
      <c r="T43" s="248">
        <v>1030</v>
      </c>
      <c r="U43" s="247">
        <v>1034.0999999999999</v>
      </c>
      <c r="V43" s="248">
        <v>1037.4000000000001</v>
      </c>
      <c r="W43" s="248">
        <v>1040.7</v>
      </c>
      <c r="X43" s="5">
        <v>11</v>
      </c>
    </row>
    <row r="44" spans="1:24" ht="14.4">
      <c r="A44" s="27">
        <v>8</v>
      </c>
      <c r="B44" s="28" t="s">
        <v>180</v>
      </c>
      <c r="C44" s="27">
        <v>80</v>
      </c>
      <c r="D44" s="27">
        <v>10</v>
      </c>
      <c r="E44" s="27"/>
      <c r="F44" s="29">
        <v>7142026</v>
      </c>
      <c r="G44" s="27">
        <v>16.399999999999999</v>
      </c>
      <c r="J44" s="5">
        <v>12</v>
      </c>
      <c r="K44" s="247">
        <v>999.4</v>
      </c>
      <c r="M44" s="247">
        <v>1030.2</v>
      </c>
      <c r="N44" s="248">
        <v>1038</v>
      </c>
      <c r="O44" s="247">
        <v>1044.4000000000001</v>
      </c>
      <c r="P44" s="248">
        <v>1053.0999999999999</v>
      </c>
      <c r="Q44" s="247">
        <v>1059.5</v>
      </c>
      <c r="S44" s="247">
        <v>1024.8</v>
      </c>
      <c r="T44" s="248">
        <v>1029.5</v>
      </c>
      <c r="U44" s="247">
        <v>1033.5999999999999</v>
      </c>
      <c r="V44" s="248">
        <v>1036.9000000000001</v>
      </c>
      <c r="W44" s="248">
        <v>1040.0999999999999</v>
      </c>
      <c r="X44" s="5">
        <v>12</v>
      </c>
    </row>
    <row r="45" spans="1:24" ht="14.4">
      <c r="A45" s="27">
        <v>9</v>
      </c>
      <c r="B45" s="28" t="s">
        <v>181</v>
      </c>
      <c r="C45" s="27">
        <v>140</v>
      </c>
      <c r="D45" s="27">
        <v>6</v>
      </c>
      <c r="E45" s="27"/>
      <c r="F45" s="29">
        <v>7141002</v>
      </c>
      <c r="G45" s="27">
        <v>25</v>
      </c>
      <c r="J45" s="5">
        <v>13</v>
      </c>
      <c r="K45" s="247">
        <v>999.3</v>
      </c>
      <c r="M45" s="247">
        <v>1029.9000000000001</v>
      </c>
      <c r="N45" s="248">
        <v>1037.5999999999999</v>
      </c>
      <c r="O45" s="247">
        <v>1044</v>
      </c>
      <c r="P45" s="248">
        <v>1052.7</v>
      </c>
      <c r="Q45" s="247">
        <v>1059</v>
      </c>
      <c r="S45" s="247">
        <v>1024.4000000000001</v>
      </c>
      <c r="T45" s="248">
        <v>1029</v>
      </c>
      <c r="U45" s="247">
        <v>1033</v>
      </c>
      <c r="V45" s="248">
        <v>1036.3</v>
      </c>
      <c r="W45" s="248">
        <v>1039.5</v>
      </c>
      <c r="X45" s="5">
        <v>13</v>
      </c>
    </row>
    <row r="46" spans="1:24" ht="14.4">
      <c r="A46" s="27">
        <v>10</v>
      </c>
      <c r="B46" s="28" t="s">
        <v>182</v>
      </c>
      <c r="C46" s="27">
        <v>200</v>
      </c>
      <c r="D46" s="27">
        <v>6</v>
      </c>
      <c r="E46" s="27"/>
      <c r="F46" s="29">
        <v>7141003</v>
      </c>
      <c r="G46" s="27">
        <v>30</v>
      </c>
      <c r="J46" s="5">
        <v>14</v>
      </c>
      <c r="K46" s="247">
        <v>999.1</v>
      </c>
      <c r="M46" s="247">
        <v>1029.7</v>
      </c>
      <c r="N46" s="248">
        <v>1037.3</v>
      </c>
      <c r="O46" s="247">
        <v>1043.5999999999999</v>
      </c>
      <c r="P46" s="248">
        <v>1052.3</v>
      </c>
      <c r="Q46" s="247">
        <v>1058.5999999999999</v>
      </c>
      <c r="S46" s="247">
        <v>1023.9</v>
      </c>
      <c r="T46" s="248">
        <v>1028.5</v>
      </c>
      <c r="U46" s="247">
        <v>1032.5</v>
      </c>
      <c r="V46" s="248">
        <v>1035.8</v>
      </c>
      <c r="W46" s="248">
        <v>1038.9000000000001</v>
      </c>
      <c r="X46" s="5">
        <v>14</v>
      </c>
    </row>
    <row r="47" spans="1:24" ht="14.4">
      <c r="A47" s="27">
        <v>11</v>
      </c>
      <c r="B47" s="28" t="s">
        <v>183</v>
      </c>
      <c r="C47" s="27">
        <v>300</v>
      </c>
      <c r="D47" s="27">
        <v>6</v>
      </c>
      <c r="E47" s="27"/>
      <c r="F47" s="29">
        <v>7141004</v>
      </c>
      <c r="G47" s="27">
        <v>35</v>
      </c>
      <c r="J47" s="5">
        <v>15</v>
      </c>
      <c r="K47" s="247">
        <v>999</v>
      </c>
      <c r="M47" s="247">
        <v>1029.4000000000001</v>
      </c>
      <c r="N47" s="248">
        <v>1036.9000000000001</v>
      </c>
      <c r="O47" s="247">
        <v>1043.2</v>
      </c>
      <c r="P47" s="248">
        <v>1051.9000000000001</v>
      </c>
      <c r="Q47" s="247">
        <v>1058.2</v>
      </c>
      <c r="S47" s="247">
        <v>1023.4</v>
      </c>
      <c r="T47" s="248">
        <v>1028</v>
      </c>
      <c r="U47" s="247">
        <v>1032</v>
      </c>
      <c r="V47" s="248">
        <v>1035.2</v>
      </c>
      <c r="W47" s="248">
        <v>1038.3</v>
      </c>
      <c r="X47" s="5">
        <v>15</v>
      </c>
    </row>
    <row r="48" spans="1:24" ht="14.4">
      <c r="A48" s="27">
        <v>12</v>
      </c>
      <c r="B48" s="28" t="s">
        <v>184</v>
      </c>
      <c r="C48" s="27">
        <v>400</v>
      </c>
      <c r="D48" s="27">
        <v>6</v>
      </c>
      <c r="E48" s="27"/>
      <c r="F48" s="29">
        <v>7141005</v>
      </c>
      <c r="G48" s="27">
        <v>55</v>
      </c>
      <c r="J48" s="5">
        <v>16</v>
      </c>
      <c r="K48" s="247">
        <v>998.8</v>
      </c>
      <c r="M48" s="247">
        <v>1029.0999999999999</v>
      </c>
      <c r="N48" s="248">
        <v>1036.5999999999999</v>
      </c>
      <c r="O48" s="247">
        <v>1042.8</v>
      </c>
      <c r="P48" s="248">
        <v>1051.5</v>
      </c>
      <c r="Q48" s="247">
        <v>1057.7</v>
      </c>
      <c r="S48" s="247">
        <v>1023</v>
      </c>
      <c r="T48" s="248">
        <v>1027.5</v>
      </c>
      <c r="U48" s="247">
        <v>1031.4000000000001</v>
      </c>
      <c r="V48" s="248">
        <v>1034.5999999999999</v>
      </c>
      <c r="W48" s="248">
        <v>1037.7</v>
      </c>
      <c r="X48" s="5">
        <v>16</v>
      </c>
    </row>
    <row r="49" spans="1:24" ht="14.4">
      <c r="A49" s="27">
        <v>13</v>
      </c>
      <c r="B49" s="28" t="s">
        <v>185</v>
      </c>
      <c r="C49" s="27">
        <v>500</v>
      </c>
      <c r="D49" s="27">
        <v>6</v>
      </c>
      <c r="E49" s="27"/>
      <c r="F49" s="29">
        <v>7141006</v>
      </c>
      <c r="G49" s="27">
        <v>61</v>
      </c>
      <c r="J49" s="5">
        <v>17</v>
      </c>
      <c r="K49" s="247">
        <v>998.7</v>
      </c>
      <c r="M49" s="247">
        <v>1028.8</v>
      </c>
      <c r="N49" s="248">
        <v>1036.2</v>
      </c>
      <c r="O49" s="247">
        <v>1042.4000000000001</v>
      </c>
      <c r="P49" s="248">
        <v>1051.0999999999999</v>
      </c>
      <c r="Q49" s="247">
        <v>1057.3</v>
      </c>
      <c r="S49" s="247">
        <v>1022.5</v>
      </c>
      <c r="T49" s="248">
        <v>1027</v>
      </c>
      <c r="U49" s="247">
        <v>1030.9000000000001</v>
      </c>
      <c r="V49" s="248">
        <v>1034.0999999999999</v>
      </c>
      <c r="W49" s="248">
        <v>1037.0999999999999</v>
      </c>
      <c r="X49" s="5">
        <v>17</v>
      </c>
    </row>
    <row r="50" spans="1:24" ht="14.4">
      <c r="A50" s="27">
        <v>14</v>
      </c>
      <c r="B50" s="28" t="s">
        <v>186</v>
      </c>
      <c r="C50" s="27">
        <v>600</v>
      </c>
      <c r="D50" s="27">
        <v>6</v>
      </c>
      <c r="E50" s="27"/>
      <c r="F50" s="29">
        <v>7141007</v>
      </c>
      <c r="G50" s="27">
        <v>67</v>
      </c>
      <c r="J50" s="5">
        <v>18</v>
      </c>
      <c r="K50" s="247">
        <v>998.5</v>
      </c>
      <c r="M50" s="247">
        <v>1028.5</v>
      </c>
      <c r="N50" s="248">
        <v>1035.9000000000001</v>
      </c>
      <c r="O50" s="247">
        <v>1042</v>
      </c>
      <c r="P50" s="248">
        <v>1050.7</v>
      </c>
      <c r="Q50" s="247">
        <v>1056.9000000000001</v>
      </c>
      <c r="S50" s="247">
        <v>1022</v>
      </c>
      <c r="T50" s="248">
        <v>1026.5</v>
      </c>
      <c r="U50" s="247">
        <v>1030.4000000000001</v>
      </c>
      <c r="V50" s="248">
        <v>1033.5</v>
      </c>
      <c r="W50" s="248">
        <v>1036.5</v>
      </c>
      <c r="X50" s="5">
        <v>18</v>
      </c>
    </row>
    <row r="51" spans="1:24" ht="14.4">
      <c r="A51" s="27">
        <v>15</v>
      </c>
      <c r="B51" s="28" t="s">
        <v>187</v>
      </c>
      <c r="C51" s="27">
        <v>200</v>
      </c>
      <c r="D51" s="27">
        <v>10</v>
      </c>
      <c r="E51" s="27"/>
      <c r="F51" s="27">
        <v>7142003</v>
      </c>
      <c r="G51" s="27">
        <v>50</v>
      </c>
      <c r="J51" s="5">
        <v>19</v>
      </c>
      <c r="K51" s="247">
        <v>998.4</v>
      </c>
      <c r="M51" s="247">
        <v>1028.2</v>
      </c>
      <c r="N51" s="248">
        <v>1035.5</v>
      </c>
      <c r="O51" s="247">
        <v>1041.5999999999999</v>
      </c>
      <c r="P51" s="248">
        <v>1050.3</v>
      </c>
      <c r="Q51" s="247">
        <v>1056.4000000000001</v>
      </c>
      <c r="S51" s="247">
        <v>1021.6</v>
      </c>
      <c r="T51" s="248">
        <v>1026</v>
      </c>
      <c r="U51" s="247">
        <v>1029.8</v>
      </c>
      <c r="V51" s="248">
        <v>1032.9000000000001</v>
      </c>
      <c r="W51" s="248">
        <v>1035.9000000000001</v>
      </c>
      <c r="X51" s="5">
        <v>19</v>
      </c>
    </row>
    <row r="52" spans="1:24" ht="14.4">
      <c r="A52" s="27">
        <v>16</v>
      </c>
      <c r="B52" s="28" t="s">
        <v>188</v>
      </c>
      <c r="C52" s="27">
        <v>300</v>
      </c>
      <c r="D52" s="27">
        <v>10</v>
      </c>
      <c r="E52" s="27"/>
      <c r="F52" s="27">
        <v>7142004</v>
      </c>
      <c r="G52" s="27">
        <v>55</v>
      </c>
      <c r="J52" s="5">
        <v>20</v>
      </c>
      <c r="K52" s="248">
        <v>998.2</v>
      </c>
      <c r="M52" s="247">
        <v>1027.9000000000001</v>
      </c>
      <c r="N52" s="248">
        <v>1035.0999999999999</v>
      </c>
      <c r="O52" s="247">
        <v>1041.2</v>
      </c>
      <c r="P52" s="248">
        <v>1049.9000000000001</v>
      </c>
      <c r="Q52" s="247">
        <v>1056</v>
      </c>
      <c r="S52" s="247">
        <v>1021.1</v>
      </c>
      <c r="T52" s="248">
        <v>1025.5999999999999</v>
      </c>
      <c r="U52" s="247">
        <v>1029.3</v>
      </c>
      <c r="V52" s="248">
        <v>1032.4000000000001</v>
      </c>
      <c r="W52" s="248">
        <v>1035.4000000000001</v>
      </c>
      <c r="X52" s="5">
        <v>20</v>
      </c>
    </row>
    <row r="53" spans="1:24" ht="14.4">
      <c r="A53" s="27">
        <v>17</v>
      </c>
      <c r="B53" s="28" t="s">
        <v>189</v>
      </c>
      <c r="C53" s="27">
        <v>500</v>
      </c>
      <c r="D53" s="27">
        <v>10</v>
      </c>
      <c r="E53" s="27"/>
      <c r="F53" s="27">
        <v>7142006</v>
      </c>
      <c r="G53" s="27">
        <v>83</v>
      </c>
      <c r="J53" s="5">
        <v>21</v>
      </c>
      <c r="K53" s="248">
        <v>998</v>
      </c>
      <c r="M53" s="247">
        <v>1027.5999999999999</v>
      </c>
      <c r="N53" s="248">
        <v>1034.8</v>
      </c>
      <c r="O53" s="247">
        <v>1040.8</v>
      </c>
      <c r="P53" s="248">
        <v>1049.5</v>
      </c>
      <c r="Q53" s="247">
        <v>1055.5</v>
      </c>
      <c r="S53" s="247">
        <v>1020.6</v>
      </c>
      <c r="T53" s="248">
        <v>1025</v>
      </c>
      <c r="U53" s="247">
        <v>1028.7</v>
      </c>
      <c r="V53" s="248">
        <v>1031.8</v>
      </c>
      <c r="W53" s="248">
        <v>1034.7</v>
      </c>
      <c r="X53" s="5">
        <v>21</v>
      </c>
    </row>
    <row r="54" spans="1:24" ht="14.4">
      <c r="A54" s="27">
        <v>18</v>
      </c>
      <c r="B54" s="28" t="s">
        <v>168</v>
      </c>
      <c r="C54" s="27">
        <v>700</v>
      </c>
      <c r="D54" s="27">
        <v>6</v>
      </c>
      <c r="E54" s="27"/>
      <c r="F54" s="27">
        <v>7141008</v>
      </c>
      <c r="G54" s="27">
        <v>200</v>
      </c>
      <c r="J54" s="5">
        <v>22</v>
      </c>
      <c r="K54" s="248">
        <v>997.7</v>
      </c>
      <c r="M54" s="247">
        <v>1027.2</v>
      </c>
      <c r="N54" s="248">
        <v>1034.4000000000001</v>
      </c>
      <c r="O54" s="247">
        <v>1040.4000000000001</v>
      </c>
      <c r="P54" s="248">
        <v>1049</v>
      </c>
      <c r="Q54" s="247">
        <v>1055</v>
      </c>
      <c r="S54" s="247">
        <v>1020.1</v>
      </c>
      <c r="T54" s="248">
        <v>1024.5</v>
      </c>
      <c r="U54" s="247">
        <v>1028.2</v>
      </c>
      <c r="V54" s="248">
        <v>1031.2</v>
      </c>
      <c r="W54" s="248">
        <v>1034.0999999999999</v>
      </c>
      <c r="X54" s="5">
        <v>22</v>
      </c>
    </row>
    <row r="55" spans="1:24" ht="14.4">
      <c r="A55" s="27">
        <v>19</v>
      </c>
      <c r="B55" s="28" t="s">
        <v>190</v>
      </c>
      <c r="C55" s="27">
        <v>1000</v>
      </c>
      <c r="D55" s="27">
        <v>6</v>
      </c>
      <c r="E55" s="27"/>
      <c r="F55" s="27">
        <v>7141009</v>
      </c>
      <c r="G55" s="27">
        <v>280</v>
      </c>
      <c r="J55" s="5">
        <v>23</v>
      </c>
      <c r="K55" s="248">
        <v>997.5</v>
      </c>
      <c r="M55" s="247">
        <v>1026.9000000000001</v>
      </c>
      <c r="N55" s="248">
        <v>1034</v>
      </c>
      <c r="O55" s="247">
        <v>1040</v>
      </c>
      <c r="P55" s="248">
        <v>1048.5</v>
      </c>
      <c r="Q55" s="247">
        <v>1054.5</v>
      </c>
      <c r="S55" s="247">
        <v>1019.6</v>
      </c>
      <c r="T55" s="248">
        <v>1023.9</v>
      </c>
      <c r="U55" s="247">
        <v>1027.5999999999999</v>
      </c>
      <c r="V55" s="248">
        <v>1030.5999999999999</v>
      </c>
      <c r="W55" s="248">
        <v>1033.5</v>
      </c>
      <c r="X55" s="5">
        <v>23</v>
      </c>
    </row>
    <row r="56" spans="1:24" ht="14.4">
      <c r="A56" s="27">
        <v>20</v>
      </c>
      <c r="B56" s="28" t="s">
        <v>191</v>
      </c>
      <c r="C56" s="27">
        <v>1500</v>
      </c>
      <c r="D56" s="27">
        <v>6</v>
      </c>
      <c r="E56" s="27"/>
      <c r="F56" s="27">
        <v>7141010</v>
      </c>
      <c r="G56" s="27">
        <v>385</v>
      </c>
      <c r="J56" s="5">
        <v>24</v>
      </c>
      <c r="K56" s="248">
        <v>997.2</v>
      </c>
      <c r="M56" s="247">
        <v>1026.5</v>
      </c>
      <c r="N56" s="248">
        <v>1033.5999999999999</v>
      </c>
      <c r="O56" s="247">
        <v>1039.5999999999999</v>
      </c>
      <c r="P56" s="248">
        <v>1048.0999999999999</v>
      </c>
      <c r="Q56" s="247">
        <v>1053.9000000000001</v>
      </c>
      <c r="S56" s="247">
        <v>1019.1</v>
      </c>
      <c r="T56" s="248">
        <v>1023.4</v>
      </c>
      <c r="U56" s="247">
        <v>1027</v>
      </c>
      <c r="V56" s="248">
        <v>1030</v>
      </c>
      <c r="W56" s="248">
        <v>1032.8</v>
      </c>
      <c r="X56" s="5">
        <v>24</v>
      </c>
    </row>
    <row r="57" spans="1:24" ht="14.4">
      <c r="A57" s="27">
        <v>21</v>
      </c>
      <c r="B57" s="28" t="s">
        <v>192</v>
      </c>
      <c r="C57" s="27">
        <v>2000</v>
      </c>
      <c r="D57" s="27">
        <v>6</v>
      </c>
      <c r="E57" s="27"/>
      <c r="F57" s="27">
        <v>7141015</v>
      </c>
      <c r="G57" s="27">
        <v>655</v>
      </c>
      <c r="J57" s="5">
        <v>25</v>
      </c>
      <c r="K57" s="248">
        <v>997</v>
      </c>
      <c r="M57" s="247">
        <v>1026.0999999999999</v>
      </c>
      <c r="N57" s="248">
        <v>1033.3</v>
      </c>
      <c r="O57" s="247">
        <v>1039.2</v>
      </c>
      <c r="P57" s="248">
        <v>1047.5999999999999</v>
      </c>
      <c r="Q57" s="247">
        <v>1053.4000000000001</v>
      </c>
      <c r="S57" s="247">
        <v>1018.6</v>
      </c>
      <c r="T57" s="248">
        <v>1022.8</v>
      </c>
      <c r="U57" s="247">
        <v>1026.5</v>
      </c>
      <c r="V57" s="248">
        <v>1029.4000000000001</v>
      </c>
      <c r="W57" s="248">
        <v>1032.2</v>
      </c>
      <c r="X57" s="5">
        <v>25</v>
      </c>
    </row>
    <row r="58" spans="1:24" ht="14.4">
      <c r="A58" s="27">
        <v>22</v>
      </c>
      <c r="B58" s="28" t="s">
        <v>193</v>
      </c>
      <c r="C58" s="27">
        <v>3000</v>
      </c>
      <c r="D58" s="27">
        <v>6</v>
      </c>
      <c r="E58" s="27"/>
      <c r="F58" s="27">
        <v>7141012</v>
      </c>
      <c r="G58" s="27">
        <v>810</v>
      </c>
      <c r="J58" s="5">
        <v>26</v>
      </c>
      <c r="K58" s="248">
        <v>996.7</v>
      </c>
      <c r="M58" s="247">
        <v>1025.8</v>
      </c>
      <c r="N58" s="248">
        <v>1032.9000000000001</v>
      </c>
      <c r="O58" s="247">
        <v>1038.8</v>
      </c>
      <c r="P58" s="248">
        <v>1047.0999999999999</v>
      </c>
      <c r="Q58" s="247">
        <v>1052.9000000000001</v>
      </c>
      <c r="S58" s="247">
        <v>1018.1</v>
      </c>
      <c r="T58" s="248">
        <v>1022.3</v>
      </c>
      <c r="U58" s="247">
        <v>1025.9000000000001</v>
      </c>
      <c r="V58" s="248">
        <v>1028.8</v>
      </c>
      <c r="W58" s="248">
        <v>1031.5999999999999</v>
      </c>
      <c r="X58" s="5">
        <v>26</v>
      </c>
    </row>
    <row r="59" spans="1:24" ht="14.4">
      <c r="A59" s="27">
        <v>23</v>
      </c>
      <c r="B59" s="28" t="s">
        <v>194</v>
      </c>
      <c r="C59" s="27">
        <v>4000</v>
      </c>
      <c r="D59" s="27">
        <v>6</v>
      </c>
      <c r="E59" s="27"/>
      <c r="F59" s="27">
        <v>7141013</v>
      </c>
      <c r="G59" s="27">
        <v>920</v>
      </c>
      <c r="J59" s="5">
        <v>27</v>
      </c>
      <c r="K59" s="248">
        <v>996.5</v>
      </c>
      <c r="M59" s="247">
        <v>1025.4000000000001</v>
      </c>
      <c r="N59" s="248">
        <v>1032.5</v>
      </c>
      <c r="O59" s="247">
        <v>1038.4000000000001</v>
      </c>
      <c r="P59" s="248">
        <v>1046.5999999999999</v>
      </c>
      <c r="Q59" s="247">
        <v>1052.4000000000001</v>
      </c>
      <c r="S59" s="247">
        <v>1017.6</v>
      </c>
      <c r="T59" s="248">
        <v>1021.7</v>
      </c>
      <c r="U59" s="247">
        <v>1025.3</v>
      </c>
      <c r="V59" s="248">
        <v>1028.2</v>
      </c>
      <c r="W59" s="248">
        <v>1031</v>
      </c>
      <c r="X59" s="5">
        <v>27</v>
      </c>
    </row>
    <row r="60" spans="1:24" ht="14.4">
      <c r="A60" s="27">
        <v>24</v>
      </c>
      <c r="B60" s="28" t="s">
        <v>195</v>
      </c>
      <c r="C60" s="27">
        <v>5000</v>
      </c>
      <c r="D60" s="27">
        <v>6</v>
      </c>
      <c r="E60" s="27"/>
      <c r="F60" s="27">
        <v>7141014</v>
      </c>
      <c r="G60" s="27">
        <v>1015</v>
      </c>
      <c r="J60" s="5">
        <v>28</v>
      </c>
      <c r="K60" s="248">
        <v>996.2</v>
      </c>
      <c r="M60" s="247">
        <v>1025</v>
      </c>
      <c r="N60" s="248">
        <v>1032.0999999999999</v>
      </c>
      <c r="O60" s="247">
        <v>1038</v>
      </c>
      <c r="P60" s="248">
        <v>1046.2</v>
      </c>
      <c r="Q60" s="247">
        <v>1051.9000000000001</v>
      </c>
      <c r="S60" s="247">
        <v>1017.1</v>
      </c>
      <c r="T60" s="248">
        <v>1021.2</v>
      </c>
      <c r="U60" s="247">
        <v>1024.7</v>
      </c>
      <c r="V60" s="248">
        <v>1027.5999999999999</v>
      </c>
      <c r="W60" s="248">
        <v>1030.3</v>
      </c>
      <c r="X60" s="5">
        <v>28</v>
      </c>
    </row>
    <row r="61" spans="1:24" ht="14.4">
      <c r="A61" s="27">
        <v>25</v>
      </c>
      <c r="B61" s="28" t="s">
        <v>169</v>
      </c>
      <c r="C61" s="27">
        <v>300</v>
      </c>
      <c r="D61" s="27">
        <v>10</v>
      </c>
      <c r="E61" s="27"/>
      <c r="F61" s="27">
        <v>7142008</v>
      </c>
      <c r="G61" s="27">
        <v>170</v>
      </c>
      <c r="J61" s="5">
        <v>29</v>
      </c>
      <c r="K61" s="248">
        <v>996</v>
      </c>
      <c r="M61" s="247">
        <v>1024.7</v>
      </c>
      <c r="N61" s="248">
        <v>1031.7</v>
      </c>
      <c r="O61" s="247">
        <v>1037.5999999999999</v>
      </c>
      <c r="P61" s="248">
        <v>1045.7</v>
      </c>
      <c r="Q61" s="247">
        <v>1051.4000000000001</v>
      </c>
      <c r="S61" s="247">
        <v>1016.6</v>
      </c>
      <c r="T61" s="248">
        <v>1020.6</v>
      </c>
      <c r="U61" s="247">
        <v>1024.2</v>
      </c>
      <c r="V61" s="248">
        <v>1027</v>
      </c>
      <c r="W61" s="248">
        <v>1029.7</v>
      </c>
      <c r="X61" s="5">
        <v>29</v>
      </c>
    </row>
    <row r="62" spans="1:24" ht="14.4">
      <c r="A62" s="27">
        <v>26</v>
      </c>
      <c r="B62" s="28" t="s">
        <v>170</v>
      </c>
      <c r="C62" s="27">
        <v>500</v>
      </c>
      <c r="D62" s="27">
        <v>10</v>
      </c>
      <c r="E62" s="27"/>
      <c r="F62" s="27">
        <v>7142009</v>
      </c>
      <c r="G62" s="27">
        <v>225</v>
      </c>
      <c r="J62" s="5">
        <v>30</v>
      </c>
      <c r="K62" s="248">
        <v>995.7</v>
      </c>
      <c r="M62" s="247">
        <v>1024.3</v>
      </c>
      <c r="N62" s="248">
        <v>1031.4000000000001</v>
      </c>
      <c r="O62" s="247">
        <v>1037.2</v>
      </c>
      <c r="P62" s="248">
        <v>1045.2</v>
      </c>
      <c r="Q62" s="247">
        <v>1050.9000000000001</v>
      </c>
      <c r="S62" s="247">
        <v>1016.1</v>
      </c>
      <c r="T62" s="248">
        <v>1020.1</v>
      </c>
      <c r="U62" s="247">
        <v>1023.6</v>
      </c>
      <c r="V62" s="248">
        <v>1026.4000000000001</v>
      </c>
      <c r="W62" s="248">
        <v>1029.0999999999999</v>
      </c>
      <c r="X62" s="5">
        <v>30</v>
      </c>
    </row>
    <row r="63" spans="1:24" ht="14.4">
      <c r="A63" s="27">
        <v>27</v>
      </c>
      <c r="B63" s="28" t="s">
        <v>167</v>
      </c>
      <c r="C63" s="27">
        <v>700</v>
      </c>
      <c r="D63" s="27">
        <v>10</v>
      </c>
      <c r="E63" s="27"/>
      <c r="F63" s="27">
        <v>7142010</v>
      </c>
      <c r="G63" s="27">
        <v>240</v>
      </c>
      <c r="J63" s="5">
        <v>31</v>
      </c>
      <c r="K63" s="248">
        <v>995.4</v>
      </c>
      <c r="M63" s="247">
        <v>1024</v>
      </c>
      <c r="N63" s="248">
        <v>1031</v>
      </c>
      <c r="O63" s="247">
        <v>1036.8</v>
      </c>
      <c r="P63" s="248">
        <v>1044.8</v>
      </c>
      <c r="Q63" s="247">
        <v>1050.4000000000001</v>
      </c>
      <c r="S63" s="247">
        <v>1015.5</v>
      </c>
      <c r="T63" s="248">
        <v>1019.5</v>
      </c>
      <c r="U63" s="247">
        <v>1023</v>
      </c>
      <c r="V63" s="248">
        <v>1025.8</v>
      </c>
      <c r="W63" s="248">
        <v>1028.4000000000001</v>
      </c>
      <c r="X63" s="5">
        <v>31</v>
      </c>
    </row>
    <row r="64" spans="1:24" ht="14.4">
      <c r="A64" s="27">
        <v>28</v>
      </c>
      <c r="B64" s="28" t="s">
        <v>202</v>
      </c>
      <c r="C64" s="27">
        <v>1000</v>
      </c>
      <c r="D64" s="27">
        <v>16</v>
      </c>
      <c r="E64" s="27"/>
      <c r="F64" s="27">
        <v>7142011</v>
      </c>
      <c r="G64" s="27">
        <v>330</v>
      </c>
      <c r="J64" s="5">
        <v>32</v>
      </c>
      <c r="K64" s="248">
        <v>995</v>
      </c>
      <c r="M64" s="247">
        <v>1023.6</v>
      </c>
      <c r="N64" s="248">
        <v>1030.5999999999999</v>
      </c>
      <c r="O64" s="247">
        <v>1036.3</v>
      </c>
      <c r="P64" s="248">
        <v>1044.3</v>
      </c>
      <c r="Q64" s="247">
        <v>1049.8</v>
      </c>
      <c r="S64" s="247">
        <v>1015</v>
      </c>
      <c r="T64" s="248">
        <v>1018.9</v>
      </c>
      <c r="U64" s="247">
        <v>1022.4</v>
      </c>
      <c r="V64" s="248">
        <v>1025.2</v>
      </c>
      <c r="W64" s="248">
        <v>1027.8</v>
      </c>
      <c r="X64" s="5">
        <v>32</v>
      </c>
    </row>
    <row r="65" spans="1:24" ht="14.4">
      <c r="A65" s="27">
        <v>29</v>
      </c>
      <c r="B65" s="28" t="s">
        <v>203</v>
      </c>
      <c r="C65" s="27">
        <v>1500</v>
      </c>
      <c r="D65" s="27">
        <v>16</v>
      </c>
      <c r="E65" s="27"/>
      <c r="F65" s="27">
        <v>7142012</v>
      </c>
      <c r="G65" s="27">
        <v>445</v>
      </c>
      <c r="J65" s="5">
        <v>33</v>
      </c>
      <c r="K65" s="248">
        <v>994.7</v>
      </c>
      <c r="M65" s="247">
        <v>1023.2</v>
      </c>
      <c r="N65" s="248">
        <v>1030.2</v>
      </c>
      <c r="O65" s="247">
        <v>1035.9000000000001</v>
      </c>
      <c r="P65" s="248">
        <v>1043.8</v>
      </c>
      <c r="Q65" s="247">
        <v>1049.3</v>
      </c>
      <c r="S65" s="247">
        <v>1014.4</v>
      </c>
      <c r="T65" s="248">
        <v>1018.4</v>
      </c>
      <c r="U65" s="247">
        <v>1021.8</v>
      </c>
      <c r="V65" s="248">
        <v>1024.5</v>
      </c>
      <c r="W65" s="248">
        <v>1027.0999999999999</v>
      </c>
      <c r="X65" s="5">
        <v>33</v>
      </c>
    </row>
    <row r="66" spans="1:24" ht="14.4">
      <c r="A66" s="27">
        <v>30</v>
      </c>
      <c r="B66" s="28" t="s">
        <v>204</v>
      </c>
      <c r="C66" s="27">
        <v>2000</v>
      </c>
      <c r="D66" s="27">
        <v>16</v>
      </c>
      <c r="E66" s="27"/>
      <c r="F66" s="27">
        <v>7142017</v>
      </c>
      <c r="G66" s="27">
        <v>735</v>
      </c>
      <c r="J66" s="5">
        <v>34</v>
      </c>
      <c r="K66" s="248">
        <v>994.3</v>
      </c>
      <c r="M66" s="247">
        <v>1022.9</v>
      </c>
      <c r="N66" s="248">
        <v>1029.8</v>
      </c>
      <c r="O66" s="247">
        <v>1035.5</v>
      </c>
      <c r="P66" s="248">
        <v>1043.3</v>
      </c>
      <c r="Q66" s="247">
        <v>1048.8</v>
      </c>
      <c r="S66" s="247">
        <v>1013.9</v>
      </c>
      <c r="T66" s="248">
        <v>1017.8</v>
      </c>
      <c r="U66" s="247">
        <v>1021.2</v>
      </c>
      <c r="V66" s="248">
        <v>1023.9</v>
      </c>
      <c r="W66" s="248">
        <v>1026.4000000000001</v>
      </c>
      <c r="X66" s="5">
        <v>34</v>
      </c>
    </row>
    <row r="67" spans="1:24" ht="14.4">
      <c r="A67" s="27">
        <v>31</v>
      </c>
      <c r="B67" s="28" t="s">
        <v>205</v>
      </c>
      <c r="C67" s="27">
        <v>3000</v>
      </c>
      <c r="D67" s="27">
        <v>16</v>
      </c>
      <c r="E67" s="27"/>
      <c r="F67" s="27">
        <v>7142014</v>
      </c>
      <c r="G67" s="27">
        <v>890</v>
      </c>
      <c r="J67" s="5">
        <v>35</v>
      </c>
      <c r="K67" s="248">
        <v>994</v>
      </c>
      <c r="M67" s="247">
        <v>1022.5</v>
      </c>
      <c r="N67" s="248">
        <v>1029.5</v>
      </c>
      <c r="O67" s="247">
        <v>1035.0999999999999</v>
      </c>
      <c r="P67" s="248">
        <v>1042.9000000000001</v>
      </c>
      <c r="Q67" s="247">
        <v>1048.3</v>
      </c>
      <c r="S67" s="247">
        <v>1013.4</v>
      </c>
      <c r="T67" s="248">
        <v>1017.2</v>
      </c>
      <c r="U67" s="247">
        <v>1020.6</v>
      </c>
      <c r="V67" s="248">
        <v>1023.3</v>
      </c>
      <c r="W67" s="248">
        <v>1025.8</v>
      </c>
      <c r="X67" s="5">
        <v>35</v>
      </c>
    </row>
    <row r="68" spans="1:24" ht="14.4">
      <c r="A68" s="27">
        <v>32</v>
      </c>
      <c r="B68" s="28" t="s">
        <v>206</v>
      </c>
      <c r="C68" s="27">
        <v>4000</v>
      </c>
      <c r="D68" s="27">
        <v>16</v>
      </c>
      <c r="E68" s="27"/>
      <c r="F68" s="27">
        <v>7142015</v>
      </c>
      <c r="G68" s="27">
        <v>1030</v>
      </c>
      <c r="J68" s="5">
        <v>36</v>
      </c>
      <c r="K68" s="248">
        <v>993.6</v>
      </c>
      <c r="M68" s="247">
        <v>1022.1</v>
      </c>
      <c r="N68" s="248">
        <v>1029.0999999999999</v>
      </c>
      <c r="O68" s="247">
        <v>1034.7</v>
      </c>
      <c r="P68" s="248">
        <v>1042.4000000000001</v>
      </c>
      <c r="Q68" s="247">
        <v>1047.8</v>
      </c>
      <c r="S68" s="247">
        <v>1012.8</v>
      </c>
      <c r="T68" s="248">
        <v>1016.6</v>
      </c>
      <c r="U68" s="247">
        <v>1020</v>
      </c>
      <c r="V68" s="248">
        <v>1022.6</v>
      </c>
      <c r="W68" s="248">
        <v>1025.0999999999999</v>
      </c>
      <c r="X68" s="5">
        <v>36</v>
      </c>
    </row>
    <row r="69" spans="1:24" ht="14.4">
      <c r="A69" s="27">
        <v>33</v>
      </c>
      <c r="B69" s="28" t="s">
        <v>207</v>
      </c>
      <c r="C69" s="27">
        <v>5000</v>
      </c>
      <c r="D69" s="27">
        <v>16</v>
      </c>
      <c r="E69" s="27"/>
      <c r="F69" s="27">
        <v>7142016</v>
      </c>
      <c r="G69" s="27">
        <v>1145</v>
      </c>
      <c r="J69" s="5">
        <v>37</v>
      </c>
      <c r="K69" s="248">
        <v>993.3</v>
      </c>
      <c r="M69" s="247">
        <v>1021.8</v>
      </c>
      <c r="N69" s="248">
        <v>1028.7</v>
      </c>
      <c r="O69" s="247">
        <v>1034.3</v>
      </c>
      <c r="P69" s="248">
        <v>1041.9000000000001</v>
      </c>
      <c r="Q69" s="247">
        <v>1047.3</v>
      </c>
      <c r="S69" s="247">
        <v>1012.3</v>
      </c>
      <c r="T69" s="248">
        <v>1016.1</v>
      </c>
      <c r="U69" s="247">
        <v>1019.3</v>
      </c>
      <c r="V69" s="248">
        <v>1022</v>
      </c>
      <c r="W69" s="248">
        <v>1024.5</v>
      </c>
      <c r="X69" s="5">
        <v>37</v>
      </c>
    </row>
    <row r="70" spans="1:24" ht="14.4">
      <c r="A70" s="27">
        <v>34</v>
      </c>
      <c r="B70" s="28" t="s">
        <v>171</v>
      </c>
      <c r="C70" s="27">
        <v>300</v>
      </c>
      <c r="D70" s="27">
        <v>16</v>
      </c>
      <c r="E70" s="27"/>
      <c r="F70" s="27">
        <v>7143000</v>
      </c>
      <c r="G70" s="27">
        <v>190</v>
      </c>
      <c r="J70" s="5">
        <v>38</v>
      </c>
      <c r="K70" s="248">
        <v>992.9</v>
      </c>
      <c r="M70" s="247">
        <v>1021.4</v>
      </c>
      <c r="N70" s="248">
        <v>1028.3</v>
      </c>
      <c r="O70" s="247">
        <v>1033.9000000000001</v>
      </c>
      <c r="P70" s="248">
        <v>1041.5</v>
      </c>
      <c r="Q70" s="247">
        <v>1046.8</v>
      </c>
      <c r="S70" s="247">
        <v>1011.7</v>
      </c>
      <c r="T70" s="248">
        <v>1015.5</v>
      </c>
      <c r="U70" s="247">
        <v>1018.7</v>
      </c>
      <c r="V70" s="248">
        <v>1021.4</v>
      </c>
      <c r="W70" s="248">
        <v>1023.8</v>
      </c>
      <c r="X70" s="5">
        <v>38</v>
      </c>
    </row>
    <row r="71" spans="1:24" ht="14.4">
      <c r="A71" s="27">
        <v>35</v>
      </c>
      <c r="B71" s="28" t="s">
        <v>172</v>
      </c>
      <c r="C71" s="27">
        <v>500</v>
      </c>
      <c r="D71" s="27">
        <v>16</v>
      </c>
      <c r="E71" s="27"/>
      <c r="F71" s="27">
        <v>7143001</v>
      </c>
      <c r="G71" s="27">
        <v>255</v>
      </c>
      <c r="J71" s="5">
        <v>39</v>
      </c>
      <c r="K71" s="248">
        <v>992.6</v>
      </c>
      <c r="M71" s="247">
        <v>1021.1</v>
      </c>
      <c r="N71" s="248">
        <v>1028</v>
      </c>
      <c r="O71" s="247">
        <v>1033.5</v>
      </c>
      <c r="P71" s="248">
        <v>1041</v>
      </c>
      <c r="Q71" s="247">
        <v>1046.2</v>
      </c>
      <c r="S71" s="247">
        <v>1011.2</v>
      </c>
      <c r="T71" s="248">
        <v>1014.9</v>
      </c>
      <c r="U71" s="247">
        <v>1018.1</v>
      </c>
      <c r="V71" s="248">
        <v>1020.7</v>
      </c>
      <c r="W71" s="248">
        <v>1023.2</v>
      </c>
      <c r="X71" s="5">
        <v>39</v>
      </c>
    </row>
    <row r="72" spans="1:24" ht="14.4">
      <c r="A72" s="27">
        <v>36</v>
      </c>
      <c r="B72" s="28" t="s">
        <v>173</v>
      </c>
      <c r="C72" s="27">
        <v>700</v>
      </c>
      <c r="D72" s="27">
        <v>16</v>
      </c>
      <c r="E72" s="27"/>
      <c r="F72" s="27">
        <v>7143002</v>
      </c>
      <c r="G72" s="27">
        <v>280</v>
      </c>
      <c r="J72" s="5">
        <v>40</v>
      </c>
      <c r="K72" s="248">
        <v>992.2</v>
      </c>
      <c r="M72" s="247">
        <v>1020.7</v>
      </c>
      <c r="N72" s="248">
        <v>1027.5999999999999</v>
      </c>
      <c r="O72" s="247">
        <v>1033.0999999999999</v>
      </c>
      <c r="P72" s="248">
        <v>1040.5</v>
      </c>
      <c r="Q72" s="247">
        <v>1045.7</v>
      </c>
      <c r="S72" s="247">
        <v>1010.6</v>
      </c>
      <c r="T72" s="248">
        <v>1014.3</v>
      </c>
      <c r="U72" s="247">
        <v>1017.5</v>
      </c>
      <c r="V72" s="248">
        <v>1020.1</v>
      </c>
      <c r="W72" s="248">
        <v>1022.5</v>
      </c>
      <c r="X72" s="5">
        <v>40</v>
      </c>
    </row>
    <row r="73" spans="1:24" ht="14.4">
      <c r="A73" s="27">
        <v>37</v>
      </c>
      <c r="B73" s="28" t="s">
        <v>196</v>
      </c>
      <c r="C73" s="27">
        <v>1000</v>
      </c>
      <c r="D73" s="27">
        <v>16</v>
      </c>
      <c r="E73" s="27"/>
      <c r="F73" s="27">
        <v>7143003</v>
      </c>
      <c r="G73" s="27">
        <v>385</v>
      </c>
      <c r="J73" s="5">
        <v>41</v>
      </c>
      <c r="K73" s="248">
        <v>991.8</v>
      </c>
      <c r="M73" s="247">
        <v>1020.2</v>
      </c>
      <c r="N73" s="248">
        <v>1027</v>
      </c>
      <c r="O73" s="247">
        <v>1032.5999999999999</v>
      </c>
      <c r="P73" s="248">
        <v>1039.9000000000001</v>
      </c>
      <c r="Q73" s="247">
        <v>1045.0999999999999</v>
      </c>
      <c r="S73" s="247">
        <v>1010</v>
      </c>
      <c r="T73" s="248">
        <v>1013.7</v>
      </c>
      <c r="U73" s="247">
        <v>1016.9</v>
      </c>
      <c r="V73" s="248">
        <v>1019.4</v>
      </c>
      <c r="W73" s="248">
        <v>1021.8</v>
      </c>
      <c r="X73" s="5">
        <v>41</v>
      </c>
    </row>
    <row r="74" spans="1:24" ht="14.4">
      <c r="A74" s="27">
        <v>38</v>
      </c>
      <c r="B74" s="28" t="s">
        <v>197</v>
      </c>
      <c r="C74" s="27">
        <v>1500</v>
      </c>
      <c r="D74" s="27">
        <v>16</v>
      </c>
      <c r="E74" s="27"/>
      <c r="F74" s="27">
        <v>7143004</v>
      </c>
      <c r="G74" s="27">
        <v>510</v>
      </c>
      <c r="J74" s="5">
        <v>42</v>
      </c>
      <c r="K74" s="248">
        <v>991.4</v>
      </c>
      <c r="M74" s="247">
        <v>1019.6</v>
      </c>
      <c r="N74" s="248">
        <v>1026.5</v>
      </c>
      <c r="O74" s="247">
        <v>1032</v>
      </c>
      <c r="P74" s="248">
        <v>1039.3</v>
      </c>
      <c r="Q74" s="247">
        <v>1044.5</v>
      </c>
      <c r="S74" s="247">
        <v>1009.5</v>
      </c>
      <c r="T74" s="248">
        <v>1013.1</v>
      </c>
      <c r="U74" s="247">
        <v>1016.2</v>
      </c>
      <c r="V74" s="248">
        <v>1018.8</v>
      </c>
      <c r="W74" s="248">
        <v>1021.1</v>
      </c>
      <c r="X74" s="5">
        <v>42</v>
      </c>
    </row>
    <row r="75" spans="1:24" ht="14.4">
      <c r="A75" s="27">
        <v>39</v>
      </c>
      <c r="B75" s="28" t="s">
        <v>198</v>
      </c>
      <c r="C75" s="27">
        <v>2000</v>
      </c>
      <c r="D75" s="27">
        <v>16</v>
      </c>
      <c r="E75" s="27"/>
      <c r="F75" s="27">
        <v>7143012</v>
      </c>
      <c r="G75" s="27">
        <v>820</v>
      </c>
      <c r="J75" s="5">
        <v>43</v>
      </c>
      <c r="K75" s="248">
        <v>991</v>
      </c>
      <c r="M75" s="247">
        <v>1019.1</v>
      </c>
      <c r="N75" s="248">
        <v>1025.9000000000001</v>
      </c>
      <c r="O75" s="247">
        <v>1031.4000000000001</v>
      </c>
      <c r="P75" s="248">
        <v>1038.7</v>
      </c>
      <c r="Q75" s="247">
        <v>1043.9000000000001</v>
      </c>
      <c r="S75" s="247">
        <v>1008.9</v>
      </c>
      <c r="T75" s="248">
        <v>1012.5</v>
      </c>
      <c r="U75" s="247">
        <v>1015.6</v>
      </c>
      <c r="V75" s="248">
        <v>1018.1</v>
      </c>
      <c r="W75" s="248">
        <v>1020.5</v>
      </c>
      <c r="X75" s="5">
        <v>43</v>
      </c>
    </row>
    <row r="76" spans="1:24" ht="14.4">
      <c r="A76" s="27">
        <v>40</v>
      </c>
      <c r="B76" s="28" t="s">
        <v>199</v>
      </c>
      <c r="C76" s="27">
        <v>3000</v>
      </c>
      <c r="D76" s="27">
        <v>16</v>
      </c>
      <c r="E76" s="27"/>
      <c r="F76" s="27">
        <v>7143006</v>
      </c>
      <c r="G76" s="27">
        <v>995</v>
      </c>
      <c r="J76" s="5">
        <v>44</v>
      </c>
      <c r="K76" s="248">
        <v>990.6</v>
      </c>
      <c r="M76" s="247">
        <v>1018.6</v>
      </c>
      <c r="N76" s="248">
        <v>1025.4000000000001</v>
      </c>
      <c r="O76" s="247">
        <v>1030.9000000000001</v>
      </c>
      <c r="P76" s="248">
        <v>1038.0999999999999</v>
      </c>
      <c r="Q76" s="247">
        <v>1043.3</v>
      </c>
      <c r="S76" s="247">
        <v>1008.3</v>
      </c>
      <c r="T76" s="248">
        <v>1011.9</v>
      </c>
      <c r="U76" s="247">
        <v>1014.9</v>
      </c>
      <c r="V76" s="248">
        <v>1017.4</v>
      </c>
      <c r="W76" s="248">
        <v>1019.8</v>
      </c>
      <c r="X76" s="5">
        <v>44</v>
      </c>
    </row>
    <row r="77" spans="1:24" ht="14.4">
      <c r="A77" s="27">
        <v>41</v>
      </c>
      <c r="B77" s="28" t="s">
        <v>200</v>
      </c>
      <c r="C77" s="27">
        <v>4000</v>
      </c>
      <c r="D77" s="27">
        <v>16</v>
      </c>
      <c r="E77" s="27"/>
      <c r="F77" s="27">
        <v>7143007</v>
      </c>
      <c r="G77" s="27">
        <v>1145</v>
      </c>
      <c r="J77" s="5">
        <v>45</v>
      </c>
      <c r="K77" s="248">
        <v>990.2</v>
      </c>
      <c r="M77" s="247">
        <v>1018</v>
      </c>
      <c r="N77" s="248">
        <v>1024.8</v>
      </c>
      <c r="O77" s="247">
        <v>1030.3</v>
      </c>
      <c r="P77" s="248">
        <v>1037.5</v>
      </c>
      <c r="Q77" s="247">
        <v>1042.7</v>
      </c>
      <c r="S77" s="247">
        <v>1007.7</v>
      </c>
      <c r="T77" s="248">
        <v>1011.3</v>
      </c>
      <c r="U77" s="247">
        <v>1014.3</v>
      </c>
      <c r="V77" s="248">
        <v>1016.8</v>
      </c>
      <c r="W77" s="248">
        <v>1019.1</v>
      </c>
      <c r="X77" s="5">
        <v>45</v>
      </c>
    </row>
    <row r="78" spans="1:24" ht="14.4">
      <c r="A78" s="27">
        <v>42</v>
      </c>
      <c r="B78" s="28" t="s">
        <v>201</v>
      </c>
      <c r="C78" s="27">
        <v>5000</v>
      </c>
      <c r="D78" s="27">
        <v>16</v>
      </c>
      <c r="E78" s="27"/>
      <c r="F78" s="27">
        <v>7143008</v>
      </c>
      <c r="G78" s="27">
        <v>1280</v>
      </c>
      <c r="J78" s="5">
        <v>46</v>
      </c>
      <c r="K78" s="248">
        <v>989.8</v>
      </c>
      <c r="M78" s="247">
        <v>1017.5</v>
      </c>
      <c r="N78" s="248">
        <v>1024.3</v>
      </c>
      <c r="O78" s="247">
        <v>1029.7</v>
      </c>
      <c r="P78" s="248">
        <v>1036.9000000000001</v>
      </c>
      <c r="Q78" s="247">
        <v>1042.0999999999999</v>
      </c>
      <c r="S78" s="247">
        <v>1007.1</v>
      </c>
      <c r="T78" s="248">
        <v>1010.6</v>
      </c>
      <c r="U78" s="247">
        <v>1013.6</v>
      </c>
      <c r="V78" s="248">
        <v>1016.1</v>
      </c>
      <c r="W78" s="248">
        <v>1018.4</v>
      </c>
      <c r="X78" s="5">
        <v>46</v>
      </c>
    </row>
    <row r="79" spans="1:24" ht="14.4">
      <c r="A79" s="3"/>
      <c r="B79" s="28"/>
      <c r="C79" s="3"/>
      <c r="D79" s="3"/>
      <c r="E79" s="3"/>
      <c r="F79" s="3"/>
      <c r="G79" s="3"/>
      <c r="J79" s="5">
        <v>47</v>
      </c>
      <c r="K79" s="248">
        <v>989.4</v>
      </c>
      <c r="M79" s="247">
        <v>1017</v>
      </c>
      <c r="N79" s="248">
        <v>1023.7</v>
      </c>
      <c r="O79" s="247">
        <v>1029.2</v>
      </c>
      <c r="P79" s="248">
        <v>1036.3</v>
      </c>
      <c r="Q79" s="247">
        <v>1041.4000000000001</v>
      </c>
      <c r="S79" s="247">
        <v>1006.5</v>
      </c>
      <c r="T79" s="248">
        <v>1010</v>
      </c>
      <c r="U79" s="247">
        <v>1013</v>
      </c>
      <c r="V79" s="248">
        <v>1015.4</v>
      </c>
      <c r="W79" s="248">
        <v>1017.7</v>
      </c>
      <c r="X79" s="5">
        <v>47</v>
      </c>
    </row>
    <row r="80" spans="1:24" ht="14.4">
      <c r="A80" s="3"/>
      <c r="B80" s="28"/>
      <c r="C80" s="3"/>
      <c r="D80" s="3"/>
      <c r="E80" s="9" t="s">
        <v>4</v>
      </c>
      <c r="F80" s="3">
        <f>VLOOKUP(B36,A37:G78,3,0)</f>
        <v>8</v>
      </c>
      <c r="G80" s="3"/>
      <c r="J80" s="5">
        <v>48</v>
      </c>
      <c r="K80" s="248">
        <v>988.9</v>
      </c>
      <c r="M80" s="247">
        <v>1016.4</v>
      </c>
      <c r="N80" s="248">
        <v>1023.2</v>
      </c>
      <c r="O80" s="247">
        <v>1028.5999999999999</v>
      </c>
      <c r="P80" s="248">
        <v>1035.7</v>
      </c>
      <c r="Q80" s="247">
        <v>1040.8</v>
      </c>
      <c r="S80" s="247">
        <v>1006</v>
      </c>
      <c r="T80" s="248">
        <v>1009.4</v>
      </c>
      <c r="U80" s="247">
        <v>1012.3</v>
      </c>
      <c r="V80" s="248">
        <v>1014.7</v>
      </c>
      <c r="W80" s="248">
        <v>1017</v>
      </c>
      <c r="X80" s="5">
        <v>48</v>
      </c>
    </row>
    <row r="81" spans="1:24" ht="14.4">
      <c r="A81" s="3"/>
      <c r="B81" s="28"/>
      <c r="C81" s="3"/>
      <c r="D81" s="3"/>
      <c r="E81" s="9" t="s">
        <v>138</v>
      </c>
      <c r="F81" s="3">
        <f>VLOOKUP(B36,A37:G78,4,0)</f>
        <v>10</v>
      </c>
      <c r="G81" s="3"/>
      <c r="J81" s="5">
        <v>49</v>
      </c>
      <c r="K81" s="248">
        <v>988.5</v>
      </c>
      <c r="M81" s="247">
        <v>1015.9</v>
      </c>
      <c r="N81" s="248">
        <v>1022.6</v>
      </c>
      <c r="O81" s="247">
        <v>1028</v>
      </c>
      <c r="P81" s="248">
        <v>1035.0999999999999</v>
      </c>
      <c r="Q81" s="247">
        <v>1040.2</v>
      </c>
      <c r="S81" s="247">
        <v>1005.4</v>
      </c>
      <c r="T81" s="248">
        <v>1008.8</v>
      </c>
      <c r="U81" s="247">
        <v>1011.7</v>
      </c>
      <c r="V81" s="248">
        <v>1014.1</v>
      </c>
      <c r="W81" s="248">
        <v>1016.3</v>
      </c>
      <c r="X81" s="5">
        <v>49</v>
      </c>
    </row>
    <row r="82" spans="1:24" ht="14.4">
      <c r="A82" s="3"/>
      <c r="B82" s="28"/>
      <c r="C82" s="3"/>
      <c r="D82" s="3"/>
      <c r="E82" s="9" t="s">
        <v>144</v>
      </c>
      <c r="F82" s="3">
        <f>VLOOKUP(B36,A37:G78,7,0)</f>
        <v>3.9</v>
      </c>
      <c r="G82" s="3"/>
      <c r="J82" s="5">
        <v>50</v>
      </c>
      <c r="K82" s="248">
        <v>988</v>
      </c>
      <c r="M82" s="247">
        <v>1015.4</v>
      </c>
      <c r="N82" s="248">
        <v>1022.1</v>
      </c>
      <c r="O82" s="247">
        <v>1027.4000000000001</v>
      </c>
      <c r="P82" s="248">
        <v>1034.5</v>
      </c>
      <c r="Q82" s="247">
        <v>1039.5999999999999</v>
      </c>
      <c r="S82" s="247">
        <v>1004.8</v>
      </c>
      <c r="T82" s="248">
        <v>1008.2</v>
      </c>
      <c r="U82" s="247">
        <v>1011.1</v>
      </c>
      <c r="V82" s="248">
        <v>1013.4</v>
      </c>
      <c r="W82" s="248">
        <v>1015.7</v>
      </c>
      <c r="X82" s="5">
        <v>50</v>
      </c>
    </row>
    <row r="83" spans="1:24" ht="14.4">
      <c r="A83" s="3"/>
      <c r="B83" s="28"/>
      <c r="C83" s="3"/>
      <c r="D83" s="3"/>
      <c r="E83" s="9" t="s">
        <v>224</v>
      </c>
      <c r="F83" s="9" t="str">
        <f>VLOOKUP(B36,A37:G78,2,0)</f>
        <v xml:space="preserve">DD 8.10  </v>
      </c>
      <c r="G83" s="3"/>
      <c r="J83" s="5">
        <v>51</v>
      </c>
      <c r="K83" s="248">
        <v>987.6</v>
      </c>
      <c r="M83" s="247">
        <v>1014.8</v>
      </c>
      <c r="N83" s="248">
        <v>1021.5</v>
      </c>
      <c r="O83" s="247">
        <v>1026.8</v>
      </c>
      <c r="P83" s="248">
        <v>1033.9000000000001</v>
      </c>
      <c r="Q83" s="247">
        <v>1039</v>
      </c>
      <c r="S83" s="247">
        <v>1004.2</v>
      </c>
      <c r="T83" s="248">
        <v>1007.5</v>
      </c>
      <c r="U83" s="247">
        <v>1010.4</v>
      </c>
      <c r="V83" s="248">
        <v>1012.7</v>
      </c>
      <c r="W83" s="248">
        <v>1014.9</v>
      </c>
      <c r="X83" s="5">
        <v>51</v>
      </c>
    </row>
    <row r="84" spans="1:24" ht="14.4">
      <c r="A84" s="3"/>
      <c r="B84" s="28"/>
      <c r="C84" s="32"/>
      <c r="D84" s="3"/>
      <c r="E84" s="9" t="s">
        <v>225</v>
      </c>
      <c r="F84" s="3">
        <f>VLOOKUP(B36,A37:G78,6,0)</f>
        <v>7142020</v>
      </c>
      <c r="G84" s="3"/>
      <c r="J84" s="5">
        <v>52</v>
      </c>
      <c r="K84" s="248">
        <v>987.1</v>
      </c>
      <c r="M84" s="247">
        <v>1014.2</v>
      </c>
      <c r="N84" s="248">
        <v>1020.9</v>
      </c>
      <c r="O84" s="247">
        <v>1026.2</v>
      </c>
      <c r="P84" s="248">
        <v>1033.3</v>
      </c>
      <c r="Q84" s="247">
        <v>1038.3</v>
      </c>
      <c r="S84" s="247">
        <v>1003.6</v>
      </c>
      <c r="T84" s="248">
        <v>1006.9</v>
      </c>
      <c r="U84" s="247">
        <v>1009.7</v>
      </c>
      <c r="V84" s="248">
        <v>1012</v>
      </c>
      <c r="W84" s="248">
        <v>1014.2</v>
      </c>
      <c r="X84" s="5">
        <v>52</v>
      </c>
    </row>
    <row r="85" spans="1:24" ht="14.4">
      <c r="A85" s="3"/>
      <c r="B85" s="28"/>
      <c r="C85" s="32"/>
      <c r="D85" s="3"/>
      <c r="E85" s="3"/>
      <c r="F85" s="3"/>
      <c r="G85" s="3"/>
      <c r="J85" s="5">
        <v>53</v>
      </c>
      <c r="K85" s="248">
        <v>986.6</v>
      </c>
      <c r="M85" s="247">
        <v>1013.6</v>
      </c>
      <c r="N85" s="248">
        <v>1020.3</v>
      </c>
      <c r="O85" s="247">
        <v>1025.5999999999999</v>
      </c>
      <c r="P85" s="248">
        <v>1032.7</v>
      </c>
      <c r="Q85" s="247">
        <v>1037.7</v>
      </c>
      <c r="S85" s="247">
        <v>1002.9</v>
      </c>
      <c r="T85" s="248">
        <v>1006.2</v>
      </c>
      <c r="U85" s="247">
        <v>1009</v>
      </c>
      <c r="V85" s="248">
        <v>1011.3</v>
      </c>
      <c r="W85" s="248">
        <v>1013.5</v>
      </c>
      <c r="X85" s="5">
        <v>53</v>
      </c>
    </row>
    <row r="86" spans="1:24" ht="14.4">
      <c r="J86" s="5">
        <v>54</v>
      </c>
      <c r="K86" s="248">
        <v>986.2</v>
      </c>
      <c r="M86" s="247">
        <v>1013.1</v>
      </c>
      <c r="N86" s="248">
        <v>1019.7</v>
      </c>
      <c r="O86" s="247">
        <v>1025</v>
      </c>
      <c r="P86" s="248">
        <v>1032</v>
      </c>
      <c r="Q86" s="247">
        <v>1037</v>
      </c>
      <c r="S86" s="247">
        <v>1002.3</v>
      </c>
      <c r="T86" s="248">
        <v>1005.6</v>
      </c>
      <c r="U86" s="247">
        <v>1008.4</v>
      </c>
      <c r="V86" s="248">
        <v>1010.6</v>
      </c>
      <c r="W86" s="248">
        <v>1012.8</v>
      </c>
      <c r="X86" s="5">
        <v>54</v>
      </c>
    </row>
    <row r="87" spans="1:24" ht="14.4">
      <c r="J87" s="5">
        <v>55</v>
      </c>
      <c r="K87" s="248">
        <v>985.7</v>
      </c>
      <c r="M87" s="247">
        <v>1012.5</v>
      </c>
      <c r="N87" s="248">
        <v>1019.1</v>
      </c>
      <c r="O87" s="247">
        <v>1024.4000000000001</v>
      </c>
      <c r="P87" s="248">
        <v>1031.4000000000001</v>
      </c>
      <c r="Q87" s="247">
        <v>1036.4000000000001</v>
      </c>
      <c r="S87" s="247">
        <v>1001.7</v>
      </c>
      <c r="T87" s="248">
        <v>1005</v>
      </c>
      <c r="U87" s="247">
        <v>1007.7</v>
      </c>
      <c r="V87" s="248">
        <v>1009.9</v>
      </c>
      <c r="W87" s="248">
        <v>1012.1</v>
      </c>
      <c r="X87" s="5">
        <v>55</v>
      </c>
    </row>
    <row r="88" spans="1:24" ht="14.4">
      <c r="J88" s="5">
        <v>56</v>
      </c>
      <c r="K88" s="248">
        <v>985.2</v>
      </c>
      <c r="M88" s="247">
        <v>1011.9</v>
      </c>
      <c r="N88" s="248">
        <v>1018.5</v>
      </c>
      <c r="O88" s="247">
        <v>1023.8</v>
      </c>
      <c r="P88" s="248">
        <v>1030.8</v>
      </c>
      <c r="Q88" s="247">
        <v>1035.7</v>
      </c>
      <c r="S88" s="247">
        <v>1001.1</v>
      </c>
      <c r="T88" s="248">
        <v>1004.3</v>
      </c>
      <c r="U88" s="247">
        <v>1007</v>
      </c>
      <c r="V88" s="248">
        <v>1009.3</v>
      </c>
      <c r="W88" s="248">
        <v>1011.4</v>
      </c>
      <c r="X88" s="5">
        <v>56</v>
      </c>
    </row>
    <row r="89" spans="1:24" ht="14.4">
      <c r="J89" s="5">
        <v>57</v>
      </c>
      <c r="K89" s="248">
        <v>984.7</v>
      </c>
      <c r="M89" s="247">
        <v>1011.3</v>
      </c>
      <c r="N89" s="248">
        <v>1017.9</v>
      </c>
      <c r="O89" s="247">
        <v>1023.2</v>
      </c>
      <c r="P89" s="248">
        <v>1030.0999999999999</v>
      </c>
      <c r="Q89" s="247">
        <v>1035.0999999999999</v>
      </c>
      <c r="S89" s="247">
        <v>1000.5</v>
      </c>
      <c r="T89" s="248">
        <v>1003.7</v>
      </c>
      <c r="U89" s="247">
        <v>1006.4</v>
      </c>
      <c r="V89" s="248">
        <v>1008.6</v>
      </c>
      <c r="W89" s="248">
        <v>1010.7</v>
      </c>
      <c r="X89" s="5">
        <v>57</v>
      </c>
    </row>
    <row r="90" spans="1:24" ht="14.4">
      <c r="J90" s="5">
        <v>58</v>
      </c>
      <c r="K90" s="248">
        <v>984.2</v>
      </c>
      <c r="M90" s="247">
        <v>1010.8</v>
      </c>
      <c r="N90" s="248">
        <v>1017.3</v>
      </c>
      <c r="O90" s="247">
        <v>1022.5</v>
      </c>
      <c r="P90" s="248">
        <v>1029.5</v>
      </c>
      <c r="Q90" s="247">
        <v>1034.4000000000001</v>
      </c>
      <c r="S90" s="247">
        <v>999.8</v>
      </c>
      <c r="T90" s="248">
        <v>1003</v>
      </c>
      <c r="U90" s="247">
        <v>1005.7</v>
      </c>
      <c r="V90" s="248">
        <v>1007.9</v>
      </c>
      <c r="W90" s="248">
        <v>1009.9</v>
      </c>
      <c r="X90" s="5">
        <v>58</v>
      </c>
    </row>
    <row r="91" spans="1:24" ht="14.4">
      <c r="J91" s="5">
        <v>59</v>
      </c>
      <c r="K91" s="248">
        <v>983.7</v>
      </c>
      <c r="M91" s="247">
        <v>1010.2</v>
      </c>
      <c r="N91" s="248">
        <v>1016.7</v>
      </c>
      <c r="O91" s="247">
        <v>1021.9</v>
      </c>
      <c r="P91" s="248">
        <v>1028.9000000000001</v>
      </c>
      <c r="Q91" s="247">
        <v>1033.8</v>
      </c>
      <c r="S91" s="247">
        <v>999.2</v>
      </c>
      <c r="T91" s="248">
        <v>1002.4</v>
      </c>
      <c r="U91" s="247">
        <v>1005</v>
      </c>
      <c r="V91" s="248">
        <v>1007.2</v>
      </c>
      <c r="W91" s="248">
        <v>1009.2</v>
      </c>
      <c r="X91" s="5">
        <v>59</v>
      </c>
    </row>
    <row r="92" spans="1:24" ht="14.4">
      <c r="J92" s="5">
        <v>60</v>
      </c>
      <c r="K92" s="248">
        <v>983.2</v>
      </c>
      <c r="M92" s="247">
        <v>1009.6</v>
      </c>
      <c r="N92" s="248">
        <v>1016.1</v>
      </c>
      <c r="O92" s="247">
        <v>1021.3</v>
      </c>
      <c r="P92" s="248">
        <v>1028.3</v>
      </c>
      <c r="Q92" s="247">
        <v>1033.0999999999999</v>
      </c>
      <c r="S92" s="247">
        <v>998.6</v>
      </c>
      <c r="T92" s="248">
        <v>1001.7</v>
      </c>
      <c r="U92" s="247">
        <v>1004.4</v>
      </c>
      <c r="V92" s="248">
        <v>1006.5</v>
      </c>
      <c r="W92" s="248">
        <v>1008.5</v>
      </c>
      <c r="X92" s="5">
        <v>60</v>
      </c>
    </row>
    <row r="93" spans="1:24" ht="14.4">
      <c r="J93" s="5">
        <v>61</v>
      </c>
      <c r="K93" s="248">
        <v>982.7</v>
      </c>
      <c r="M93" s="247">
        <v>1009</v>
      </c>
      <c r="N93" s="248">
        <v>1015.4</v>
      </c>
      <c r="O93" s="247">
        <v>1020.7</v>
      </c>
      <c r="P93" s="248">
        <v>1027.5999999999999</v>
      </c>
      <c r="Q93" s="247">
        <v>1032.5</v>
      </c>
      <c r="S93" s="247">
        <v>997.9</v>
      </c>
      <c r="T93" s="248">
        <v>1001</v>
      </c>
      <c r="U93" s="247">
        <v>1003.6</v>
      </c>
      <c r="V93" s="248">
        <v>1005.7</v>
      </c>
      <c r="W93" s="248">
        <v>1007.7</v>
      </c>
      <c r="X93" s="5">
        <v>61</v>
      </c>
    </row>
    <row r="94" spans="1:24" ht="14.4">
      <c r="J94" s="5">
        <v>62</v>
      </c>
      <c r="K94" s="248">
        <v>982.2</v>
      </c>
      <c r="M94" s="247">
        <v>1008.4</v>
      </c>
      <c r="N94" s="248">
        <v>1014.8</v>
      </c>
      <c r="O94" s="247">
        <v>1020</v>
      </c>
      <c r="P94" s="248">
        <v>1026.9000000000001</v>
      </c>
      <c r="Q94" s="247">
        <v>1031.8</v>
      </c>
      <c r="S94" s="247">
        <v>997.3</v>
      </c>
      <c r="T94" s="248">
        <v>1000.3</v>
      </c>
      <c r="U94" s="247">
        <v>1002.9</v>
      </c>
      <c r="V94" s="248">
        <v>1005</v>
      </c>
      <c r="W94" s="248">
        <v>1007</v>
      </c>
      <c r="X94" s="5">
        <v>62</v>
      </c>
    </row>
    <row r="95" spans="1:24" ht="14.4">
      <c r="J95" s="5">
        <v>63</v>
      </c>
      <c r="K95" s="248">
        <v>981.6</v>
      </c>
      <c r="M95" s="247">
        <v>1007.8</v>
      </c>
      <c r="N95" s="248">
        <v>1014.2</v>
      </c>
      <c r="O95" s="247">
        <v>1019.4</v>
      </c>
      <c r="P95" s="248">
        <v>1026.2</v>
      </c>
      <c r="Q95" s="247">
        <v>1031.0999999999999</v>
      </c>
      <c r="S95" s="247">
        <v>996.6</v>
      </c>
      <c r="T95" s="248">
        <v>999.6</v>
      </c>
      <c r="U95" s="247">
        <v>1002.2</v>
      </c>
      <c r="V95" s="248">
        <v>1004.3</v>
      </c>
      <c r="W95" s="248">
        <v>1006.2</v>
      </c>
      <c r="X95" s="5">
        <v>63</v>
      </c>
    </row>
    <row r="96" spans="1:24" ht="14.4">
      <c r="J96" s="5">
        <v>64</v>
      </c>
      <c r="K96" s="248">
        <v>981.1</v>
      </c>
      <c r="M96" s="247">
        <v>1007.2</v>
      </c>
      <c r="N96" s="248">
        <v>1013.5</v>
      </c>
      <c r="O96" s="247">
        <v>1018.7</v>
      </c>
      <c r="P96" s="248">
        <v>1025.5999999999999</v>
      </c>
      <c r="Q96" s="247">
        <v>1030.4000000000001</v>
      </c>
      <c r="S96" s="247">
        <v>995.9</v>
      </c>
      <c r="T96" s="248">
        <v>998.9</v>
      </c>
      <c r="U96" s="247">
        <v>1001.5</v>
      </c>
      <c r="V96" s="248">
        <v>1003.5</v>
      </c>
      <c r="W96" s="248">
        <v>1005.5</v>
      </c>
      <c r="X96" s="5">
        <v>64</v>
      </c>
    </row>
    <row r="97" spans="10:24" ht="14.4">
      <c r="J97" s="5">
        <v>65</v>
      </c>
      <c r="K97" s="248">
        <v>980.5</v>
      </c>
      <c r="M97" s="247">
        <v>1006.5</v>
      </c>
      <c r="N97" s="248">
        <v>1012.9</v>
      </c>
      <c r="O97" s="247">
        <v>1018</v>
      </c>
      <c r="P97" s="248">
        <v>1024.9000000000001</v>
      </c>
      <c r="Q97" s="247">
        <v>1029.7</v>
      </c>
      <c r="S97" s="247">
        <v>995.3</v>
      </c>
      <c r="T97" s="248">
        <v>998.3</v>
      </c>
      <c r="U97" s="247">
        <v>1000.8</v>
      </c>
      <c r="V97" s="248">
        <v>1002.8</v>
      </c>
      <c r="W97" s="248">
        <v>1004.7</v>
      </c>
      <c r="X97" s="5">
        <v>65</v>
      </c>
    </row>
    <row r="98" spans="10:24" ht="14.4">
      <c r="J98" s="5">
        <v>66</v>
      </c>
      <c r="K98" s="248">
        <v>980</v>
      </c>
      <c r="M98" s="247">
        <v>1005.9</v>
      </c>
      <c r="N98" s="248">
        <v>1012.3</v>
      </c>
      <c r="O98" s="247">
        <v>1017.4</v>
      </c>
      <c r="P98" s="248">
        <v>1024.2</v>
      </c>
      <c r="Q98" s="247">
        <v>1029</v>
      </c>
      <c r="S98" s="247">
        <v>994.6</v>
      </c>
      <c r="T98" s="248">
        <v>997.6</v>
      </c>
      <c r="U98" s="247">
        <v>1000</v>
      </c>
      <c r="V98" s="248">
        <v>1002.1</v>
      </c>
      <c r="W98" s="248">
        <v>1004</v>
      </c>
      <c r="X98" s="5">
        <v>66</v>
      </c>
    </row>
    <row r="99" spans="10:24" ht="14.4">
      <c r="J99" s="5">
        <v>67</v>
      </c>
      <c r="K99" s="248">
        <v>979.4</v>
      </c>
      <c r="M99" s="247">
        <v>1005.3</v>
      </c>
      <c r="N99" s="248">
        <v>1011.6</v>
      </c>
      <c r="O99" s="247">
        <v>1016.7</v>
      </c>
      <c r="P99" s="248">
        <v>1023.5</v>
      </c>
      <c r="Q99" s="247">
        <v>1028.4000000000001</v>
      </c>
      <c r="S99" s="247">
        <v>993.9</v>
      </c>
      <c r="T99" s="248">
        <v>996.9</v>
      </c>
      <c r="U99" s="247">
        <v>999.3</v>
      </c>
      <c r="V99" s="248">
        <v>1001.3</v>
      </c>
      <c r="W99" s="248">
        <v>1003.2</v>
      </c>
      <c r="X99" s="5">
        <v>67</v>
      </c>
    </row>
    <row r="100" spans="10:24" ht="14.4">
      <c r="J100" s="5">
        <v>68</v>
      </c>
      <c r="K100" s="248">
        <v>978.9</v>
      </c>
      <c r="M100" s="247">
        <v>1004.7</v>
      </c>
      <c r="N100" s="248">
        <v>1011</v>
      </c>
      <c r="O100" s="247">
        <v>1016.1</v>
      </c>
      <c r="P100" s="248">
        <v>1022.9</v>
      </c>
      <c r="Q100" s="247">
        <v>1027.7</v>
      </c>
      <c r="S100" s="247">
        <v>993.3</v>
      </c>
      <c r="T100" s="248">
        <v>996.2</v>
      </c>
      <c r="U100" s="247">
        <v>998.6</v>
      </c>
      <c r="V100" s="248">
        <v>1000.6</v>
      </c>
      <c r="W100" s="248">
        <v>1002.5</v>
      </c>
      <c r="X100" s="5">
        <v>68</v>
      </c>
    </row>
    <row r="101" spans="10:24" ht="14.4">
      <c r="J101" s="5">
        <v>69</v>
      </c>
      <c r="K101" s="248">
        <v>978.3</v>
      </c>
      <c r="M101" s="247">
        <v>1004.1</v>
      </c>
      <c r="N101" s="248">
        <v>1010.4</v>
      </c>
      <c r="O101" s="247">
        <v>1015.4</v>
      </c>
      <c r="P101" s="248">
        <v>1022.2</v>
      </c>
      <c r="Q101" s="247">
        <v>1027</v>
      </c>
      <c r="S101" s="247">
        <v>992.6</v>
      </c>
      <c r="T101" s="248">
        <v>995.5</v>
      </c>
      <c r="U101" s="247">
        <v>997.9</v>
      </c>
      <c r="V101" s="248">
        <v>999.8</v>
      </c>
      <c r="W101" s="248">
        <v>1001.7</v>
      </c>
      <c r="X101" s="5">
        <v>69</v>
      </c>
    </row>
    <row r="102" spans="10:24" ht="14.4">
      <c r="J102" s="5">
        <v>70</v>
      </c>
      <c r="K102" s="248">
        <v>977.8</v>
      </c>
      <c r="M102" s="247">
        <v>1003.5</v>
      </c>
      <c r="N102" s="248">
        <v>1009.7</v>
      </c>
      <c r="O102" s="247">
        <v>1014.8</v>
      </c>
      <c r="P102" s="248">
        <v>1021.5</v>
      </c>
      <c r="Q102" s="247">
        <v>1026.3</v>
      </c>
      <c r="S102" s="247">
        <v>991.9</v>
      </c>
      <c r="T102" s="248">
        <v>994.8</v>
      </c>
      <c r="U102" s="247">
        <v>997.1</v>
      </c>
      <c r="V102" s="248">
        <v>999.1</v>
      </c>
      <c r="W102" s="248">
        <v>1000.9</v>
      </c>
      <c r="X102" s="5">
        <v>70</v>
      </c>
    </row>
    <row r="103" spans="10:24" ht="14.4">
      <c r="J103" s="5">
        <v>71</v>
      </c>
      <c r="K103" s="248">
        <v>977.2</v>
      </c>
      <c r="M103" s="247">
        <v>1002.8</v>
      </c>
      <c r="N103" s="248">
        <v>1009</v>
      </c>
      <c r="O103" s="247">
        <v>1014.1</v>
      </c>
      <c r="P103" s="248">
        <v>1020.8</v>
      </c>
      <c r="Q103" s="247">
        <v>1025.5999999999999</v>
      </c>
      <c r="S103" s="247">
        <v>991.2</v>
      </c>
      <c r="T103" s="248">
        <v>994.1</v>
      </c>
      <c r="U103" s="247">
        <v>996.4</v>
      </c>
      <c r="V103" s="248">
        <v>998.3</v>
      </c>
      <c r="W103" s="248">
        <v>1000.2</v>
      </c>
      <c r="X103" s="5">
        <v>71</v>
      </c>
    </row>
    <row r="104" spans="10:24" ht="14.4">
      <c r="J104" s="5">
        <v>72</v>
      </c>
      <c r="K104" s="248">
        <v>976.6</v>
      </c>
      <c r="M104" s="247">
        <v>1002.1</v>
      </c>
      <c r="N104" s="248">
        <v>1008.4</v>
      </c>
      <c r="O104" s="247">
        <v>1013.4</v>
      </c>
      <c r="P104" s="248">
        <v>1020.1</v>
      </c>
      <c r="Q104" s="247">
        <v>1024.9000000000001</v>
      </c>
      <c r="S104" s="247">
        <v>990.5</v>
      </c>
      <c r="T104" s="248">
        <v>993.3</v>
      </c>
      <c r="U104" s="247">
        <v>995.7</v>
      </c>
      <c r="V104" s="248">
        <v>997.6</v>
      </c>
      <c r="W104" s="248">
        <v>999.4</v>
      </c>
      <c r="X104" s="5">
        <v>72</v>
      </c>
    </row>
    <row r="105" spans="10:24" ht="14.4">
      <c r="J105" s="5">
        <v>73</v>
      </c>
      <c r="K105" s="248">
        <v>976</v>
      </c>
      <c r="M105" s="247">
        <v>1001.5</v>
      </c>
      <c r="N105" s="248">
        <v>1007.7</v>
      </c>
      <c r="O105" s="247">
        <v>1012.7</v>
      </c>
      <c r="P105" s="248">
        <v>1019.4</v>
      </c>
      <c r="Q105" s="247">
        <v>1024.2</v>
      </c>
      <c r="S105" s="247">
        <v>989.8</v>
      </c>
      <c r="T105" s="248">
        <v>992.6</v>
      </c>
      <c r="U105" s="247">
        <v>994.9</v>
      </c>
      <c r="V105" s="248">
        <v>996.8</v>
      </c>
      <c r="W105" s="248">
        <v>998.6</v>
      </c>
      <c r="X105" s="5">
        <v>73</v>
      </c>
    </row>
    <row r="106" spans="10:24" ht="14.4">
      <c r="J106" s="5">
        <v>74</v>
      </c>
      <c r="K106" s="248">
        <v>975.4</v>
      </c>
      <c r="M106" s="247">
        <v>1000.8</v>
      </c>
      <c r="N106" s="248">
        <v>1007</v>
      </c>
      <c r="O106" s="247">
        <v>1012</v>
      </c>
      <c r="P106" s="248">
        <v>1018.7</v>
      </c>
      <c r="Q106" s="247">
        <v>1023.4</v>
      </c>
      <c r="S106" s="247">
        <v>989.1</v>
      </c>
      <c r="T106" s="248">
        <v>991.9</v>
      </c>
      <c r="U106" s="247">
        <v>994.2</v>
      </c>
      <c r="V106" s="248">
        <v>996.1</v>
      </c>
      <c r="W106" s="248">
        <v>997.8</v>
      </c>
      <c r="X106" s="5">
        <v>74</v>
      </c>
    </row>
    <row r="107" spans="10:24" ht="14.4">
      <c r="J107" s="5">
        <v>75</v>
      </c>
      <c r="K107" s="248">
        <v>974.8</v>
      </c>
      <c r="M107" s="247">
        <v>1000.1</v>
      </c>
      <c r="N107" s="248">
        <v>1006.3</v>
      </c>
      <c r="O107" s="247">
        <v>1011.3</v>
      </c>
      <c r="P107" s="248">
        <v>1018</v>
      </c>
      <c r="Q107" s="247">
        <v>1022.7</v>
      </c>
      <c r="S107" s="247">
        <v>988.4</v>
      </c>
      <c r="T107" s="248">
        <v>991.2</v>
      </c>
      <c r="U107" s="247">
        <v>993.4</v>
      </c>
      <c r="V107" s="248">
        <v>995.3</v>
      </c>
      <c r="W107" s="248">
        <v>997</v>
      </c>
      <c r="X107" s="5">
        <v>75</v>
      </c>
    </row>
    <row r="108" spans="10:24" ht="14.4">
      <c r="J108" s="5">
        <v>76</v>
      </c>
      <c r="K108" s="248">
        <v>974.2</v>
      </c>
      <c r="M108" s="247">
        <v>999.5</v>
      </c>
      <c r="N108" s="248">
        <v>1005.7</v>
      </c>
      <c r="O108" s="247">
        <v>1010.7</v>
      </c>
      <c r="P108" s="248">
        <v>1017.3</v>
      </c>
      <c r="Q108" s="247">
        <v>1022</v>
      </c>
      <c r="S108" s="247">
        <v>987.7</v>
      </c>
      <c r="T108" s="248">
        <v>990.4</v>
      </c>
      <c r="U108" s="247">
        <v>992.7</v>
      </c>
      <c r="V108" s="248">
        <v>994.5</v>
      </c>
      <c r="W108" s="248">
        <v>996.3</v>
      </c>
      <c r="X108" s="5">
        <v>76</v>
      </c>
    </row>
    <row r="109" spans="10:24" ht="14.4">
      <c r="J109" s="5">
        <v>77</v>
      </c>
      <c r="K109" s="248">
        <v>973.6</v>
      </c>
      <c r="M109" s="247">
        <v>998.8</v>
      </c>
      <c r="N109" s="248">
        <v>1005</v>
      </c>
      <c r="O109" s="247">
        <v>1010</v>
      </c>
      <c r="P109" s="248">
        <v>1016.6</v>
      </c>
      <c r="Q109" s="247">
        <v>1021.3</v>
      </c>
      <c r="S109" s="247">
        <v>987</v>
      </c>
      <c r="T109" s="248">
        <v>989.7</v>
      </c>
      <c r="U109" s="247">
        <v>992</v>
      </c>
      <c r="V109" s="248">
        <v>993.8</v>
      </c>
      <c r="W109" s="248">
        <v>995.5</v>
      </c>
      <c r="X109" s="5">
        <v>77</v>
      </c>
    </row>
    <row r="110" spans="10:24" ht="14.4">
      <c r="J110" s="5">
        <v>78</v>
      </c>
      <c r="K110" s="248">
        <v>973</v>
      </c>
      <c r="M110" s="247">
        <v>998.1</v>
      </c>
      <c r="N110" s="248">
        <v>1004.3</v>
      </c>
      <c r="O110" s="247">
        <v>1009.3</v>
      </c>
      <c r="P110" s="248">
        <v>1015.9</v>
      </c>
      <c r="Q110" s="247">
        <v>1020.6</v>
      </c>
      <c r="S110" s="247">
        <v>986.3</v>
      </c>
      <c r="T110" s="248">
        <v>989</v>
      </c>
      <c r="U110" s="247">
        <v>991.2</v>
      </c>
      <c r="V110" s="248">
        <v>993</v>
      </c>
      <c r="W110" s="248">
        <v>994.7</v>
      </c>
      <c r="X110" s="5">
        <v>78</v>
      </c>
    </row>
    <row r="111" spans="10:24" ht="14.4">
      <c r="J111" s="5">
        <v>79</v>
      </c>
      <c r="K111" s="248">
        <v>972.4</v>
      </c>
      <c r="M111" s="247">
        <v>997.5</v>
      </c>
      <c r="N111" s="248">
        <v>1003.6</v>
      </c>
      <c r="O111" s="247">
        <v>1008.6</v>
      </c>
      <c r="P111" s="248">
        <v>1015.2</v>
      </c>
      <c r="Q111" s="247">
        <v>1019.9</v>
      </c>
      <c r="S111" s="247">
        <v>985.6</v>
      </c>
      <c r="T111" s="248">
        <v>988.3</v>
      </c>
      <c r="U111" s="247">
        <v>990.5</v>
      </c>
      <c r="V111" s="248">
        <v>992.2</v>
      </c>
      <c r="W111" s="248">
        <v>993.9</v>
      </c>
      <c r="X111" s="5">
        <v>79</v>
      </c>
    </row>
    <row r="112" spans="10:24" ht="14.4">
      <c r="J112" s="5">
        <v>80</v>
      </c>
      <c r="K112" s="248">
        <v>971.8</v>
      </c>
      <c r="M112" s="247">
        <v>996.8</v>
      </c>
      <c r="N112" s="248">
        <v>1003</v>
      </c>
      <c r="O112" s="247">
        <v>1007.9</v>
      </c>
      <c r="P112" s="248">
        <v>1014.5</v>
      </c>
      <c r="Q112" s="247">
        <v>1019.2</v>
      </c>
      <c r="S112" s="247">
        <v>984.9</v>
      </c>
      <c r="T112" s="248">
        <v>987.5</v>
      </c>
      <c r="U112" s="247">
        <v>989.7</v>
      </c>
      <c r="V112" s="248">
        <v>991.5</v>
      </c>
      <c r="W112" s="248">
        <v>993.1</v>
      </c>
      <c r="X112" s="5">
        <v>80</v>
      </c>
    </row>
    <row r="113" spans="10:24" ht="14.4">
      <c r="J113" s="5">
        <v>81</v>
      </c>
      <c r="K113" s="248">
        <v>971.2</v>
      </c>
      <c r="M113" s="247">
        <v>996.1</v>
      </c>
      <c r="N113" s="248">
        <v>1002.2</v>
      </c>
      <c r="O113" s="247">
        <v>1007.2</v>
      </c>
      <c r="P113" s="248">
        <v>1013.7</v>
      </c>
      <c r="Q113" s="247">
        <v>1018.4</v>
      </c>
      <c r="S113" s="247">
        <v>984.2</v>
      </c>
      <c r="T113" s="248">
        <v>986.8</v>
      </c>
      <c r="U113" s="247">
        <v>988.9</v>
      </c>
      <c r="V113" s="248">
        <v>990.7</v>
      </c>
      <c r="W113" s="248">
        <v>992.3</v>
      </c>
      <c r="X113" s="5">
        <v>81</v>
      </c>
    </row>
    <row r="114" spans="10:24" ht="14.4">
      <c r="J114" s="5">
        <v>82</v>
      </c>
      <c r="K114" s="248">
        <v>970.5</v>
      </c>
      <c r="M114" s="247">
        <v>995.4</v>
      </c>
      <c r="N114" s="248">
        <v>1001.5</v>
      </c>
      <c r="O114" s="247">
        <v>1006.4</v>
      </c>
      <c r="P114" s="248">
        <v>1013</v>
      </c>
      <c r="Q114" s="247">
        <v>1017.7</v>
      </c>
      <c r="S114" s="247">
        <v>983.5</v>
      </c>
      <c r="T114" s="248">
        <v>986</v>
      </c>
      <c r="U114" s="247">
        <v>988.1</v>
      </c>
      <c r="V114" s="248">
        <v>989.9</v>
      </c>
      <c r="W114" s="248">
        <v>991.5</v>
      </c>
      <c r="X114" s="5">
        <v>82</v>
      </c>
    </row>
    <row r="115" spans="10:24" ht="14.4">
      <c r="J115" s="5">
        <v>83</v>
      </c>
      <c r="K115" s="248">
        <v>969.9</v>
      </c>
      <c r="M115" s="247">
        <v>994.7</v>
      </c>
      <c r="N115" s="248">
        <v>1000.8</v>
      </c>
      <c r="O115" s="247">
        <v>1005.7</v>
      </c>
      <c r="P115" s="248">
        <v>1012.3</v>
      </c>
      <c r="Q115" s="247">
        <v>1016.9</v>
      </c>
      <c r="S115" s="247">
        <v>982.7</v>
      </c>
      <c r="T115" s="248">
        <v>985.2</v>
      </c>
      <c r="U115" s="247">
        <v>987.4</v>
      </c>
      <c r="V115" s="248">
        <v>989.1</v>
      </c>
      <c r="W115" s="248">
        <v>990.7</v>
      </c>
      <c r="X115" s="5">
        <v>83</v>
      </c>
    </row>
    <row r="116" spans="10:24" ht="14.4">
      <c r="J116" s="5">
        <v>84</v>
      </c>
      <c r="K116" s="248">
        <v>969.3</v>
      </c>
      <c r="M116" s="247">
        <v>994</v>
      </c>
      <c r="N116" s="248">
        <v>1000.1</v>
      </c>
      <c r="O116" s="247">
        <v>1005</v>
      </c>
      <c r="P116" s="248">
        <v>1011.5</v>
      </c>
      <c r="Q116" s="247">
        <v>1016.2</v>
      </c>
      <c r="S116" s="247">
        <v>982</v>
      </c>
      <c r="T116" s="248">
        <v>984.5</v>
      </c>
      <c r="U116" s="247">
        <v>986.6</v>
      </c>
      <c r="V116" s="248">
        <v>988.3</v>
      </c>
      <c r="W116" s="248">
        <v>989.9</v>
      </c>
      <c r="X116" s="5">
        <v>84</v>
      </c>
    </row>
    <row r="117" spans="10:24" ht="14.4">
      <c r="J117" s="5">
        <v>85</v>
      </c>
      <c r="K117" s="248">
        <v>968.6</v>
      </c>
      <c r="M117" s="247">
        <v>993.3</v>
      </c>
      <c r="N117" s="248">
        <v>999.4</v>
      </c>
      <c r="O117" s="247">
        <v>1004.3</v>
      </c>
      <c r="P117" s="248">
        <v>1010.8</v>
      </c>
      <c r="Q117" s="247">
        <v>1015.5</v>
      </c>
      <c r="S117" s="247">
        <v>981.2</v>
      </c>
      <c r="T117" s="248">
        <v>983.7</v>
      </c>
      <c r="U117" s="247">
        <v>985.8</v>
      </c>
      <c r="V117" s="248">
        <v>987.5</v>
      </c>
      <c r="W117" s="248">
        <v>989</v>
      </c>
      <c r="X117" s="5">
        <v>85</v>
      </c>
    </row>
    <row r="118" spans="10:24" ht="14.4">
      <c r="J118" s="5">
        <v>86</v>
      </c>
      <c r="K118" s="248">
        <v>968</v>
      </c>
      <c r="M118" s="247">
        <v>992.6</v>
      </c>
      <c r="N118" s="248">
        <v>998.6</v>
      </c>
      <c r="O118" s="247">
        <v>1003.5</v>
      </c>
      <c r="P118" s="248">
        <v>1010.1</v>
      </c>
      <c r="Q118" s="247">
        <v>1014.7</v>
      </c>
      <c r="S118" s="247">
        <v>980.5</v>
      </c>
      <c r="T118" s="248">
        <v>982.9</v>
      </c>
      <c r="U118" s="247">
        <v>985</v>
      </c>
      <c r="V118" s="248">
        <v>986.6</v>
      </c>
      <c r="W118" s="248">
        <v>988.2</v>
      </c>
      <c r="X118" s="5">
        <v>86</v>
      </c>
    </row>
    <row r="119" spans="10:24" ht="14.4">
      <c r="J119" s="5">
        <v>87</v>
      </c>
      <c r="K119" s="248">
        <v>967.3</v>
      </c>
      <c r="M119" s="247">
        <v>991.9</v>
      </c>
      <c r="N119" s="248">
        <v>997.9</v>
      </c>
      <c r="O119" s="247">
        <v>1002.8</v>
      </c>
      <c r="P119" s="248">
        <v>1009.3</v>
      </c>
      <c r="Q119" s="247">
        <v>1014</v>
      </c>
      <c r="S119" s="247">
        <v>979.8</v>
      </c>
      <c r="T119" s="248">
        <v>982.2</v>
      </c>
      <c r="U119" s="247">
        <v>984.2</v>
      </c>
      <c r="V119" s="248">
        <v>985.8</v>
      </c>
      <c r="W119" s="248">
        <v>987.4</v>
      </c>
      <c r="X119" s="5">
        <v>87</v>
      </c>
    </row>
    <row r="120" spans="10:24" ht="14.4">
      <c r="J120" s="5">
        <v>88</v>
      </c>
      <c r="K120" s="248">
        <v>966.6</v>
      </c>
      <c r="M120" s="247">
        <v>991.2</v>
      </c>
      <c r="N120" s="248">
        <v>997.2</v>
      </c>
      <c r="O120" s="247">
        <v>1002.1</v>
      </c>
      <c r="P120" s="248">
        <v>1008.6</v>
      </c>
      <c r="Q120" s="247">
        <v>1013.2</v>
      </c>
      <c r="S120" s="247">
        <v>979</v>
      </c>
      <c r="T120" s="248">
        <v>981.4</v>
      </c>
      <c r="U120" s="247">
        <v>983.4</v>
      </c>
      <c r="V120" s="248">
        <v>985</v>
      </c>
      <c r="W120" s="248">
        <v>986.6</v>
      </c>
      <c r="X120" s="5">
        <v>88</v>
      </c>
    </row>
    <row r="121" spans="10:24" ht="14.4">
      <c r="J121" s="5">
        <v>89</v>
      </c>
      <c r="K121" s="248">
        <v>966</v>
      </c>
      <c r="M121" s="247">
        <v>990.5</v>
      </c>
      <c r="N121" s="248">
        <v>996.5</v>
      </c>
      <c r="O121" s="247">
        <v>1001.3</v>
      </c>
      <c r="P121" s="248">
        <v>1007.9</v>
      </c>
      <c r="Q121" s="247">
        <v>1012.5</v>
      </c>
      <c r="S121" s="247">
        <v>978.3</v>
      </c>
      <c r="T121" s="248">
        <v>980.7</v>
      </c>
      <c r="U121" s="247">
        <v>982.6</v>
      </c>
      <c r="V121" s="248">
        <v>984.2</v>
      </c>
      <c r="W121" s="248">
        <v>985.8</v>
      </c>
      <c r="X121" s="5">
        <v>89</v>
      </c>
    </row>
    <row r="122" spans="10:24" ht="14.4">
      <c r="J122" s="5">
        <v>90</v>
      </c>
      <c r="K122" s="248">
        <v>965.3</v>
      </c>
      <c r="M122" s="247">
        <v>989.8</v>
      </c>
      <c r="N122" s="248">
        <v>995.7</v>
      </c>
      <c r="O122" s="247">
        <v>1000.6</v>
      </c>
      <c r="P122" s="248">
        <v>1007.1</v>
      </c>
      <c r="Q122" s="247">
        <v>1011.7</v>
      </c>
      <c r="S122" s="247">
        <v>977.5</v>
      </c>
      <c r="T122" s="248">
        <v>979.9</v>
      </c>
      <c r="U122" s="247">
        <v>981.8</v>
      </c>
      <c r="V122" s="248">
        <v>983.4</v>
      </c>
      <c r="W122" s="248">
        <v>985</v>
      </c>
      <c r="X122" s="5">
        <v>90</v>
      </c>
    </row>
    <row r="123" spans="10:24" ht="14.4">
      <c r="J123" s="5">
        <v>91</v>
      </c>
      <c r="K123" s="248">
        <v>964.6</v>
      </c>
      <c r="M123" s="247">
        <v>989</v>
      </c>
      <c r="N123" s="248">
        <v>995</v>
      </c>
      <c r="O123" s="247">
        <v>999.8</v>
      </c>
      <c r="P123" s="248">
        <v>1006.4</v>
      </c>
      <c r="Q123" s="247">
        <v>1011</v>
      </c>
      <c r="S123" s="247">
        <v>976.8</v>
      </c>
      <c r="T123" s="248">
        <v>979.1</v>
      </c>
      <c r="U123" s="247">
        <v>981</v>
      </c>
      <c r="V123" s="248">
        <v>982.6</v>
      </c>
      <c r="W123" s="248">
        <v>984.1</v>
      </c>
      <c r="X123" s="5">
        <v>91</v>
      </c>
    </row>
    <row r="124" spans="10:24" ht="14.4">
      <c r="J124" s="5">
        <v>92</v>
      </c>
      <c r="K124" s="248">
        <v>964</v>
      </c>
      <c r="M124" s="247">
        <v>988.3</v>
      </c>
      <c r="N124" s="248">
        <v>994.2</v>
      </c>
      <c r="O124" s="247">
        <v>999.1</v>
      </c>
      <c r="P124" s="248">
        <v>1005.6</v>
      </c>
      <c r="Q124" s="247">
        <v>1010.2</v>
      </c>
      <c r="S124" s="247">
        <v>976</v>
      </c>
      <c r="T124" s="248">
        <v>978.3</v>
      </c>
      <c r="U124" s="247">
        <v>980.2</v>
      </c>
      <c r="V124" s="248">
        <v>981.8</v>
      </c>
      <c r="W124" s="248">
        <v>983.3</v>
      </c>
      <c r="X124" s="5">
        <v>92</v>
      </c>
    </row>
    <row r="125" spans="10:24" ht="14.4">
      <c r="J125" s="5">
        <v>93</v>
      </c>
      <c r="K125" s="248">
        <v>963.3</v>
      </c>
      <c r="M125" s="247">
        <v>987.5</v>
      </c>
      <c r="N125" s="248">
        <v>993.5</v>
      </c>
      <c r="O125" s="247">
        <v>998.3</v>
      </c>
      <c r="P125" s="248">
        <v>1004.8</v>
      </c>
      <c r="Q125" s="247">
        <v>1009.4</v>
      </c>
      <c r="S125" s="247">
        <v>975.2</v>
      </c>
      <c r="T125" s="248">
        <v>977.5</v>
      </c>
      <c r="U125" s="247">
        <v>979.4</v>
      </c>
      <c r="V125" s="248">
        <v>980.9</v>
      </c>
      <c r="W125" s="248">
        <v>982.4</v>
      </c>
      <c r="X125" s="5">
        <v>93</v>
      </c>
    </row>
    <row r="126" spans="10:24" ht="14.4">
      <c r="J126" s="5">
        <v>94</v>
      </c>
      <c r="K126" s="248">
        <v>962.6</v>
      </c>
      <c r="M126" s="247">
        <v>986.8</v>
      </c>
      <c r="N126" s="248">
        <v>992.7</v>
      </c>
      <c r="O126" s="247">
        <v>997.6</v>
      </c>
      <c r="P126" s="248">
        <v>1004</v>
      </c>
      <c r="Q126" s="247">
        <v>1008.6</v>
      </c>
      <c r="S126" s="247">
        <v>974.4</v>
      </c>
      <c r="T126" s="248">
        <v>976.7</v>
      </c>
      <c r="U126" s="247">
        <v>978.6</v>
      </c>
      <c r="V126" s="248">
        <v>980.1</v>
      </c>
      <c r="W126" s="248">
        <v>981.6</v>
      </c>
      <c r="X126" s="5">
        <v>94</v>
      </c>
    </row>
    <row r="127" spans="10:24" ht="14.4">
      <c r="J127" s="5">
        <v>95</v>
      </c>
      <c r="K127" s="248">
        <v>961.9</v>
      </c>
      <c r="M127" s="247">
        <v>986</v>
      </c>
      <c r="N127" s="248">
        <v>992</v>
      </c>
      <c r="O127" s="247">
        <v>996.8</v>
      </c>
      <c r="P127" s="248">
        <v>1003.3</v>
      </c>
      <c r="Q127" s="247">
        <v>1007.8</v>
      </c>
      <c r="S127" s="247">
        <v>973.6</v>
      </c>
      <c r="T127" s="248">
        <v>975.9</v>
      </c>
      <c r="U127" s="247">
        <v>977.8</v>
      </c>
      <c r="V127" s="248">
        <v>979.3</v>
      </c>
      <c r="W127" s="248">
        <v>980.7</v>
      </c>
      <c r="X127" s="5">
        <v>95</v>
      </c>
    </row>
    <row r="128" spans="10:24" ht="14.4">
      <c r="J128" s="5">
        <v>96</v>
      </c>
      <c r="K128" s="248">
        <v>961.2</v>
      </c>
      <c r="M128" s="247">
        <v>985.3</v>
      </c>
      <c r="N128" s="248">
        <v>991.2</v>
      </c>
      <c r="O128" s="247">
        <v>996</v>
      </c>
      <c r="P128" s="248">
        <v>1002.5</v>
      </c>
      <c r="Q128" s="247">
        <v>1007.1</v>
      </c>
      <c r="S128" s="247">
        <v>972.8</v>
      </c>
      <c r="T128" s="248">
        <v>975.1</v>
      </c>
      <c r="U128" s="247">
        <v>976.9</v>
      </c>
      <c r="V128" s="248">
        <v>978.4</v>
      </c>
      <c r="W128" s="248">
        <v>979.8</v>
      </c>
      <c r="X128" s="5">
        <v>96</v>
      </c>
    </row>
    <row r="129" spans="10:24" ht="14.4">
      <c r="J129" s="5">
        <v>97</v>
      </c>
      <c r="K129" s="248">
        <v>960.5</v>
      </c>
      <c r="M129" s="247">
        <v>984.5</v>
      </c>
      <c r="N129" s="248">
        <v>990.5</v>
      </c>
      <c r="O129" s="247">
        <v>995.3</v>
      </c>
      <c r="P129" s="248">
        <v>1001.7</v>
      </c>
      <c r="Q129" s="247">
        <v>1006.3</v>
      </c>
      <c r="S129" s="247">
        <v>972.1</v>
      </c>
      <c r="T129" s="248">
        <v>974.3</v>
      </c>
      <c r="U129" s="247">
        <v>976.1</v>
      </c>
      <c r="V129" s="248">
        <v>977.6</v>
      </c>
      <c r="W129" s="248">
        <v>979</v>
      </c>
      <c r="X129" s="5">
        <v>97</v>
      </c>
    </row>
    <row r="130" spans="10:24" ht="14.4">
      <c r="J130" s="5">
        <v>98</v>
      </c>
      <c r="K130" s="248">
        <v>959.8</v>
      </c>
      <c r="M130" s="247">
        <v>983.8</v>
      </c>
      <c r="N130" s="248">
        <v>989.7</v>
      </c>
      <c r="O130" s="247">
        <v>994.5</v>
      </c>
      <c r="P130" s="248">
        <v>1000.9</v>
      </c>
      <c r="Q130" s="247">
        <v>1005.5</v>
      </c>
      <c r="S130" s="247">
        <v>971.3</v>
      </c>
      <c r="T130" s="248">
        <v>973.5</v>
      </c>
      <c r="U130" s="247">
        <v>975.3</v>
      </c>
      <c r="V130" s="248">
        <v>976.8</v>
      </c>
      <c r="W130" s="248">
        <v>978.1</v>
      </c>
      <c r="X130" s="5">
        <v>98</v>
      </c>
    </row>
    <row r="131" spans="10:24" ht="14.4">
      <c r="J131" s="5">
        <v>99</v>
      </c>
      <c r="K131" s="248">
        <v>959.1</v>
      </c>
      <c r="M131" s="247">
        <v>983</v>
      </c>
      <c r="N131" s="248">
        <v>988.9</v>
      </c>
      <c r="O131" s="247">
        <v>993.7</v>
      </c>
      <c r="P131" s="248">
        <v>1000.2</v>
      </c>
      <c r="Q131" s="247">
        <v>1004.7</v>
      </c>
      <c r="S131" s="247">
        <v>970.5</v>
      </c>
      <c r="T131" s="248">
        <v>972.7</v>
      </c>
      <c r="U131" s="247">
        <v>974.5</v>
      </c>
      <c r="V131" s="248">
        <v>975.9</v>
      </c>
      <c r="W131" s="248">
        <v>977.3</v>
      </c>
      <c r="X131" s="5">
        <v>99</v>
      </c>
    </row>
    <row r="132" spans="10:24" ht="14.4">
      <c r="J132" s="5">
        <v>100</v>
      </c>
      <c r="K132" s="248">
        <v>958.3</v>
      </c>
      <c r="M132" s="247">
        <v>982.3</v>
      </c>
      <c r="N132" s="248">
        <v>988.2</v>
      </c>
      <c r="O132" s="247">
        <v>993</v>
      </c>
      <c r="P132" s="248">
        <v>999.4</v>
      </c>
      <c r="Q132" s="247">
        <v>1003.9</v>
      </c>
      <c r="S132" s="247">
        <v>969.7</v>
      </c>
      <c r="T132" s="248">
        <v>971.9</v>
      </c>
      <c r="U132" s="247">
        <v>973.7</v>
      </c>
      <c r="V132" s="248">
        <v>975.1</v>
      </c>
      <c r="W132" s="248">
        <v>976.4</v>
      </c>
      <c r="X132" s="5">
        <v>100</v>
      </c>
    </row>
    <row r="133" spans="10:24" ht="14.4">
      <c r="J133" s="5">
        <v>101</v>
      </c>
      <c r="K133" s="248">
        <v>957.6</v>
      </c>
      <c r="M133" s="247">
        <v>981.5</v>
      </c>
      <c r="N133" s="248">
        <v>987.4</v>
      </c>
      <c r="O133" s="247">
        <v>992.2</v>
      </c>
      <c r="P133" s="248">
        <v>998.6</v>
      </c>
      <c r="Q133" s="247">
        <v>1003.1</v>
      </c>
      <c r="S133" s="247">
        <v>968.9</v>
      </c>
      <c r="T133" s="248">
        <v>971</v>
      </c>
      <c r="U133" s="247">
        <v>972.8</v>
      </c>
      <c r="V133" s="248">
        <v>974.2</v>
      </c>
      <c r="W133" s="248">
        <v>975.6</v>
      </c>
      <c r="X133" s="5">
        <v>101</v>
      </c>
    </row>
    <row r="134" spans="10:24" ht="14.4">
      <c r="J134" s="5">
        <v>102</v>
      </c>
      <c r="K134" s="248">
        <v>956.8</v>
      </c>
      <c r="M134" s="247">
        <v>980.7</v>
      </c>
      <c r="N134" s="248">
        <v>986.6</v>
      </c>
      <c r="O134" s="247">
        <v>991.4</v>
      </c>
      <c r="P134" s="248">
        <v>997.8</v>
      </c>
      <c r="Q134" s="247">
        <v>1002.3</v>
      </c>
      <c r="S134" s="247">
        <v>968.1</v>
      </c>
      <c r="T134" s="248">
        <v>970.2</v>
      </c>
      <c r="U134" s="247">
        <v>972</v>
      </c>
      <c r="V134" s="248">
        <v>973.4</v>
      </c>
      <c r="W134" s="248">
        <v>974.7</v>
      </c>
      <c r="X134" s="5">
        <v>102</v>
      </c>
    </row>
    <row r="135" spans="10:24" ht="14.4">
      <c r="J135" s="5">
        <v>103</v>
      </c>
      <c r="K135" s="248">
        <v>956.1</v>
      </c>
      <c r="M135" s="247">
        <v>979.9</v>
      </c>
      <c r="N135" s="248">
        <v>985.8</v>
      </c>
      <c r="O135" s="247">
        <v>990.6</v>
      </c>
      <c r="P135" s="248">
        <v>997</v>
      </c>
      <c r="Q135" s="247">
        <v>1001.5</v>
      </c>
      <c r="S135" s="247">
        <v>967.2</v>
      </c>
      <c r="T135" s="248">
        <v>969.3</v>
      </c>
      <c r="U135" s="247">
        <v>971.1</v>
      </c>
      <c r="V135" s="248">
        <v>972.5</v>
      </c>
      <c r="W135" s="248">
        <v>973.8</v>
      </c>
      <c r="X135" s="5">
        <v>103</v>
      </c>
    </row>
    <row r="136" spans="10:24" ht="14.4">
      <c r="J136" s="5">
        <v>104</v>
      </c>
      <c r="K136" s="248">
        <v>955.4</v>
      </c>
      <c r="M136" s="247">
        <v>979.1</v>
      </c>
      <c r="N136" s="248">
        <v>985</v>
      </c>
      <c r="O136" s="247">
        <v>989.8</v>
      </c>
      <c r="P136" s="248">
        <v>996.2</v>
      </c>
      <c r="Q136" s="247">
        <v>1000.7</v>
      </c>
      <c r="S136" s="247">
        <v>966.4</v>
      </c>
      <c r="T136" s="248">
        <v>968.5</v>
      </c>
      <c r="U136" s="247">
        <v>970.2</v>
      </c>
      <c r="V136" s="248">
        <v>971.6</v>
      </c>
      <c r="W136" s="248">
        <v>972.9</v>
      </c>
      <c r="X136" s="5">
        <v>104</v>
      </c>
    </row>
    <row r="137" spans="10:24" ht="14.4">
      <c r="J137" s="5">
        <v>105</v>
      </c>
      <c r="K137" s="248">
        <v>954.6</v>
      </c>
      <c r="M137" s="247">
        <v>978.3</v>
      </c>
      <c r="N137" s="248">
        <v>984.2</v>
      </c>
      <c r="O137" s="247">
        <v>989</v>
      </c>
      <c r="P137" s="248">
        <v>995.4</v>
      </c>
      <c r="Q137" s="247">
        <v>999.9</v>
      </c>
      <c r="S137" s="247">
        <v>965.6</v>
      </c>
      <c r="T137" s="248">
        <v>967.6</v>
      </c>
      <c r="U137" s="247">
        <v>969.4</v>
      </c>
      <c r="V137" s="248">
        <v>970.7</v>
      </c>
      <c r="W137" s="248">
        <v>972</v>
      </c>
      <c r="X137" s="5">
        <v>105</v>
      </c>
    </row>
    <row r="138" spans="10:24" ht="14.4">
      <c r="J138" s="5">
        <v>106</v>
      </c>
      <c r="K138" s="248">
        <v>953.9</v>
      </c>
      <c r="M138" s="247">
        <v>977.6</v>
      </c>
      <c r="N138" s="248">
        <v>983.4</v>
      </c>
      <c r="O138" s="247">
        <v>988.2</v>
      </c>
      <c r="P138" s="248">
        <v>994.6</v>
      </c>
      <c r="Q138" s="247">
        <v>999.1</v>
      </c>
      <c r="S138" s="247">
        <v>964.8</v>
      </c>
      <c r="T138" s="248">
        <v>966.8</v>
      </c>
      <c r="U138" s="247">
        <v>968.5</v>
      </c>
      <c r="V138" s="248">
        <v>969.9</v>
      </c>
      <c r="W138" s="248">
        <v>971.1</v>
      </c>
      <c r="X138" s="5">
        <v>106</v>
      </c>
    </row>
    <row r="139" spans="10:24" ht="14.4">
      <c r="J139" s="5">
        <v>107</v>
      </c>
      <c r="K139" s="248">
        <v>953.2</v>
      </c>
      <c r="M139" s="247">
        <v>976.8</v>
      </c>
      <c r="N139" s="248">
        <v>982.6</v>
      </c>
      <c r="O139" s="247">
        <v>987.4</v>
      </c>
      <c r="P139" s="248">
        <v>993.8</v>
      </c>
      <c r="Q139" s="247">
        <v>998.3</v>
      </c>
      <c r="S139" s="247">
        <v>963.9</v>
      </c>
      <c r="T139" s="248">
        <v>966</v>
      </c>
      <c r="U139" s="247">
        <v>967.6</v>
      </c>
      <c r="V139" s="248">
        <v>969</v>
      </c>
      <c r="W139" s="248">
        <v>970.3</v>
      </c>
      <c r="X139" s="5">
        <v>107</v>
      </c>
    </row>
    <row r="140" spans="10:24" ht="14.4">
      <c r="J140" s="5">
        <v>108</v>
      </c>
      <c r="K140" s="248">
        <v>952.5</v>
      </c>
      <c r="M140" s="247">
        <v>976</v>
      </c>
      <c r="N140" s="248">
        <v>981.8</v>
      </c>
      <c r="O140" s="247">
        <v>986.6</v>
      </c>
      <c r="P140" s="248">
        <v>993</v>
      </c>
      <c r="Q140" s="247">
        <v>997.5</v>
      </c>
      <c r="S140" s="247">
        <v>963.1</v>
      </c>
      <c r="T140" s="248">
        <v>965.1</v>
      </c>
      <c r="U140" s="247">
        <v>966.8</v>
      </c>
      <c r="V140" s="248">
        <v>968.1</v>
      </c>
      <c r="W140" s="248">
        <v>969.4</v>
      </c>
      <c r="X140" s="5">
        <v>108</v>
      </c>
    </row>
    <row r="141" spans="10:24" ht="14.4">
      <c r="J141" s="5">
        <v>109</v>
      </c>
      <c r="K141" s="248">
        <v>951.7</v>
      </c>
      <c r="M141" s="247">
        <v>975.2</v>
      </c>
      <c r="N141" s="248">
        <v>981</v>
      </c>
      <c r="O141" s="247">
        <v>985.8</v>
      </c>
      <c r="P141" s="248">
        <v>992.1</v>
      </c>
      <c r="Q141" s="247">
        <v>996.6</v>
      </c>
      <c r="S141" s="247">
        <v>962.3</v>
      </c>
      <c r="T141" s="248">
        <v>964.3</v>
      </c>
      <c r="U141" s="247">
        <v>965.9</v>
      </c>
      <c r="V141" s="248">
        <v>967.2</v>
      </c>
      <c r="W141" s="248">
        <v>968.5</v>
      </c>
      <c r="X141" s="5">
        <v>109</v>
      </c>
    </row>
    <row r="142" spans="10:24" ht="14.4">
      <c r="J142" s="5">
        <v>110</v>
      </c>
      <c r="K142" s="248">
        <v>951</v>
      </c>
      <c r="M142" s="247">
        <v>974.4</v>
      </c>
      <c r="N142" s="248">
        <v>980.2</v>
      </c>
      <c r="O142" s="247">
        <v>985</v>
      </c>
      <c r="P142" s="248">
        <v>991.3</v>
      </c>
      <c r="Q142" s="247">
        <v>995.8</v>
      </c>
      <c r="S142" s="247">
        <v>961.5</v>
      </c>
      <c r="T142" s="248">
        <v>963.4</v>
      </c>
      <c r="U142" s="247">
        <v>965.1</v>
      </c>
      <c r="V142" s="248">
        <v>966.4</v>
      </c>
      <c r="W142" s="248">
        <v>967.6</v>
      </c>
      <c r="X142" s="5">
        <v>110</v>
      </c>
    </row>
    <row r="143" spans="10:24" ht="14.4">
      <c r="J143" s="5">
        <v>111</v>
      </c>
      <c r="K143" s="248">
        <v>950.2</v>
      </c>
      <c r="M143" s="247">
        <v>973.6</v>
      </c>
      <c r="N143" s="248">
        <v>979.4</v>
      </c>
      <c r="O143" s="247">
        <v>984.1</v>
      </c>
      <c r="P143" s="248">
        <v>990.5</v>
      </c>
      <c r="Q143" s="247">
        <v>995</v>
      </c>
      <c r="S143" s="247">
        <v>960.6</v>
      </c>
      <c r="T143" s="248">
        <v>962.5</v>
      </c>
      <c r="U143" s="247">
        <v>964.2</v>
      </c>
      <c r="V143" s="248">
        <v>965.5</v>
      </c>
      <c r="W143" s="248">
        <v>966.7</v>
      </c>
      <c r="X143" s="5">
        <v>111</v>
      </c>
    </row>
    <row r="144" spans="10:24" ht="14.4">
      <c r="J144" s="5">
        <v>112</v>
      </c>
      <c r="K144" s="248">
        <v>949.4</v>
      </c>
      <c r="M144" s="247">
        <v>972.8</v>
      </c>
      <c r="N144" s="248">
        <v>978.6</v>
      </c>
      <c r="O144" s="247">
        <v>983.3</v>
      </c>
      <c r="P144" s="248">
        <v>989.7</v>
      </c>
      <c r="Q144" s="247">
        <v>994.2</v>
      </c>
      <c r="S144" s="247">
        <v>959.7</v>
      </c>
      <c r="T144" s="248">
        <v>961.7</v>
      </c>
      <c r="U144" s="247">
        <v>963.3</v>
      </c>
      <c r="V144" s="248">
        <v>964.6</v>
      </c>
      <c r="W144" s="248">
        <v>965.8</v>
      </c>
      <c r="X144" s="5">
        <v>112</v>
      </c>
    </row>
    <row r="145" spans="10:24" ht="14.4">
      <c r="J145" s="5">
        <v>113</v>
      </c>
      <c r="K145" s="248">
        <v>948.6</v>
      </c>
      <c r="M145" s="247">
        <v>971.9</v>
      </c>
      <c r="N145" s="248">
        <v>977.8</v>
      </c>
      <c r="O145" s="247">
        <v>982.5</v>
      </c>
      <c r="P145" s="248">
        <v>988.8</v>
      </c>
      <c r="Q145" s="247">
        <v>993.3</v>
      </c>
      <c r="S145" s="247">
        <v>958.9</v>
      </c>
      <c r="T145" s="248">
        <v>960.8</v>
      </c>
      <c r="U145" s="247">
        <v>962.4</v>
      </c>
      <c r="V145" s="248">
        <v>963.7</v>
      </c>
      <c r="W145" s="248">
        <v>964.9</v>
      </c>
      <c r="X145" s="5">
        <v>113</v>
      </c>
    </row>
    <row r="146" spans="10:24" ht="14.4">
      <c r="J146" s="5">
        <v>114</v>
      </c>
      <c r="K146" s="248">
        <v>947.8</v>
      </c>
      <c r="M146" s="247">
        <v>971.1</v>
      </c>
      <c r="N146" s="248">
        <v>976.9</v>
      </c>
      <c r="O146" s="247">
        <v>981.7</v>
      </c>
      <c r="P146" s="248">
        <v>988</v>
      </c>
      <c r="Q146" s="247">
        <v>992.5</v>
      </c>
      <c r="S146" s="247">
        <v>958</v>
      </c>
      <c r="T146" s="248">
        <v>959.9</v>
      </c>
      <c r="U146" s="247">
        <v>961.5</v>
      </c>
      <c r="V146" s="248">
        <v>962.8</v>
      </c>
      <c r="W146" s="248">
        <v>964</v>
      </c>
      <c r="X146" s="5">
        <v>114</v>
      </c>
    </row>
    <row r="147" spans="10:24" ht="14.4">
      <c r="J147" s="5">
        <v>115</v>
      </c>
      <c r="K147" s="248">
        <v>947</v>
      </c>
      <c r="M147" s="247">
        <v>970.3</v>
      </c>
      <c r="N147" s="248">
        <v>976.1</v>
      </c>
      <c r="O147" s="247">
        <v>980.8</v>
      </c>
      <c r="P147" s="248">
        <v>987.1</v>
      </c>
      <c r="Q147" s="247">
        <v>991.6</v>
      </c>
      <c r="S147" s="247">
        <v>957.1</v>
      </c>
      <c r="T147" s="248">
        <v>959</v>
      </c>
      <c r="U147" s="247">
        <v>960.6</v>
      </c>
      <c r="V147" s="248">
        <v>961.9</v>
      </c>
      <c r="W147" s="248">
        <v>963</v>
      </c>
      <c r="X147" s="5">
        <v>115</v>
      </c>
    </row>
    <row r="148" spans="10:24" ht="14.4">
      <c r="J148" s="5">
        <v>116</v>
      </c>
      <c r="K148" s="248">
        <v>946.3</v>
      </c>
      <c r="M148" s="247">
        <v>969.5</v>
      </c>
      <c r="N148" s="248">
        <v>975.3</v>
      </c>
      <c r="O148" s="247">
        <v>980</v>
      </c>
      <c r="P148" s="248">
        <v>986.3</v>
      </c>
      <c r="Q148" s="247">
        <v>990.8</v>
      </c>
      <c r="S148" s="247">
        <v>956.3</v>
      </c>
      <c r="T148" s="248">
        <v>958.1</v>
      </c>
      <c r="U148" s="247">
        <v>959.7</v>
      </c>
      <c r="V148" s="248">
        <v>961</v>
      </c>
      <c r="W148" s="248">
        <v>962.1</v>
      </c>
      <c r="X148" s="5">
        <v>116</v>
      </c>
    </row>
    <row r="149" spans="10:24" ht="14.4">
      <c r="J149" s="5">
        <v>117</v>
      </c>
      <c r="K149" s="248">
        <v>945.5</v>
      </c>
      <c r="M149" s="247">
        <v>968.7</v>
      </c>
      <c r="N149" s="248">
        <v>974.4</v>
      </c>
      <c r="O149" s="247">
        <v>979.2</v>
      </c>
      <c r="P149" s="248">
        <v>985.5</v>
      </c>
      <c r="Q149" s="247">
        <v>990</v>
      </c>
      <c r="S149" s="247">
        <v>955.4</v>
      </c>
      <c r="T149" s="248">
        <v>957.3</v>
      </c>
      <c r="U149" s="247">
        <v>958.8</v>
      </c>
      <c r="V149" s="248">
        <v>960.1</v>
      </c>
      <c r="W149" s="248">
        <v>961.2</v>
      </c>
      <c r="X149" s="5">
        <v>117</v>
      </c>
    </row>
    <row r="150" spans="10:24" ht="14.4">
      <c r="J150" s="5">
        <v>118</v>
      </c>
      <c r="K150" s="248">
        <v>944.7</v>
      </c>
      <c r="M150" s="247">
        <v>967.9</v>
      </c>
      <c r="N150" s="248">
        <v>973.6</v>
      </c>
      <c r="O150" s="247">
        <v>978.3</v>
      </c>
      <c r="P150" s="248">
        <v>984.6</v>
      </c>
      <c r="Q150" s="247">
        <v>989.1</v>
      </c>
      <c r="S150" s="247">
        <v>954.5</v>
      </c>
      <c r="T150" s="248">
        <v>956.4</v>
      </c>
      <c r="U150" s="247">
        <v>957.9</v>
      </c>
      <c r="V150" s="248">
        <v>959.2</v>
      </c>
      <c r="W150" s="248">
        <v>960.3</v>
      </c>
      <c r="X150" s="5">
        <v>118</v>
      </c>
    </row>
    <row r="151" spans="10:24" ht="14.4">
      <c r="J151" s="5">
        <v>119</v>
      </c>
      <c r="K151" s="248">
        <v>943.9</v>
      </c>
      <c r="M151" s="247">
        <v>967</v>
      </c>
      <c r="N151" s="248">
        <v>972.8</v>
      </c>
      <c r="O151" s="247">
        <v>977.5</v>
      </c>
      <c r="P151" s="248">
        <v>983.8</v>
      </c>
      <c r="Q151" s="247">
        <v>988.3</v>
      </c>
      <c r="S151" s="247">
        <v>953.7</v>
      </c>
      <c r="T151" s="248">
        <v>955.5</v>
      </c>
      <c r="U151" s="247">
        <v>957.1</v>
      </c>
      <c r="V151" s="248">
        <v>958.3</v>
      </c>
      <c r="W151" s="248">
        <v>959.4</v>
      </c>
      <c r="X151" s="5">
        <v>119</v>
      </c>
    </row>
    <row r="152" spans="10:24" ht="14.4">
      <c r="J152" s="5">
        <v>120</v>
      </c>
      <c r="K152" s="248">
        <v>943.1</v>
      </c>
      <c r="M152" s="247">
        <v>966.2</v>
      </c>
      <c r="N152" s="248">
        <v>972</v>
      </c>
      <c r="O152" s="247">
        <v>976.7</v>
      </c>
      <c r="P152" s="248">
        <v>982.9</v>
      </c>
      <c r="Q152" s="247">
        <v>987.4</v>
      </c>
      <c r="S152" s="247">
        <v>952.8</v>
      </c>
      <c r="T152" s="248">
        <v>954.6</v>
      </c>
      <c r="U152" s="247">
        <v>956.2</v>
      </c>
      <c r="V152" s="248">
        <v>957.4</v>
      </c>
      <c r="W152" s="248">
        <v>958.5</v>
      </c>
      <c r="X152" s="5">
        <v>120</v>
      </c>
    </row>
    <row r="153" spans="10:24" ht="14.4">
      <c r="J153" s="5">
        <v>121</v>
      </c>
      <c r="K153" s="248">
        <v>942.3</v>
      </c>
      <c r="M153" s="247"/>
      <c r="N153" s="248"/>
      <c r="O153" s="247"/>
      <c r="P153" s="248"/>
      <c r="Q153" s="247"/>
      <c r="S153" s="267"/>
      <c r="T153" s="247"/>
      <c r="U153" s="248"/>
      <c r="V153" s="247"/>
      <c r="W153" s="248"/>
      <c r="X153" s="5">
        <v>121</v>
      </c>
    </row>
    <row r="154" spans="10:24" ht="14.4">
      <c r="J154" s="5">
        <v>122</v>
      </c>
      <c r="K154" s="248">
        <v>941.4</v>
      </c>
      <c r="M154" s="247"/>
      <c r="N154" s="248"/>
      <c r="O154" s="247"/>
      <c r="P154" s="248"/>
      <c r="Q154" s="247"/>
      <c r="S154" s="267"/>
      <c r="T154" s="247"/>
      <c r="U154" s="248"/>
      <c r="V154" s="247"/>
      <c r="W154" s="248"/>
      <c r="X154" s="5">
        <v>122</v>
      </c>
    </row>
    <row r="155" spans="10:24" ht="14.4">
      <c r="J155" s="5">
        <v>123</v>
      </c>
      <c r="K155" s="248">
        <v>940.6</v>
      </c>
      <c r="M155" s="247"/>
      <c r="N155" s="248"/>
      <c r="O155" s="247"/>
      <c r="P155" s="248"/>
      <c r="Q155" s="247"/>
      <c r="S155" s="267"/>
      <c r="T155" s="247"/>
      <c r="U155" s="248"/>
      <c r="V155" s="247"/>
      <c r="W155" s="248"/>
      <c r="X155" s="5">
        <v>123</v>
      </c>
    </row>
    <row r="156" spans="10:24" ht="14.4">
      <c r="J156" s="5">
        <v>124</v>
      </c>
      <c r="K156" s="248">
        <v>939.8</v>
      </c>
      <c r="M156" s="247"/>
      <c r="N156" s="248"/>
      <c r="O156" s="247"/>
      <c r="P156" s="248"/>
      <c r="Q156" s="247"/>
      <c r="S156" s="267"/>
      <c r="T156" s="247"/>
      <c r="U156" s="248"/>
      <c r="V156" s="247"/>
      <c r="W156" s="248"/>
      <c r="X156" s="5">
        <v>124</v>
      </c>
    </row>
    <row r="157" spans="10:24" ht="14.4">
      <c r="J157" s="5">
        <v>125</v>
      </c>
      <c r="K157" s="248">
        <v>939</v>
      </c>
      <c r="M157" s="247"/>
      <c r="N157" s="248"/>
      <c r="O157" s="247"/>
      <c r="P157" s="248"/>
      <c r="Q157" s="247"/>
      <c r="S157" s="267"/>
      <c r="T157" s="247"/>
      <c r="U157" s="248"/>
      <c r="V157" s="247"/>
      <c r="W157" s="248"/>
      <c r="X157" s="5">
        <v>125</v>
      </c>
    </row>
    <row r="158" spans="10:24" ht="14.4">
      <c r="J158" s="5">
        <v>126</v>
      </c>
      <c r="K158" s="248">
        <v>938.1</v>
      </c>
      <c r="M158" s="247"/>
      <c r="N158" s="248"/>
      <c r="O158" s="247"/>
      <c r="P158" s="248"/>
      <c r="Q158" s="247"/>
      <c r="S158" s="267"/>
      <c r="T158" s="247"/>
      <c r="U158" s="248"/>
      <c r="V158" s="247"/>
      <c r="W158" s="248"/>
      <c r="X158" s="5">
        <v>126</v>
      </c>
    </row>
    <row r="159" spans="10:24" ht="14.4">
      <c r="J159" s="5">
        <v>127</v>
      </c>
      <c r="K159" s="248">
        <v>937.3</v>
      </c>
      <c r="M159" s="247"/>
      <c r="N159" s="248"/>
      <c r="O159" s="247"/>
      <c r="P159" s="248"/>
      <c r="Q159" s="247"/>
      <c r="S159" s="267"/>
      <c r="T159" s="247"/>
      <c r="U159" s="248"/>
      <c r="V159" s="247"/>
      <c r="W159" s="248"/>
      <c r="X159" s="5">
        <v>127</v>
      </c>
    </row>
    <row r="160" spans="10:24" ht="14.4">
      <c r="J160" s="5">
        <v>128</v>
      </c>
      <c r="K160" s="248">
        <v>936.5</v>
      </c>
      <c r="M160" s="247"/>
      <c r="N160" s="248"/>
      <c r="O160" s="247"/>
      <c r="P160" s="248"/>
      <c r="Q160" s="247"/>
      <c r="S160" s="267"/>
      <c r="T160" s="247"/>
      <c r="U160" s="248"/>
      <c r="V160" s="247"/>
      <c r="W160" s="248"/>
      <c r="X160" s="5">
        <v>128</v>
      </c>
    </row>
    <row r="161" spans="10:24" ht="14.4">
      <c r="J161" s="5">
        <v>129</v>
      </c>
      <c r="K161" s="248">
        <v>935.6</v>
      </c>
      <c r="M161" s="247"/>
      <c r="N161" s="248"/>
      <c r="O161" s="247"/>
      <c r="P161" s="248"/>
      <c r="Q161" s="247"/>
      <c r="S161" s="267"/>
      <c r="T161" s="247"/>
      <c r="U161" s="248"/>
      <c r="V161" s="247"/>
      <c r="W161" s="248"/>
      <c r="X161" s="5">
        <v>129</v>
      </c>
    </row>
    <row r="162" spans="10:24" ht="14.4">
      <c r="J162" s="5">
        <v>130</v>
      </c>
      <c r="K162" s="248">
        <v>934.8</v>
      </c>
      <c r="M162" s="247"/>
      <c r="N162" s="248"/>
      <c r="O162" s="247"/>
      <c r="P162" s="248"/>
      <c r="Q162" s="247"/>
      <c r="S162" s="267"/>
      <c r="T162" s="247"/>
      <c r="U162" s="248"/>
      <c r="V162" s="247"/>
      <c r="W162" s="248"/>
      <c r="X162" s="5">
        <v>130</v>
      </c>
    </row>
    <row r="163" spans="10:24" ht="14.4">
      <c r="J163" s="5">
        <v>131</v>
      </c>
      <c r="K163" s="248">
        <v>933.9</v>
      </c>
      <c r="M163" s="247"/>
      <c r="N163" s="248"/>
      <c r="O163" s="247"/>
      <c r="P163" s="248"/>
      <c r="Q163" s="247"/>
      <c r="S163" s="267"/>
      <c r="T163" s="247"/>
      <c r="U163" s="248"/>
      <c r="V163" s="247"/>
      <c r="W163" s="248"/>
      <c r="X163" s="5">
        <v>131</v>
      </c>
    </row>
    <row r="164" spans="10:24" ht="14.4">
      <c r="J164" s="5">
        <v>132</v>
      </c>
      <c r="K164" s="248">
        <v>933.1</v>
      </c>
      <c r="M164" s="247"/>
      <c r="N164" s="248"/>
      <c r="O164" s="247"/>
      <c r="P164" s="248"/>
      <c r="Q164" s="247"/>
      <c r="S164" s="267"/>
      <c r="T164" s="247"/>
      <c r="U164" s="248"/>
      <c r="V164" s="247"/>
      <c r="W164" s="248"/>
      <c r="X164" s="5">
        <v>132</v>
      </c>
    </row>
    <row r="165" spans="10:24" ht="14.4">
      <c r="J165" s="5">
        <v>133</v>
      </c>
      <c r="K165" s="248">
        <v>932.2</v>
      </c>
      <c r="M165" s="247"/>
      <c r="N165" s="248"/>
      <c r="O165" s="247"/>
      <c r="P165" s="248"/>
      <c r="Q165" s="247"/>
      <c r="S165" s="267"/>
      <c r="T165" s="247"/>
      <c r="U165" s="248"/>
      <c r="V165" s="247"/>
      <c r="W165" s="248"/>
      <c r="X165" s="5">
        <v>133</v>
      </c>
    </row>
    <row r="166" spans="10:24" ht="14.4">
      <c r="J166" s="5">
        <v>134</v>
      </c>
      <c r="K166" s="248">
        <v>931.3</v>
      </c>
      <c r="M166" s="247"/>
      <c r="N166" s="248"/>
      <c r="O166" s="247"/>
      <c r="P166" s="248"/>
      <c r="Q166" s="247"/>
      <c r="S166" s="267"/>
      <c r="T166" s="247"/>
      <c r="U166" s="248"/>
      <c r="V166" s="247"/>
      <c r="W166" s="248"/>
      <c r="X166" s="5">
        <v>134</v>
      </c>
    </row>
    <row r="167" spans="10:24" ht="14.4">
      <c r="J167" s="5">
        <v>135</v>
      </c>
      <c r="K167" s="248">
        <v>930.5</v>
      </c>
      <c r="N167" s="247"/>
      <c r="O167" s="248"/>
      <c r="P167" s="247"/>
      <c r="Q167" s="248"/>
      <c r="R167" s="247"/>
      <c r="S167" s="267"/>
      <c r="T167" s="247"/>
      <c r="U167" s="248"/>
      <c r="V167" s="247"/>
      <c r="W167" s="248"/>
      <c r="X167" s="5">
        <v>135</v>
      </c>
    </row>
    <row r="168" spans="10:24" ht="14.4">
      <c r="J168" s="5">
        <v>136</v>
      </c>
      <c r="K168" s="248">
        <v>929.6</v>
      </c>
      <c r="N168" s="247"/>
      <c r="O168" s="248"/>
      <c r="P168" s="247"/>
      <c r="Q168" s="248"/>
      <c r="R168" s="247"/>
      <c r="S168" s="267"/>
      <c r="T168" s="247"/>
      <c r="U168" s="248"/>
      <c r="V168" s="247"/>
      <c r="W168" s="248"/>
      <c r="X168" s="5">
        <v>136</v>
      </c>
    </row>
    <row r="169" spans="10:24" ht="14.4">
      <c r="J169" s="5">
        <v>137</v>
      </c>
      <c r="K169" s="248">
        <v>928.7</v>
      </c>
      <c r="N169" s="247"/>
      <c r="O169" s="248"/>
      <c r="P169" s="247"/>
      <c r="Q169" s="248"/>
      <c r="R169" s="247"/>
      <c r="S169" s="267"/>
      <c r="T169" s="247"/>
      <c r="U169" s="248"/>
      <c r="V169" s="247"/>
      <c r="W169" s="248"/>
      <c r="X169" s="5">
        <v>137</v>
      </c>
    </row>
    <row r="170" spans="10:24" ht="14.4">
      <c r="J170" s="5">
        <v>138</v>
      </c>
      <c r="K170" s="248">
        <v>927.8</v>
      </c>
      <c r="N170" s="247"/>
      <c r="O170" s="248"/>
      <c r="P170" s="247"/>
      <c r="Q170" s="248"/>
      <c r="R170" s="247"/>
      <c r="S170" s="267"/>
      <c r="T170" s="247"/>
      <c r="U170" s="248"/>
      <c r="V170" s="247"/>
      <c r="W170" s="248"/>
      <c r="X170" s="5">
        <v>138</v>
      </c>
    </row>
    <row r="171" spans="10:24" ht="14.4">
      <c r="J171" s="5">
        <v>139</v>
      </c>
      <c r="K171" s="248">
        <v>927</v>
      </c>
      <c r="N171" s="247"/>
      <c r="O171" s="248"/>
      <c r="P171" s="247"/>
      <c r="Q171" s="248"/>
      <c r="R171" s="247"/>
      <c r="S171" s="267"/>
      <c r="T171" s="247"/>
      <c r="U171" s="248"/>
      <c r="V171" s="247"/>
      <c r="W171" s="248"/>
      <c r="X171" s="5">
        <v>139</v>
      </c>
    </row>
    <row r="172" spans="10:24" ht="14.4">
      <c r="J172" s="5">
        <v>140</v>
      </c>
      <c r="K172" s="248">
        <v>926.1</v>
      </c>
      <c r="N172" s="247"/>
      <c r="O172" s="248"/>
      <c r="P172" s="247"/>
      <c r="Q172" s="248"/>
      <c r="R172" s="247"/>
      <c r="S172" s="267"/>
      <c r="T172" s="247"/>
      <c r="U172" s="248"/>
      <c r="V172" s="247"/>
      <c r="W172" s="248"/>
      <c r="X172" s="5">
        <v>140</v>
      </c>
    </row>
    <row r="173" spans="10:24" ht="14.4">
      <c r="J173" s="5">
        <v>141</v>
      </c>
      <c r="K173" s="248">
        <v>925.2</v>
      </c>
      <c r="N173" s="247"/>
      <c r="O173" s="248"/>
      <c r="P173" s="247"/>
      <c r="Q173" s="248"/>
      <c r="R173" s="247"/>
      <c r="S173" s="267"/>
      <c r="T173" s="247"/>
      <c r="U173" s="248"/>
      <c r="V173" s="247"/>
      <c r="W173" s="248"/>
      <c r="X173" s="5">
        <v>141</v>
      </c>
    </row>
    <row r="174" spans="10:24" ht="14.4">
      <c r="J174" s="5">
        <v>142</v>
      </c>
      <c r="K174" s="248">
        <v>924.3</v>
      </c>
      <c r="N174" s="247"/>
      <c r="O174" s="248"/>
      <c r="P174" s="247"/>
      <c r="Q174" s="248"/>
      <c r="R174" s="247"/>
      <c r="S174" s="267"/>
      <c r="T174" s="247"/>
      <c r="U174" s="248"/>
      <c r="V174" s="247"/>
      <c r="W174" s="248"/>
      <c r="X174" s="5">
        <v>142</v>
      </c>
    </row>
    <row r="175" spans="10:24" ht="14.4">
      <c r="J175" s="5">
        <v>143</v>
      </c>
      <c r="K175" s="248">
        <v>923.3</v>
      </c>
      <c r="N175" s="247"/>
      <c r="O175" s="248"/>
      <c r="P175" s="247"/>
      <c r="Q175" s="248"/>
      <c r="R175" s="247"/>
      <c r="S175" s="267"/>
      <c r="T175" s="247"/>
      <c r="U175" s="248"/>
      <c r="V175" s="247"/>
      <c r="W175" s="248"/>
      <c r="X175" s="5">
        <v>143</v>
      </c>
    </row>
    <row r="176" spans="10:24" ht="14.4">
      <c r="J176" s="5">
        <v>144</v>
      </c>
      <c r="K176" s="248">
        <v>922.4</v>
      </c>
      <c r="N176" s="247"/>
      <c r="O176" s="248"/>
      <c r="P176" s="247"/>
      <c r="Q176" s="248"/>
      <c r="R176" s="247"/>
      <c r="S176" s="267"/>
      <c r="T176" s="247"/>
      <c r="U176" s="248"/>
      <c r="V176" s="247"/>
      <c r="W176" s="248"/>
      <c r="X176" s="5">
        <v>144</v>
      </c>
    </row>
    <row r="177" spans="10:24" ht="14.4">
      <c r="J177" s="5">
        <v>145</v>
      </c>
      <c r="K177" s="248">
        <v>921.5</v>
      </c>
      <c r="N177" s="247"/>
      <c r="O177" s="248"/>
      <c r="P177" s="247"/>
      <c r="Q177" s="248"/>
      <c r="R177" s="247"/>
      <c r="S177" s="267"/>
      <c r="T177" s="247"/>
      <c r="U177" s="248"/>
      <c r="V177" s="247"/>
      <c r="W177" s="248"/>
      <c r="X177" s="5">
        <v>145</v>
      </c>
    </row>
    <row r="178" spans="10:24" ht="14.4">
      <c r="J178" s="5">
        <v>146</v>
      </c>
      <c r="K178" s="248">
        <v>920.6</v>
      </c>
      <c r="N178" s="247"/>
      <c r="O178" s="248"/>
      <c r="P178" s="247"/>
      <c r="Q178" s="248"/>
      <c r="R178" s="247"/>
      <c r="S178" s="267"/>
      <c r="T178" s="247"/>
      <c r="U178" s="248"/>
      <c r="V178" s="247"/>
      <c r="W178" s="248"/>
      <c r="X178" s="5">
        <v>146</v>
      </c>
    </row>
    <row r="179" spans="10:24" ht="14.4">
      <c r="J179" s="5">
        <v>147</v>
      </c>
      <c r="K179" s="248">
        <v>919.7</v>
      </c>
      <c r="N179" s="247"/>
      <c r="O179" s="248"/>
      <c r="P179" s="247"/>
      <c r="Q179" s="248"/>
      <c r="R179" s="247"/>
      <c r="S179" s="267"/>
      <c r="T179" s="247"/>
      <c r="U179" s="248"/>
      <c r="V179" s="247"/>
      <c r="W179" s="248"/>
      <c r="X179" s="5">
        <v>147</v>
      </c>
    </row>
    <row r="180" spans="10:24" ht="14.4">
      <c r="J180" s="5">
        <v>148</v>
      </c>
      <c r="K180" s="248">
        <v>918.7</v>
      </c>
      <c r="N180" s="247"/>
      <c r="O180" s="248"/>
      <c r="P180" s="247"/>
      <c r="Q180" s="248"/>
      <c r="R180" s="247"/>
      <c r="S180" s="267"/>
      <c r="T180" s="247"/>
      <c r="U180" s="248"/>
      <c r="V180" s="247"/>
      <c r="W180" s="248"/>
      <c r="X180" s="5">
        <v>148</v>
      </c>
    </row>
    <row r="181" spans="10:24" ht="14.4">
      <c r="J181" s="5">
        <v>149</v>
      </c>
      <c r="K181" s="248">
        <v>917.8</v>
      </c>
      <c r="N181" s="247"/>
      <c r="O181" s="248"/>
      <c r="P181" s="247"/>
      <c r="Q181" s="248"/>
      <c r="R181" s="247"/>
      <c r="S181" s="267"/>
      <c r="T181" s="247"/>
      <c r="U181" s="248"/>
      <c r="V181" s="247"/>
      <c r="W181" s="248"/>
      <c r="X181" s="5">
        <v>149</v>
      </c>
    </row>
    <row r="182" spans="10:24" ht="14.4">
      <c r="J182" s="5">
        <v>150</v>
      </c>
      <c r="K182" s="248">
        <v>916.9</v>
      </c>
      <c r="N182" s="247"/>
      <c r="O182" s="248"/>
      <c r="P182" s="247"/>
      <c r="Q182" s="248"/>
      <c r="R182" s="247"/>
      <c r="S182" s="267"/>
      <c r="T182" s="247"/>
      <c r="U182" s="248"/>
      <c r="V182" s="247"/>
      <c r="W182" s="248"/>
      <c r="X182" s="5">
        <v>150</v>
      </c>
    </row>
  </sheetData>
  <mergeCells count="2">
    <mergeCell ref="L3:P3"/>
    <mergeCell ref="Q3:U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pageSetUpPr fitToPage="1"/>
  </sheetPr>
  <dimension ref="B4:K24"/>
  <sheetViews>
    <sheetView topLeftCell="A3" zoomScale="75" workbookViewId="0">
      <selection activeCell="E15" sqref="E15"/>
    </sheetView>
  </sheetViews>
  <sheetFormatPr defaultColWidth="10" defaultRowHeight="13.2"/>
  <cols>
    <col min="1" max="1" width="3.69921875" style="39" customWidth="1"/>
    <col min="2" max="2" width="14.69921875" style="39" customWidth="1"/>
    <col min="3" max="3" width="55.8984375" style="39" bestFit="1" customWidth="1"/>
    <col min="4" max="4" width="7.19921875" style="39" bestFit="1" customWidth="1"/>
    <col min="5" max="5" width="8" style="39" bestFit="1" customWidth="1"/>
    <col min="6" max="6" width="7.59765625" style="39" customWidth="1"/>
    <col min="7" max="7" width="3.3984375" style="39" customWidth="1"/>
    <col min="8" max="8" width="9.19921875" style="39" bestFit="1" customWidth="1"/>
    <col min="9" max="9" width="8.3984375" style="39" bestFit="1" customWidth="1"/>
    <col min="10" max="10" width="10" style="39"/>
    <col min="11" max="11" width="16.69921875" style="39" customWidth="1"/>
    <col min="12" max="256" width="10" style="39"/>
    <col min="257" max="257" width="3.69921875" style="39" customWidth="1"/>
    <col min="258" max="258" width="14.69921875" style="39" customWidth="1"/>
    <col min="259" max="259" width="55.8984375" style="39" bestFit="1" customWidth="1"/>
    <col min="260" max="260" width="7.19921875" style="39" bestFit="1" customWidth="1"/>
    <col min="261" max="261" width="7.5" style="39" bestFit="1" customWidth="1"/>
    <col min="262" max="262" width="7.59765625" style="39" customWidth="1"/>
    <col min="263" max="263" width="3.3984375" style="39" customWidth="1"/>
    <col min="264" max="264" width="9.19921875" style="39" bestFit="1" customWidth="1"/>
    <col min="265" max="265" width="8.3984375" style="39" bestFit="1" customWidth="1"/>
    <col min="266" max="266" width="10" style="39"/>
    <col min="267" max="267" width="16.69921875" style="39" customWidth="1"/>
    <col min="268" max="512" width="10" style="39"/>
    <col min="513" max="513" width="3.69921875" style="39" customWidth="1"/>
    <col min="514" max="514" width="14.69921875" style="39" customWidth="1"/>
    <col min="515" max="515" width="55.8984375" style="39" bestFit="1" customWidth="1"/>
    <col min="516" max="516" width="7.19921875" style="39" bestFit="1" customWidth="1"/>
    <col min="517" max="517" width="7.5" style="39" bestFit="1" customWidth="1"/>
    <col min="518" max="518" width="7.59765625" style="39" customWidth="1"/>
    <col min="519" max="519" width="3.3984375" style="39" customWidth="1"/>
    <col min="520" max="520" width="9.19921875" style="39" bestFit="1" customWidth="1"/>
    <col min="521" max="521" width="8.3984375" style="39" bestFit="1" customWidth="1"/>
    <col min="522" max="522" width="10" style="39"/>
    <col min="523" max="523" width="16.69921875" style="39" customWidth="1"/>
    <col min="524" max="768" width="10" style="39"/>
    <col min="769" max="769" width="3.69921875" style="39" customWidth="1"/>
    <col min="770" max="770" width="14.69921875" style="39" customWidth="1"/>
    <col min="771" max="771" width="55.8984375" style="39" bestFit="1" customWidth="1"/>
    <col min="772" max="772" width="7.19921875" style="39" bestFit="1" customWidth="1"/>
    <col min="773" max="773" width="7.5" style="39" bestFit="1" customWidth="1"/>
    <col min="774" max="774" width="7.59765625" style="39" customWidth="1"/>
    <col min="775" max="775" width="3.3984375" style="39" customWidth="1"/>
    <col min="776" max="776" width="9.19921875" style="39" bestFit="1" customWidth="1"/>
    <col min="777" max="777" width="8.3984375" style="39" bestFit="1" customWidth="1"/>
    <col min="778" max="778" width="10" style="39"/>
    <col min="779" max="779" width="16.69921875" style="39" customWidth="1"/>
    <col min="780" max="1024" width="10" style="39"/>
    <col min="1025" max="1025" width="3.69921875" style="39" customWidth="1"/>
    <col min="1026" max="1026" width="14.69921875" style="39" customWidth="1"/>
    <col min="1027" max="1027" width="55.8984375" style="39" bestFit="1" customWidth="1"/>
    <col min="1028" max="1028" width="7.19921875" style="39" bestFit="1" customWidth="1"/>
    <col min="1029" max="1029" width="7.5" style="39" bestFit="1" customWidth="1"/>
    <col min="1030" max="1030" width="7.59765625" style="39" customWidth="1"/>
    <col min="1031" max="1031" width="3.3984375" style="39" customWidth="1"/>
    <col min="1032" max="1032" width="9.19921875" style="39" bestFit="1" customWidth="1"/>
    <col min="1033" max="1033" width="8.3984375" style="39" bestFit="1" customWidth="1"/>
    <col min="1034" max="1034" width="10" style="39"/>
    <col min="1035" max="1035" width="16.69921875" style="39" customWidth="1"/>
    <col min="1036" max="1280" width="10" style="39"/>
    <col min="1281" max="1281" width="3.69921875" style="39" customWidth="1"/>
    <col min="1282" max="1282" width="14.69921875" style="39" customWidth="1"/>
    <col min="1283" max="1283" width="55.8984375" style="39" bestFit="1" customWidth="1"/>
    <col min="1284" max="1284" width="7.19921875" style="39" bestFit="1" customWidth="1"/>
    <col min="1285" max="1285" width="7.5" style="39" bestFit="1" customWidth="1"/>
    <col min="1286" max="1286" width="7.59765625" style="39" customWidth="1"/>
    <col min="1287" max="1287" width="3.3984375" style="39" customWidth="1"/>
    <col min="1288" max="1288" width="9.19921875" style="39" bestFit="1" customWidth="1"/>
    <col min="1289" max="1289" width="8.3984375" style="39" bestFit="1" customWidth="1"/>
    <col min="1290" max="1290" width="10" style="39"/>
    <col min="1291" max="1291" width="16.69921875" style="39" customWidth="1"/>
    <col min="1292" max="1536" width="10" style="39"/>
    <col min="1537" max="1537" width="3.69921875" style="39" customWidth="1"/>
    <col min="1538" max="1538" width="14.69921875" style="39" customWidth="1"/>
    <col min="1539" max="1539" width="55.8984375" style="39" bestFit="1" customWidth="1"/>
    <col min="1540" max="1540" width="7.19921875" style="39" bestFit="1" customWidth="1"/>
    <col min="1541" max="1541" width="7.5" style="39" bestFit="1" customWidth="1"/>
    <col min="1542" max="1542" width="7.59765625" style="39" customWidth="1"/>
    <col min="1543" max="1543" width="3.3984375" style="39" customWidth="1"/>
    <col min="1544" max="1544" width="9.19921875" style="39" bestFit="1" customWidth="1"/>
    <col min="1545" max="1545" width="8.3984375" style="39" bestFit="1" customWidth="1"/>
    <col min="1546" max="1546" width="10" style="39"/>
    <col min="1547" max="1547" width="16.69921875" style="39" customWidth="1"/>
    <col min="1548" max="1792" width="10" style="39"/>
    <col min="1793" max="1793" width="3.69921875" style="39" customWidth="1"/>
    <col min="1794" max="1794" width="14.69921875" style="39" customWidth="1"/>
    <col min="1795" max="1795" width="55.8984375" style="39" bestFit="1" customWidth="1"/>
    <col min="1796" max="1796" width="7.19921875" style="39" bestFit="1" customWidth="1"/>
    <col min="1797" max="1797" width="7.5" style="39" bestFit="1" customWidth="1"/>
    <col min="1798" max="1798" width="7.59765625" style="39" customWidth="1"/>
    <col min="1799" max="1799" width="3.3984375" style="39" customWidth="1"/>
    <col min="1800" max="1800" width="9.19921875" style="39" bestFit="1" customWidth="1"/>
    <col min="1801" max="1801" width="8.3984375" style="39" bestFit="1" customWidth="1"/>
    <col min="1802" max="1802" width="10" style="39"/>
    <col min="1803" max="1803" width="16.69921875" style="39" customWidth="1"/>
    <col min="1804" max="2048" width="10" style="39"/>
    <col min="2049" max="2049" width="3.69921875" style="39" customWidth="1"/>
    <col min="2050" max="2050" width="14.69921875" style="39" customWidth="1"/>
    <col min="2051" max="2051" width="55.8984375" style="39" bestFit="1" customWidth="1"/>
    <col min="2052" max="2052" width="7.19921875" style="39" bestFit="1" customWidth="1"/>
    <col min="2053" max="2053" width="7.5" style="39" bestFit="1" customWidth="1"/>
    <col min="2054" max="2054" width="7.59765625" style="39" customWidth="1"/>
    <col min="2055" max="2055" width="3.3984375" style="39" customWidth="1"/>
    <col min="2056" max="2056" width="9.19921875" style="39" bestFit="1" customWidth="1"/>
    <col min="2057" max="2057" width="8.3984375" style="39" bestFit="1" customWidth="1"/>
    <col min="2058" max="2058" width="10" style="39"/>
    <col min="2059" max="2059" width="16.69921875" style="39" customWidth="1"/>
    <col min="2060" max="2304" width="10" style="39"/>
    <col min="2305" max="2305" width="3.69921875" style="39" customWidth="1"/>
    <col min="2306" max="2306" width="14.69921875" style="39" customWidth="1"/>
    <col min="2307" max="2307" width="55.8984375" style="39" bestFit="1" customWidth="1"/>
    <col min="2308" max="2308" width="7.19921875" style="39" bestFit="1" customWidth="1"/>
    <col min="2309" max="2309" width="7.5" style="39" bestFit="1" customWidth="1"/>
    <col min="2310" max="2310" width="7.59765625" style="39" customWidth="1"/>
    <col min="2311" max="2311" width="3.3984375" style="39" customWidth="1"/>
    <col min="2312" max="2312" width="9.19921875" style="39" bestFit="1" customWidth="1"/>
    <col min="2313" max="2313" width="8.3984375" style="39" bestFit="1" customWidth="1"/>
    <col min="2314" max="2314" width="10" style="39"/>
    <col min="2315" max="2315" width="16.69921875" style="39" customWidth="1"/>
    <col min="2316" max="2560" width="10" style="39"/>
    <col min="2561" max="2561" width="3.69921875" style="39" customWidth="1"/>
    <col min="2562" max="2562" width="14.69921875" style="39" customWidth="1"/>
    <col min="2563" max="2563" width="55.8984375" style="39" bestFit="1" customWidth="1"/>
    <col min="2564" max="2564" width="7.19921875" style="39" bestFit="1" customWidth="1"/>
    <col min="2565" max="2565" width="7.5" style="39" bestFit="1" customWidth="1"/>
    <col min="2566" max="2566" width="7.59765625" style="39" customWidth="1"/>
    <col min="2567" max="2567" width="3.3984375" style="39" customWidth="1"/>
    <col min="2568" max="2568" width="9.19921875" style="39" bestFit="1" customWidth="1"/>
    <col min="2569" max="2569" width="8.3984375" style="39" bestFit="1" customWidth="1"/>
    <col min="2570" max="2570" width="10" style="39"/>
    <col min="2571" max="2571" width="16.69921875" style="39" customWidth="1"/>
    <col min="2572" max="2816" width="10" style="39"/>
    <col min="2817" max="2817" width="3.69921875" style="39" customWidth="1"/>
    <col min="2818" max="2818" width="14.69921875" style="39" customWidth="1"/>
    <col min="2819" max="2819" width="55.8984375" style="39" bestFit="1" customWidth="1"/>
    <col min="2820" max="2820" width="7.19921875" style="39" bestFit="1" customWidth="1"/>
    <col min="2821" max="2821" width="7.5" style="39" bestFit="1" customWidth="1"/>
    <col min="2822" max="2822" width="7.59765625" style="39" customWidth="1"/>
    <col min="2823" max="2823" width="3.3984375" style="39" customWidth="1"/>
    <col min="2824" max="2824" width="9.19921875" style="39" bestFit="1" customWidth="1"/>
    <col min="2825" max="2825" width="8.3984375" style="39" bestFit="1" customWidth="1"/>
    <col min="2826" max="2826" width="10" style="39"/>
    <col min="2827" max="2827" width="16.69921875" style="39" customWidth="1"/>
    <col min="2828" max="3072" width="10" style="39"/>
    <col min="3073" max="3073" width="3.69921875" style="39" customWidth="1"/>
    <col min="3074" max="3074" width="14.69921875" style="39" customWidth="1"/>
    <col min="3075" max="3075" width="55.8984375" style="39" bestFit="1" customWidth="1"/>
    <col min="3076" max="3076" width="7.19921875" style="39" bestFit="1" customWidth="1"/>
    <col min="3077" max="3077" width="7.5" style="39" bestFit="1" customWidth="1"/>
    <col min="3078" max="3078" width="7.59765625" style="39" customWidth="1"/>
    <col min="3079" max="3079" width="3.3984375" style="39" customWidth="1"/>
    <col min="3080" max="3080" width="9.19921875" style="39" bestFit="1" customWidth="1"/>
    <col min="3081" max="3081" width="8.3984375" style="39" bestFit="1" customWidth="1"/>
    <col min="3082" max="3082" width="10" style="39"/>
    <col min="3083" max="3083" width="16.69921875" style="39" customWidth="1"/>
    <col min="3084" max="3328" width="10" style="39"/>
    <col min="3329" max="3329" width="3.69921875" style="39" customWidth="1"/>
    <col min="3330" max="3330" width="14.69921875" style="39" customWidth="1"/>
    <col min="3331" max="3331" width="55.8984375" style="39" bestFit="1" customWidth="1"/>
    <col min="3332" max="3332" width="7.19921875" style="39" bestFit="1" customWidth="1"/>
    <col min="3333" max="3333" width="7.5" style="39" bestFit="1" customWidth="1"/>
    <col min="3334" max="3334" width="7.59765625" style="39" customWidth="1"/>
    <col min="3335" max="3335" width="3.3984375" style="39" customWidth="1"/>
    <col min="3336" max="3336" width="9.19921875" style="39" bestFit="1" customWidth="1"/>
    <col min="3337" max="3337" width="8.3984375" style="39" bestFit="1" customWidth="1"/>
    <col min="3338" max="3338" width="10" style="39"/>
    <col min="3339" max="3339" width="16.69921875" style="39" customWidth="1"/>
    <col min="3340" max="3584" width="10" style="39"/>
    <col min="3585" max="3585" width="3.69921875" style="39" customWidth="1"/>
    <col min="3586" max="3586" width="14.69921875" style="39" customWidth="1"/>
    <col min="3587" max="3587" width="55.8984375" style="39" bestFit="1" customWidth="1"/>
    <col min="3588" max="3588" width="7.19921875" style="39" bestFit="1" customWidth="1"/>
    <col min="3589" max="3589" width="7.5" style="39" bestFit="1" customWidth="1"/>
    <col min="3590" max="3590" width="7.59765625" style="39" customWidth="1"/>
    <col min="3591" max="3591" width="3.3984375" style="39" customWidth="1"/>
    <col min="3592" max="3592" width="9.19921875" style="39" bestFit="1" customWidth="1"/>
    <col min="3593" max="3593" width="8.3984375" style="39" bestFit="1" customWidth="1"/>
    <col min="3594" max="3594" width="10" style="39"/>
    <col min="3595" max="3595" width="16.69921875" style="39" customWidth="1"/>
    <col min="3596" max="3840" width="10" style="39"/>
    <col min="3841" max="3841" width="3.69921875" style="39" customWidth="1"/>
    <col min="3842" max="3842" width="14.69921875" style="39" customWidth="1"/>
    <col min="3843" max="3843" width="55.8984375" style="39" bestFit="1" customWidth="1"/>
    <col min="3844" max="3844" width="7.19921875" style="39" bestFit="1" customWidth="1"/>
    <col min="3845" max="3845" width="7.5" style="39" bestFit="1" customWidth="1"/>
    <col min="3846" max="3846" width="7.59765625" style="39" customWidth="1"/>
    <col min="3847" max="3847" width="3.3984375" style="39" customWidth="1"/>
    <col min="3848" max="3848" width="9.19921875" style="39" bestFit="1" customWidth="1"/>
    <col min="3849" max="3849" width="8.3984375" style="39" bestFit="1" customWidth="1"/>
    <col min="3850" max="3850" width="10" style="39"/>
    <col min="3851" max="3851" width="16.69921875" style="39" customWidth="1"/>
    <col min="3852" max="4096" width="10" style="39"/>
    <col min="4097" max="4097" width="3.69921875" style="39" customWidth="1"/>
    <col min="4098" max="4098" width="14.69921875" style="39" customWidth="1"/>
    <col min="4099" max="4099" width="55.8984375" style="39" bestFit="1" customWidth="1"/>
    <col min="4100" max="4100" width="7.19921875" style="39" bestFit="1" customWidth="1"/>
    <col min="4101" max="4101" width="7.5" style="39" bestFit="1" customWidth="1"/>
    <col min="4102" max="4102" width="7.59765625" style="39" customWidth="1"/>
    <col min="4103" max="4103" width="3.3984375" style="39" customWidth="1"/>
    <col min="4104" max="4104" width="9.19921875" style="39" bestFit="1" customWidth="1"/>
    <col min="4105" max="4105" width="8.3984375" style="39" bestFit="1" customWidth="1"/>
    <col min="4106" max="4106" width="10" style="39"/>
    <col min="4107" max="4107" width="16.69921875" style="39" customWidth="1"/>
    <col min="4108" max="4352" width="10" style="39"/>
    <col min="4353" max="4353" width="3.69921875" style="39" customWidth="1"/>
    <col min="4354" max="4354" width="14.69921875" style="39" customWidth="1"/>
    <col min="4355" max="4355" width="55.8984375" style="39" bestFit="1" customWidth="1"/>
    <col min="4356" max="4356" width="7.19921875" style="39" bestFit="1" customWidth="1"/>
    <col min="4357" max="4357" width="7.5" style="39" bestFit="1" customWidth="1"/>
    <col min="4358" max="4358" width="7.59765625" style="39" customWidth="1"/>
    <col min="4359" max="4359" width="3.3984375" style="39" customWidth="1"/>
    <col min="4360" max="4360" width="9.19921875" style="39" bestFit="1" customWidth="1"/>
    <col min="4361" max="4361" width="8.3984375" style="39" bestFit="1" customWidth="1"/>
    <col min="4362" max="4362" width="10" style="39"/>
    <col min="4363" max="4363" width="16.69921875" style="39" customWidth="1"/>
    <col min="4364" max="4608" width="10" style="39"/>
    <col min="4609" max="4609" width="3.69921875" style="39" customWidth="1"/>
    <col min="4610" max="4610" width="14.69921875" style="39" customWidth="1"/>
    <col min="4611" max="4611" width="55.8984375" style="39" bestFit="1" customWidth="1"/>
    <col min="4612" max="4612" width="7.19921875" style="39" bestFit="1" customWidth="1"/>
    <col min="4613" max="4613" width="7.5" style="39" bestFit="1" customWidth="1"/>
    <col min="4614" max="4614" width="7.59765625" style="39" customWidth="1"/>
    <col min="4615" max="4615" width="3.3984375" style="39" customWidth="1"/>
    <col min="4616" max="4616" width="9.19921875" style="39" bestFit="1" customWidth="1"/>
    <col min="4617" max="4617" width="8.3984375" style="39" bestFit="1" customWidth="1"/>
    <col min="4618" max="4618" width="10" style="39"/>
    <col min="4619" max="4619" width="16.69921875" style="39" customWidth="1"/>
    <col min="4620" max="4864" width="10" style="39"/>
    <col min="4865" max="4865" width="3.69921875" style="39" customWidth="1"/>
    <col min="4866" max="4866" width="14.69921875" style="39" customWidth="1"/>
    <col min="4867" max="4867" width="55.8984375" style="39" bestFit="1" customWidth="1"/>
    <col min="4868" max="4868" width="7.19921875" style="39" bestFit="1" customWidth="1"/>
    <col min="4869" max="4869" width="7.5" style="39" bestFit="1" customWidth="1"/>
    <col min="4870" max="4870" width="7.59765625" style="39" customWidth="1"/>
    <col min="4871" max="4871" width="3.3984375" style="39" customWidth="1"/>
    <col min="4872" max="4872" width="9.19921875" style="39" bestFit="1" customWidth="1"/>
    <col min="4873" max="4873" width="8.3984375" style="39" bestFit="1" customWidth="1"/>
    <col min="4874" max="4874" width="10" style="39"/>
    <col min="4875" max="4875" width="16.69921875" style="39" customWidth="1"/>
    <col min="4876" max="5120" width="10" style="39"/>
    <col min="5121" max="5121" width="3.69921875" style="39" customWidth="1"/>
    <col min="5122" max="5122" width="14.69921875" style="39" customWidth="1"/>
    <col min="5123" max="5123" width="55.8984375" style="39" bestFit="1" customWidth="1"/>
    <col min="5124" max="5124" width="7.19921875" style="39" bestFit="1" customWidth="1"/>
    <col min="5125" max="5125" width="7.5" style="39" bestFit="1" customWidth="1"/>
    <col min="5126" max="5126" width="7.59765625" style="39" customWidth="1"/>
    <col min="5127" max="5127" width="3.3984375" style="39" customWidth="1"/>
    <col min="5128" max="5128" width="9.19921875" style="39" bestFit="1" customWidth="1"/>
    <col min="5129" max="5129" width="8.3984375" style="39" bestFit="1" customWidth="1"/>
    <col min="5130" max="5130" width="10" style="39"/>
    <col min="5131" max="5131" width="16.69921875" style="39" customWidth="1"/>
    <col min="5132" max="5376" width="10" style="39"/>
    <col min="5377" max="5377" width="3.69921875" style="39" customWidth="1"/>
    <col min="5378" max="5378" width="14.69921875" style="39" customWidth="1"/>
    <col min="5379" max="5379" width="55.8984375" style="39" bestFit="1" customWidth="1"/>
    <col min="5380" max="5380" width="7.19921875" style="39" bestFit="1" customWidth="1"/>
    <col min="5381" max="5381" width="7.5" style="39" bestFit="1" customWidth="1"/>
    <col min="5382" max="5382" width="7.59765625" style="39" customWidth="1"/>
    <col min="5383" max="5383" width="3.3984375" style="39" customWidth="1"/>
    <col min="5384" max="5384" width="9.19921875" style="39" bestFit="1" customWidth="1"/>
    <col min="5385" max="5385" width="8.3984375" style="39" bestFit="1" customWidth="1"/>
    <col min="5386" max="5386" width="10" style="39"/>
    <col min="5387" max="5387" width="16.69921875" style="39" customWidth="1"/>
    <col min="5388" max="5632" width="10" style="39"/>
    <col min="5633" max="5633" width="3.69921875" style="39" customWidth="1"/>
    <col min="5634" max="5634" width="14.69921875" style="39" customWidth="1"/>
    <col min="5635" max="5635" width="55.8984375" style="39" bestFit="1" customWidth="1"/>
    <col min="5636" max="5636" width="7.19921875" style="39" bestFit="1" customWidth="1"/>
    <col min="5637" max="5637" width="7.5" style="39" bestFit="1" customWidth="1"/>
    <col min="5638" max="5638" width="7.59765625" style="39" customWidth="1"/>
    <col min="5639" max="5639" width="3.3984375" style="39" customWidth="1"/>
    <col min="5640" max="5640" width="9.19921875" style="39" bestFit="1" customWidth="1"/>
    <col min="5641" max="5641" width="8.3984375" style="39" bestFit="1" customWidth="1"/>
    <col min="5642" max="5642" width="10" style="39"/>
    <col min="5643" max="5643" width="16.69921875" style="39" customWidth="1"/>
    <col min="5644" max="5888" width="10" style="39"/>
    <col min="5889" max="5889" width="3.69921875" style="39" customWidth="1"/>
    <col min="5890" max="5890" width="14.69921875" style="39" customWidth="1"/>
    <col min="5891" max="5891" width="55.8984375" style="39" bestFit="1" customWidth="1"/>
    <col min="5892" max="5892" width="7.19921875" style="39" bestFit="1" customWidth="1"/>
    <col min="5893" max="5893" width="7.5" style="39" bestFit="1" customWidth="1"/>
    <col min="5894" max="5894" width="7.59765625" style="39" customWidth="1"/>
    <col min="5895" max="5895" width="3.3984375" style="39" customWidth="1"/>
    <col min="5896" max="5896" width="9.19921875" style="39" bestFit="1" customWidth="1"/>
    <col min="5897" max="5897" width="8.3984375" style="39" bestFit="1" customWidth="1"/>
    <col min="5898" max="5898" width="10" style="39"/>
    <col min="5899" max="5899" width="16.69921875" style="39" customWidth="1"/>
    <col min="5900" max="6144" width="10" style="39"/>
    <col min="6145" max="6145" width="3.69921875" style="39" customWidth="1"/>
    <col min="6146" max="6146" width="14.69921875" style="39" customWidth="1"/>
    <col min="6147" max="6147" width="55.8984375" style="39" bestFit="1" customWidth="1"/>
    <col min="6148" max="6148" width="7.19921875" style="39" bestFit="1" customWidth="1"/>
    <col min="6149" max="6149" width="7.5" style="39" bestFit="1" customWidth="1"/>
    <col min="6150" max="6150" width="7.59765625" style="39" customWidth="1"/>
    <col min="6151" max="6151" width="3.3984375" style="39" customWidth="1"/>
    <col min="6152" max="6152" width="9.19921875" style="39" bestFit="1" customWidth="1"/>
    <col min="6153" max="6153" width="8.3984375" style="39" bestFit="1" customWidth="1"/>
    <col min="6154" max="6154" width="10" style="39"/>
    <col min="6155" max="6155" width="16.69921875" style="39" customWidth="1"/>
    <col min="6156" max="6400" width="10" style="39"/>
    <col min="6401" max="6401" width="3.69921875" style="39" customWidth="1"/>
    <col min="6402" max="6402" width="14.69921875" style="39" customWidth="1"/>
    <col min="6403" max="6403" width="55.8984375" style="39" bestFit="1" customWidth="1"/>
    <col min="6404" max="6404" width="7.19921875" style="39" bestFit="1" customWidth="1"/>
    <col min="6405" max="6405" width="7.5" style="39" bestFit="1" customWidth="1"/>
    <col min="6406" max="6406" width="7.59765625" style="39" customWidth="1"/>
    <col min="6407" max="6407" width="3.3984375" style="39" customWidth="1"/>
    <col min="6408" max="6408" width="9.19921875" style="39" bestFit="1" customWidth="1"/>
    <col min="6409" max="6409" width="8.3984375" style="39" bestFit="1" customWidth="1"/>
    <col min="6410" max="6410" width="10" style="39"/>
    <col min="6411" max="6411" width="16.69921875" style="39" customWidth="1"/>
    <col min="6412" max="6656" width="10" style="39"/>
    <col min="6657" max="6657" width="3.69921875" style="39" customWidth="1"/>
    <col min="6658" max="6658" width="14.69921875" style="39" customWidth="1"/>
    <col min="6659" max="6659" width="55.8984375" style="39" bestFit="1" customWidth="1"/>
    <col min="6660" max="6660" width="7.19921875" style="39" bestFit="1" customWidth="1"/>
    <col min="6661" max="6661" width="7.5" style="39" bestFit="1" customWidth="1"/>
    <col min="6662" max="6662" width="7.59765625" style="39" customWidth="1"/>
    <col min="6663" max="6663" width="3.3984375" style="39" customWidth="1"/>
    <col min="6664" max="6664" width="9.19921875" style="39" bestFit="1" customWidth="1"/>
    <col min="6665" max="6665" width="8.3984375" style="39" bestFit="1" customWidth="1"/>
    <col min="6666" max="6666" width="10" style="39"/>
    <col min="6667" max="6667" width="16.69921875" style="39" customWidth="1"/>
    <col min="6668" max="6912" width="10" style="39"/>
    <col min="6913" max="6913" width="3.69921875" style="39" customWidth="1"/>
    <col min="6914" max="6914" width="14.69921875" style="39" customWidth="1"/>
    <col min="6915" max="6915" width="55.8984375" style="39" bestFit="1" customWidth="1"/>
    <col min="6916" max="6916" width="7.19921875" style="39" bestFit="1" customWidth="1"/>
    <col min="6917" max="6917" width="7.5" style="39" bestFit="1" customWidth="1"/>
    <col min="6918" max="6918" width="7.59765625" style="39" customWidth="1"/>
    <col min="6919" max="6919" width="3.3984375" style="39" customWidth="1"/>
    <col min="6920" max="6920" width="9.19921875" style="39" bestFit="1" customWidth="1"/>
    <col min="6921" max="6921" width="8.3984375" style="39" bestFit="1" customWidth="1"/>
    <col min="6922" max="6922" width="10" style="39"/>
    <col min="6923" max="6923" width="16.69921875" style="39" customWidth="1"/>
    <col min="6924" max="7168" width="10" style="39"/>
    <col min="7169" max="7169" width="3.69921875" style="39" customWidth="1"/>
    <col min="7170" max="7170" width="14.69921875" style="39" customWidth="1"/>
    <col min="7171" max="7171" width="55.8984375" style="39" bestFit="1" customWidth="1"/>
    <col min="7172" max="7172" width="7.19921875" style="39" bestFit="1" customWidth="1"/>
    <col min="7173" max="7173" width="7.5" style="39" bestFit="1" customWidth="1"/>
    <col min="7174" max="7174" width="7.59765625" style="39" customWidth="1"/>
    <col min="7175" max="7175" width="3.3984375" style="39" customWidth="1"/>
    <col min="7176" max="7176" width="9.19921875" style="39" bestFit="1" customWidth="1"/>
    <col min="7177" max="7177" width="8.3984375" style="39" bestFit="1" customWidth="1"/>
    <col min="7178" max="7178" width="10" style="39"/>
    <col min="7179" max="7179" width="16.69921875" style="39" customWidth="1"/>
    <col min="7180" max="7424" width="10" style="39"/>
    <col min="7425" max="7425" width="3.69921875" style="39" customWidth="1"/>
    <col min="7426" max="7426" width="14.69921875" style="39" customWidth="1"/>
    <col min="7427" max="7427" width="55.8984375" style="39" bestFit="1" customWidth="1"/>
    <col min="7428" max="7428" width="7.19921875" style="39" bestFit="1" customWidth="1"/>
    <col min="7429" max="7429" width="7.5" style="39" bestFit="1" customWidth="1"/>
    <col min="7430" max="7430" width="7.59765625" style="39" customWidth="1"/>
    <col min="7431" max="7431" width="3.3984375" style="39" customWidth="1"/>
    <col min="7432" max="7432" width="9.19921875" style="39" bestFit="1" customWidth="1"/>
    <col min="7433" max="7433" width="8.3984375" style="39" bestFit="1" customWidth="1"/>
    <col min="7434" max="7434" width="10" style="39"/>
    <col min="7435" max="7435" width="16.69921875" style="39" customWidth="1"/>
    <col min="7436" max="7680" width="10" style="39"/>
    <col min="7681" max="7681" width="3.69921875" style="39" customWidth="1"/>
    <col min="7682" max="7682" width="14.69921875" style="39" customWidth="1"/>
    <col min="7683" max="7683" width="55.8984375" style="39" bestFit="1" customWidth="1"/>
    <col min="7684" max="7684" width="7.19921875" style="39" bestFit="1" customWidth="1"/>
    <col min="7685" max="7685" width="7.5" style="39" bestFit="1" customWidth="1"/>
    <col min="7686" max="7686" width="7.59765625" style="39" customWidth="1"/>
    <col min="7687" max="7687" width="3.3984375" style="39" customWidth="1"/>
    <col min="7688" max="7688" width="9.19921875" style="39" bestFit="1" customWidth="1"/>
    <col min="7689" max="7689" width="8.3984375" style="39" bestFit="1" customWidth="1"/>
    <col min="7690" max="7690" width="10" style="39"/>
    <col min="7691" max="7691" width="16.69921875" style="39" customWidth="1"/>
    <col min="7692" max="7936" width="10" style="39"/>
    <col min="7937" max="7937" width="3.69921875" style="39" customWidth="1"/>
    <col min="7938" max="7938" width="14.69921875" style="39" customWidth="1"/>
    <col min="7939" max="7939" width="55.8984375" style="39" bestFit="1" customWidth="1"/>
    <col min="7940" max="7940" width="7.19921875" style="39" bestFit="1" customWidth="1"/>
    <col min="7941" max="7941" width="7.5" style="39" bestFit="1" customWidth="1"/>
    <col min="7942" max="7942" width="7.59765625" style="39" customWidth="1"/>
    <col min="7943" max="7943" width="3.3984375" style="39" customWidth="1"/>
    <col min="7944" max="7944" width="9.19921875" style="39" bestFit="1" customWidth="1"/>
    <col min="7945" max="7945" width="8.3984375" style="39" bestFit="1" customWidth="1"/>
    <col min="7946" max="7946" width="10" style="39"/>
    <col min="7947" max="7947" width="16.69921875" style="39" customWidth="1"/>
    <col min="7948" max="8192" width="10" style="39"/>
    <col min="8193" max="8193" width="3.69921875" style="39" customWidth="1"/>
    <col min="8194" max="8194" width="14.69921875" style="39" customWidth="1"/>
    <col min="8195" max="8195" width="55.8984375" style="39" bestFit="1" customWidth="1"/>
    <col min="8196" max="8196" width="7.19921875" style="39" bestFit="1" customWidth="1"/>
    <col min="8197" max="8197" width="7.5" style="39" bestFit="1" customWidth="1"/>
    <col min="8198" max="8198" width="7.59765625" style="39" customWidth="1"/>
    <col min="8199" max="8199" width="3.3984375" style="39" customWidth="1"/>
    <col min="8200" max="8200" width="9.19921875" style="39" bestFit="1" customWidth="1"/>
    <col min="8201" max="8201" width="8.3984375" style="39" bestFit="1" customWidth="1"/>
    <col min="8202" max="8202" width="10" style="39"/>
    <col min="8203" max="8203" width="16.69921875" style="39" customWidth="1"/>
    <col min="8204" max="8448" width="10" style="39"/>
    <col min="8449" max="8449" width="3.69921875" style="39" customWidth="1"/>
    <col min="8450" max="8450" width="14.69921875" style="39" customWidth="1"/>
    <col min="8451" max="8451" width="55.8984375" style="39" bestFit="1" customWidth="1"/>
    <col min="8452" max="8452" width="7.19921875" style="39" bestFit="1" customWidth="1"/>
    <col min="8453" max="8453" width="7.5" style="39" bestFit="1" customWidth="1"/>
    <col min="8454" max="8454" width="7.59765625" style="39" customWidth="1"/>
    <col min="8455" max="8455" width="3.3984375" style="39" customWidth="1"/>
    <col min="8456" max="8456" width="9.19921875" style="39" bestFit="1" customWidth="1"/>
    <col min="8457" max="8457" width="8.3984375" style="39" bestFit="1" customWidth="1"/>
    <col min="8458" max="8458" width="10" style="39"/>
    <col min="8459" max="8459" width="16.69921875" style="39" customWidth="1"/>
    <col min="8460" max="8704" width="10" style="39"/>
    <col min="8705" max="8705" width="3.69921875" style="39" customWidth="1"/>
    <col min="8706" max="8706" width="14.69921875" style="39" customWidth="1"/>
    <col min="8707" max="8707" width="55.8984375" style="39" bestFit="1" customWidth="1"/>
    <col min="8708" max="8708" width="7.19921875" style="39" bestFit="1" customWidth="1"/>
    <col min="8709" max="8709" width="7.5" style="39" bestFit="1" customWidth="1"/>
    <col min="8710" max="8710" width="7.59765625" style="39" customWidth="1"/>
    <col min="8711" max="8711" width="3.3984375" style="39" customWidth="1"/>
    <col min="8712" max="8712" width="9.19921875" style="39" bestFit="1" customWidth="1"/>
    <col min="8713" max="8713" width="8.3984375" style="39" bestFit="1" customWidth="1"/>
    <col min="8714" max="8714" width="10" style="39"/>
    <col min="8715" max="8715" width="16.69921875" style="39" customWidth="1"/>
    <col min="8716" max="8960" width="10" style="39"/>
    <col min="8961" max="8961" width="3.69921875" style="39" customWidth="1"/>
    <col min="8962" max="8962" width="14.69921875" style="39" customWidth="1"/>
    <col min="8963" max="8963" width="55.8984375" style="39" bestFit="1" customWidth="1"/>
    <col min="8964" max="8964" width="7.19921875" style="39" bestFit="1" customWidth="1"/>
    <col min="8965" max="8965" width="7.5" style="39" bestFit="1" customWidth="1"/>
    <col min="8966" max="8966" width="7.59765625" style="39" customWidth="1"/>
    <col min="8967" max="8967" width="3.3984375" style="39" customWidth="1"/>
    <col min="8968" max="8968" width="9.19921875" style="39" bestFit="1" customWidth="1"/>
    <col min="8969" max="8969" width="8.3984375" style="39" bestFit="1" customWidth="1"/>
    <col min="8970" max="8970" width="10" style="39"/>
    <col min="8971" max="8971" width="16.69921875" style="39" customWidth="1"/>
    <col min="8972" max="9216" width="10" style="39"/>
    <col min="9217" max="9217" width="3.69921875" style="39" customWidth="1"/>
    <col min="9218" max="9218" width="14.69921875" style="39" customWidth="1"/>
    <col min="9219" max="9219" width="55.8984375" style="39" bestFit="1" customWidth="1"/>
    <col min="9220" max="9220" width="7.19921875" style="39" bestFit="1" customWidth="1"/>
    <col min="9221" max="9221" width="7.5" style="39" bestFit="1" customWidth="1"/>
    <col min="9222" max="9222" width="7.59765625" style="39" customWidth="1"/>
    <col min="9223" max="9223" width="3.3984375" style="39" customWidth="1"/>
    <col min="9224" max="9224" width="9.19921875" style="39" bestFit="1" customWidth="1"/>
    <col min="9225" max="9225" width="8.3984375" style="39" bestFit="1" customWidth="1"/>
    <col min="9226" max="9226" width="10" style="39"/>
    <col min="9227" max="9227" width="16.69921875" style="39" customWidth="1"/>
    <col min="9228" max="9472" width="10" style="39"/>
    <col min="9473" max="9473" width="3.69921875" style="39" customWidth="1"/>
    <col min="9474" max="9474" width="14.69921875" style="39" customWidth="1"/>
    <col min="9475" max="9475" width="55.8984375" style="39" bestFit="1" customWidth="1"/>
    <col min="9476" max="9476" width="7.19921875" style="39" bestFit="1" customWidth="1"/>
    <col min="9477" max="9477" width="7.5" style="39" bestFit="1" customWidth="1"/>
    <col min="9478" max="9478" width="7.59765625" style="39" customWidth="1"/>
    <col min="9479" max="9479" width="3.3984375" style="39" customWidth="1"/>
    <col min="9480" max="9480" width="9.19921875" style="39" bestFit="1" customWidth="1"/>
    <col min="9481" max="9481" width="8.3984375" style="39" bestFit="1" customWidth="1"/>
    <col min="9482" max="9482" width="10" style="39"/>
    <col min="9483" max="9483" width="16.69921875" style="39" customWidth="1"/>
    <col min="9484" max="9728" width="10" style="39"/>
    <col min="9729" max="9729" width="3.69921875" style="39" customWidth="1"/>
    <col min="9730" max="9730" width="14.69921875" style="39" customWidth="1"/>
    <col min="9731" max="9731" width="55.8984375" style="39" bestFit="1" customWidth="1"/>
    <col min="9732" max="9732" width="7.19921875" style="39" bestFit="1" customWidth="1"/>
    <col min="9733" max="9733" width="7.5" style="39" bestFit="1" customWidth="1"/>
    <col min="9734" max="9734" width="7.59765625" style="39" customWidth="1"/>
    <col min="9735" max="9735" width="3.3984375" style="39" customWidth="1"/>
    <col min="9736" max="9736" width="9.19921875" style="39" bestFit="1" customWidth="1"/>
    <col min="9737" max="9737" width="8.3984375" style="39" bestFit="1" customWidth="1"/>
    <col min="9738" max="9738" width="10" style="39"/>
    <col min="9739" max="9739" width="16.69921875" style="39" customWidth="1"/>
    <col min="9740" max="9984" width="10" style="39"/>
    <col min="9985" max="9985" width="3.69921875" style="39" customWidth="1"/>
    <col min="9986" max="9986" width="14.69921875" style="39" customWidth="1"/>
    <col min="9987" max="9987" width="55.8984375" style="39" bestFit="1" customWidth="1"/>
    <col min="9988" max="9988" width="7.19921875" style="39" bestFit="1" customWidth="1"/>
    <col min="9989" max="9989" width="7.5" style="39" bestFit="1" customWidth="1"/>
    <col min="9990" max="9990" width="7.59765625" style="39" customWidth="1"/>
    <col min="9991" max="9991" width="3.3984375" style="39" customWidth="1"/>
    <col min="9992" max="9992" width="9.19921875" style="39" bestFit="1" customWidth="1"/>
    <col min="9993" max="9993" width="8.3984375" style="39" bestFit="1" customWidth="1"/>
    <col min="9994" max="9994" width="10" style="39"/>
    <col min="9995" max="9995" width="16.69921875" style="39" customWidth="1"/>
    <col min="9996" max="10240" width="10" style="39"/>
    <col min="10241" max="10241" width="3.69921875" style="39" customWidth="1"/>
    <col min="10242" max="10242" width="14.69921875" style="39" customWidth="1"/>
    <col min="10243" max="10243" width="55.8984375" style="39" bestFit="1" customWidth="1"/>
    <col min="10244" max="10244" width="7.19921875" style="39" bestFit="1" customWidth="1"/>
    <col min="10245" max="10245" width="7.5" style="39" bestFit="1" customWidth="1"/>
    <col min="10246" max="10246" width="7.59765625" style="39" customWidth="1"/>
    <col min="10247" max="10247" width="3.3984375" style="39" customWidth="1"/>
    <col min="10248" max="10248" width="9.19921875" style="39" bestFit="1" customWidth="1"/>
    <col min="10249" max="10249" width="8.3984375" style="39" bestFit="1" customWidth="1"/>
    <col min="10250" max="10250" width="10" style="39"/>
    <col min="10251" max="10251" width="16.69921875" style="39" customWidth="1"/>
    <col min="10252" max="10496" width="10" style="39"/>
    <col min="10497" max="10497" width="3.69921875" style="39" customWidth="1"/>
    <col min="10498" max="10498" width="14.69921875" style="39" customWidth="1"/>
    <col min="10499" max="10499" width="55.8984375" style="39" bestFit="1" customWidth="1"/>
    <col min="10500" max="10500" width="7.19921875" style="39" bestFit="1" customWidth="1"/>
    <col min="10501" max="10501" width="7.5" style="39" bestFit="1" customWidth="1"/>
    <col min="10502" max="10502" width="7.59765625" style="39" customWidth="1"/>
    <col min="10503" max="10503" width="3.3984375" style="39" customWidth="1"/>
    <col min="10504" max="10504" width="9.19921875" style="39" bestFit="1" customWidth="1"/>
    <col min="10505" max="10505" width="8.3984375" style="39" bestFit="1" customWidth="1"/>
    <col min="10506" max="10506" width="10" style="39"/>
    <col min="10507" max="10507" width="16.69921875" style="39" customWidth="1"/>
    <col min="10508" max="10752" width="10" style="39"/>
    <col min="10753" max="10753" width="3.69921875" style="39" customWidth="1"/>
    <col min="10754" max="10754" width="14.69921875" style="39" customWidth="1"/>
    <col min="10755" max="10755" width="55.8984375" style="39" bestFit="1" customWidth="1"/>
    <col min="10756" max="10756" width="7.19921875" style="39" bestFit="1" customWidth="1"/>
    <col min="10757" max="10757" width="7.5" style="39" bestFit="1" customWidth="1"/>
    <col min="10758" max="10758" width="7.59765625" style="39" customWidth="1"/>
    <col min="10759" max="10759" width="3.3984375" style="39" customWidth="1"/>
    <col min="10760" max="10760" width="9.19921875" style="39" bestFit="1" customWidth="1"/>
    <col min="10761" max="10761" width="8.3984375" style="39" bestFit="1" customWidth="1"/>
    <col min="10762" max="10762" width="10" style="39"/>
    <col min="10763" max="10763" width="16.69921875" style="39" customWidth="1"/>
    <col min="10764" max="11008" width="10" style="39"/>
    <col min="11009" max="11009" width="3.69921875" style="39" customWidth="1"/>
    <col min="11010" max="11010" width="14.69921875" style="39" customWidth="1"/>
    <col min="11011" max="11011" width="55.8984375" style="39" bestFit="1" customWidth="1"/>
    <col min="11012" max="11012" width="7.19921875" style="39" bestFit="1" customWidth="1"/>
    <col min="11013" max="11013" width="7.5" style="39" bestFit="1" customWidth="1"/>
    <col min="11014" max="11014" width="7.59765625" style="39" customWidth="1"/>
    <col min="11015" max="11015" width="3.3984375" style="39" customWidth="1"/>
    <col min="11016" max="11016" width="9.19921875" style="39" bestFit="1" customWidth="1"/>
    <col min="11017" max="11017" width="8.3984375" style="39" bestFit="1" customWidth="1"/>
    <col min="11018" max="11018" width="10" style="39"/>
    <col min="11019" max="11019" width="16.69921875" style="39" customWidth="1"/>
    <col min="11020" max="11264" width="10" style="39"/>
    <col min="11265" max="11265" width="3.69921875" style="39" customWidth="1"/>
    <col min="11266" max="11266" width="14.69921875" style="39" customWidth="1"/>
    <col min="11267" max="11267" width="55.8984375" style="39" bestFit="1" customWidth="1"/>
    <col min="11268" max="11268" width="7.19921875" style="39" bestFit="1" customWidth="1"/>
    <col min="11269" max="11269" width="7.5" style="39" bestFit="1" customWidth="1"/>
    <col min="11270" max="11270" width="7.59765625" style="39" customWidth="1"/>
    <col min="11271" max="11271" width="3.3984375" style="39" customWidth="1"/>
    <col min="11272" max="11272" width="9.19921875" style="39" bestFit="1" customWidth="1"/>
    <col min="11273" max="11273" width="8.3984375" style="39" bestFit="1" customWidth="1"/>
    <col min="11274" max="11274" width="10" style="39"/>
    <col min="11275" max="11275" width="16.69921875" style="39" customWidth="1"/>
    <col min="11276" max="11520" width="10" style="39"/>
    <col min="11521" max="11521" width="3.69921875" style="39" customWidth="1"/>
    <col min="11522" max="11522" width="14.69921875" style="39" customWidth="1"/>
    <col min="11523" max="11523" width="55.8984375" style="39" bestFit="1" customWidth="1"/>
    <col min="11524" max="11524" width="7.19921875" style="39" bestFit="1" customWidth="1"/>
    <col min="11525" max="11525" width="7.5" style="39" bestFit="1" customWidth="1"/>
    <col min="11526" max="11526" width="7.59765625" style="39" customWidth="1"/>
    <col min="11527" max="11527" width="3.3984375" style="39" customWidth="1"/>
    <col min="11528" max="11528" width="9.19921875" style="39" bestFit="1" customWidth="1"/>
    <col min="11529" max="11529" width="8.3984375" style="39" bestFit="1" customWidth="1"/>
    <col min="11530" max="11530" width="10" style="39"/>
    <col min="11531" max="11531" width="16.69921875" style="39" customWidth="1"/>
    <col min="11532" max="11776" width="10" style="39"/>
    <col min="11777" max="11777" width="3.69921875" style="39" customWidth="1"/>
    <col min="11778" max="11778" width="14.69921875" style="39" customWidth="1"/>
    <col min="11779" max="11779" width="55.8984375" style="39" bestFit="1" customWidth="1"/>
    <col min="11780" max="11780" width="7.19921875" style="39" bestFit="1" customWidth="1"/>
    <col min="11781" max="11781" width="7.5" style="39" bestFit="1" customWidth="1"/>
    <col min="11782" max="11782" width="7.59765625" style="39" customWidth="1"/>
    <col min="11783" max="11783" width="3.3984375" style="39" customWidth="1"/>
    <col min="11784" max="11784" width="9.19921875" style="39" bestFit="1" customWidth="1"/>
    <col min="11785" max="11785" width="8.3984375" style="39" bestFit="1" customWidth="1"/>
    <col min="11786" max="11786" width="10" style="39"/>
    <col min="11787" max="11787" width="16.69921875" style="39" customWidth="1"/>
    <col min="11788" max="12032" width="10" style="39"/>
    <col min="12033" max="12033" width="3.69921875" style="39" customWidth="1"/>
    <col min="12034" max="12034" width="14.69921875" style="39" customWidth="1"/>
    <col min="12035" max="12035" width="55.8984375" style="39" bestFit="1" customWidth="1"/>
    <col min="12036" max="12036" width="7.19921875" style="39" bestFit="1" customWidth="1"/>
    <col min="12037" max="12037" width="7.5" style="39" bestFit="1" customWidth="1"/>
    <col min="12038" max="12038" width="7.59765625" style="39" customWidth="1"/>
    <col min="12039" max="12039" width="3.3984375" style="39" customWidth="1"/>
    <col min="12040" max="12040" width="9.19921875" style="39" bestFit="1" customWidth="1"/>
    <col min="12041" max="12041" width="8.3984375" style="39" bestFit="1" customWidth="1"/>
    <col min="12042" max="12042" width="10" style="39"/>
    <col min="12043" max="12043" width="16.69921875" style="39" customWidth="1"/>
    <col min="12044" max="12288" width="10" style="39"/>
    <col min="12289" max="12289" width="3.69921875" style="39" customWidth="1"/>
    <col min="12290" max="12290" width="14.69921875" style="39" customWidth="1"/>
    <col min="12291" max="12291" width="55.8984375" style="39" bestFit="1" customWidth="1"/>
    <col min="12292" max="12292" width="7.19921875" style="39" bestFit="1" customWidth="1"/>
    <col min="12293" max="12293" width="7.5" style="39" bestFit="1" customWidth="1"/>
    <col min="12294" max="12294" width="7.59765625" style="39" customWidth="1"/>
    <col min="12295" max="12295" width="3.3984375" style="39" customWidth="1"/>
    <col min="12296" max="12296" width="9.19921875" style="39" bestFit="1" customWidth="1"/>
    <col min="12297" max="12297" width="8.3984375" style="39" bestFit="1" customWidth="1"/>
    <col min="12298" max="12298" width="10" style="39"/>
    <col min="12299" max="12299" width="16.69921875" style="39" customWidth="1"/>
    <col min="12300" max="12544" width="10" style="39"/>
    <col min="12545" max="12545" width="3.69921875" style="39" customWidth="1"/>
    <col min="12546" max="12546" width="14.69921875" style="39" customWidth="1"/>
    <col min="12547" max="12547" width="55.8984375" style="39" bestFit="1" customWidth="1"/>
    <col min="12548" max="12548" width="7.19921875" style="39" bestFit="1" customWidth="1"/>
    <col min="12549" max="12549" width="7.5" style="39" bestFit="1" customWidth="1"/>
    <col min="12550" max="12550" width="7.59765625" style="39" customWidth="1"/>
    <col min="12551" max="12551" width="3.3984375" style="39" customWidth="1"/>
    <col min="12552" max="12552" width="9.19921875" style="39" bestFit="1" customWidth="1"/>
    <col min="12553" max="12553" width="8.3984375" style="39" bestFit="1" customWidth="1"/>
    <col min="12554" max="12554" width="10" style="39"/>
    <col min="12555" max="12555" width="16.69921875" style="39" customWidth="1"/>
    <col min="12556" max="12800" width="10" style="39"/>
    <col min="12801" max="12801" width="3.69921875" style="39" customWidth="1"/>
    <col min="12802" max="12802" width="14.69921875" style="39" customWidth="1"/>
    <col min="12803" max="12803" width="55.8984375" style="39" bestFit="1" customWidth="1"/>
    <col min="12804" max="12804" width="7.19921875" style="39" bestFit="1" customWidth="1"/>
    <col min="12805" max="12805" width="7.5" style="39" bestFit="1" customWidth="1"/>
    <col min="12806" max="12806" width="7.59765625" style="39" customWidth="1"/>
    <col min="12807" max="12807" width="3.3984375" style="39" customWidth="1"/>
    <col min="12808" max="12808" width="9.19921875" style="39" bestFit="1" customWidth="1"/>
    <col min="12809" max="12809" width="8.3984375" style="39" bestFit="1" customWidth="1"/>
    <col min="12810" max="12810" width="10" style="39"/>
    <col min="12811" max="12811" width="16.69921875" style="39" customWidth="1"/>
    <col min="12812" max="13056" width="10" style="39"/>
    <col min="13057" max="13057" width="3.69921875" style="39" customWidth="1"/>
    <col min="13058" max="13058" width="14.69921875" style="39" customWidth="1"/>
    <col min="13059" max="13059" width="55.8984375" style="39" bestFit="1" customWidth="1"/>
    <col min="13060" max="13060" width="7.19921875" style="39" bestFit="1" customWidth="1"/>
    <col min="13061" max="13061" width="7.5" style="39" bestFit="1" customWidth="1"/>
    <col min="13062" max="13062" width="7.59765625" style="39" customWidth="1"/>
    <col min="13063" max="13063" width="3.3984375" style="39" customWidth="1"/>
    <col min="13064" max="13064" width="9.19921875" style="39" bestFit="1" customWidth="1"/>
    <col min="13065" max="13065" width="8.3984375" style="39" bestFit="1" customWidth="1"/>
    <col min="13066" max="13066" width="10" style="39"/>
    <col min="13067" max="13067" width="16.69921875" style="39" customWidth="1"/>
    <col min="13068" max="13312" width="10" style="39"/>
    <col min="13313" max="13313" width="3.69921875" style="39" customWidth="1"/>
    <col min="13314" max="13314" width="14.69921875" style="39" customWidth="1"/>
    <col min="13315" max="13315" width="55.8984375" style="39" bestFit="1" customWidth="1"/>
    <col min="13316" max="13316" width="7.19921875" style="39" bestFit="1" customWidth="1"/>
    <col min="13317" max="13317" width="7.5" style="39" bestFit="1" customWidth="1"/>
    <col min="13318" max="13318" width="7.59765625" style="39" customWidth="1"/>
    <col min="13319" max="13319" width="3.3984375" style="39" customWidth="1"/>
    <col min="13320" max="13320" width="9.19921875" style="39" bestFit="1" customWidth="1"/>
    <col min="13321" max="13321" width="8.3984375" style="39" bestFit="1" customWidth="1"/>
    <col min="13322" max="13322" width="10" style="39"/>
    <col min="13323" max="13323" width="16.69921875" style="39" customWidth="1"/>
    <col min="13324" max="13568" width="10" style="39"/>
    <col min="13569" max="13569" width="3.69921875" style="39" customWidth="1"/>
    <col min="13570" max="13570" width="14.69921875" style="39" customWidth="1"/>
    <col min="13571" max="13571" width="55.8984375" style="39" bestFit="1" customWidth="1"/>
    <col min="13572" max="13572" width="7.19921875" style="39" bestFit="1" customWidth="1"/>
    <col min="13573" max="13573" width="7.5" style="39" bestFit="1" customWidth="1"/>
    <col min="13574" max="13574" width="7.59765625" style="39" customWidth="1"/>
    <col min="13575" max="13575" width="3.3984375" style="39" customWidth="1"/>
    <col min="13576" max="13576" width="9.19921875" style="39" bestFit="1" customWidth="1"/>
    <col min="13577" max="13577" width="8.3984375" style="39" bestFit="1" customWidth="1"/>
    <col min="13578" max="13578" width="10" style="39"/>
    <col min="13579" max="13579" width="16.69921875" style="39" customWidth="1"/>
    <col min="13580" max="13824" width="10" style="39"/>
    <col min="13825" max="13825" width="3.69921875" style="39" customWidth="1"/>
    <col min="13826" max="13826" width="14.69921875" style="39" customWidth="1"/>
    <col min="13827" max="13827" width="55.8984375" style="39" bestFit="1" customWidth="1"/>
    <col min="13828" max="13828" width="7.19921875" style="39" bestFit="1" customWidth="1"/>
    <col min="13829" max="13829" width="7.5" style="39" bestFit="1" customWidth="1"/>
    <col min="13830" max="13830" width="7.59765625" style="39" customWidth="1"/>
    <col min="13831" max="13831" width="3.3984375" style="39" customWidth="1"/>
    <col min="13832" max="13832" width="9.19921875" style="39" bestFit="1" customWidth="1"/>
    <col min="13833" max="13833" width="8.3984375" style="39" bestFit="1" customWidth="1"/>
    <col min="13834" max="13834" width="10" style="39"/>
    <col min="13835" max="13835" width="16.69921875" style="39" customWidth="1"/>
    <col min="13836" max="14080" width="10" style="39"/>
    <col min="14081" max="14081" width="3.69921875" style="39" customWidth="1"/>
    <col min="14082" max="14082" width="14.69921875" style="39" customWidth="1"/>
    <col min="14083" max="14083" width="55.8984375" style="39" bestFit="1" customWidth="1"/>
    <col min="14084" max="14084" width="7.19921875" style="39" bestFit="1" customWidth="1"/>
    <col min="14085" max="14085" width="7.5" style="39" bestFit="1" customWidth="1"/>
    <col min="14086" max="14086" width="7.59765625" style="39" customWidth="1"/>
    <col min="14087" max="14087" width="3.3984375" style="39" customWidth="1"/>
    <col min="14088" max="14088" width="9.19921875" style="39" bestFit="1" customWidth="1"/>
    <col min="14089" max="14089" width="8.3984375" style="39" bestFit="1" customWidth="1"/>
    <col min="14090" max="14090" width="10" style="39"/>
    <col min="14091" max="14091" width="16.69921875" style="39" customWidth="1"/>
    <col min="14092" max="14336" width="10" style="39"/>
    <col min="14337" max="14337" width="3.69921875" style="39" customWidth="1"/>
    <col min="14338" max="14338" width="14.69921875" style="39" customWidth="1"/>
    <col min="14339" max="14339" width="55.8984375" style="39" bestFit="1" customWidth="1"/>
    <col min="14340" max="14340" width="7.19921875" style="39" bestFit="1" customWidth="1"/>
    <col min="14341" max="14341" width="7.5" style="39" bestFit="1" customWidth="1"/>
    <col min="14342" max="14342" width="7.59765625" style="39" customWidth="1"/>
    <col min="14343" max="14343" width="3.3984375" style="39" customWidth="1"/>
    <col min="14344" max="14344" width="9.19921875" style="39" bestFit="1" customWidth="1"/>
    <col min="14345" max="14345" width="8.3984375" style="39" bestFit="1" customWidth="1"/>
    <col min="14346" max="14346" width="10" style="39"/>
    <col min="14347" max="14347" width="16.69921875" style="39" customWidth="1"/>
    <col min="14348" max="14592" width="10" style="39"/>
    <col min="14593" max="14593" width="3.69921875" style="39" customWidth="1"/>
    <col min="14594" max="14594" width="14.69921875" style="39" customWidth="1"/>
    <col min="14595" max="14595" width="55.8984375" style="39" bestFit="1" customWidth="1"/>
    <col min="14596" max="14596" width="7.19921875" style="39" bestFit="1" customWidth="1"/>
    <col min="14597" max="14597" width="7.5" style="39" bestFit="1" customWidth="1"/>
    <col min="14598" max="14598" width="7.59765625" style="39" customWidth="1"/>
    <col min="14599" max="14599" width="3.3984375" style="39" customWidth="1"/>
    <col min="14600" max="14600" width="9.19921875" style="39" bestFit="1" customWidth="1"/>
    <col min="14601" max="14601" width="8.3984375" style="39" bestFit="1" customWidth="1"/>
    <col min="14602" max="14602" width="10" style="39"/>
    <col min="14603" max="14603" width="16.69921875" style="39" customWidth="1"/>
    <col min="14604" max="14848" width="10" style="39"/>
    <col min="14849" max="14849" width="3.69921875" style="39" customWidth="1"/>
    <col min="14850" max="14850" width="14.69921875" style="39" customWidth="1"/>
    <col min="14851" max="14851" width="55.8984375" style="39" bestFit="1" customWidth="1"/>
    <col min="14852" max="14852" width="7.19921875" style="39" bestFit="1" customWidth="1"/>
    <col min="14853" max="14853" width="7.5" style="39" bestFit="1" customWidth="1"/>
    <col min="14854" max="14854" width="7.59765625" style="39" customWidth="1"/>
    <col min="14855" max="14855" width="3.3984375" style="39" customWidth="1"/>
    <col min="14856" max="14856" width="9.19921875" style="39" bestFit="1" customWidth="1"/>
    <col min="14857" max="14857" width="8.3984375" style="39" bestFit="1" customWidth="1"/>
    <col min="14858" max="14858" width="10" style="39"/>
    <col min="14859" max="14859" width="16.69921875" style="39" customWidth="1"/>
    <col min="14860" max="15104" width="10" style="39"/>
    <col min="15105" max="15105" width="3.69921875" style="39" customWidth="1"/>
    <col min="15106" max="15106" width="14.69921875" style="39" customWidth="1"/>
    <col min="15107" max="15107" width="55.8984375" style="39" bestFit="1" customWidth="1"/>
    <col min="15108" max="15108" width="7.19921875" style="39" bestFit="1" customWidth="1"/>
    <col min="15109" max="15109" width="7.5" style="39" bestFit="1" customWidth="1"/>
    <col min="15110" max="15110" width="7.59765625" style="39" customWidth="1"/>
    <col min="15111" max="15111" width="3.3984375" style="39" customWidth="1"/>
    <col min="15112" max="15112" width="9.19921875" style="39" bestFit="1" customWidth="1"/>
    <col min="15113" max="15113" width="8.3984375" style="39" bestFit="1" customWidth="1"/>
    <col min="15114" max="15114" width="10" style="39"/>
    <col min="15115" max="15115" width="16.69921875" style="39" customWidth="1"/>
    <col min="15116" max="15360" width="10" style="39"/>
    <col min="15361" max="15361" width="3.69921875" style="39" customWidth="1"/>
    <col min="15362" max="15362" width="14.69921875" style="39" customWidth="1"/>
    <col min="15363" max="15363" width="55.8984375" style="39" bestFit="1" customWidth="1"/>
    <col min="15364" max="15364" width="7.19921875" style="39" bestFit="1" customWidth="1"/>
    <col min="15365" max="15365" width="7.5" style="39" bestFit="1" customWidth="1"/>
    <col min="15366" max="15366" width="7.59765625" style="39" customWidth="1"/>
    <col min="15367" max="15367" width="3.3984375" style="39" customWidth="1"/>
    <col min="15368" max="15368" width="9.19921875" style="39" bestFit="1" customWidth="1"/>
    <col min="15369" max="15369" width="8.3984375" style="39" bestFit="1" customWidth="1"/>
    <col min="15370" max="15370" width="10" style="39"/>
    <col min="15371" max="15371" width="16.69921875" style="39" customWidth="1"/>
    <col min="15372" max="15616" width="10" style="39"/>
    <col min="15617" max="15617" width="3.69921875" style="39" customWidth="1"/>
    <col min="15618" max="15618" width="14.69921875" style="39" customWidth="1"/>
    <col min="15619" max="15619" width="55.8984375" style="39" bestFit="1" customWidth="1"/>
    <col min="15620" max="15620" width="7.19921875" style="39" bestFit="1" customWidth="1"/>
    <col min="15621" max="15621" width="7.5" style="39" bestFit="1" customWidth="1"/>
    <col min="15622" max="15622" width="7.59765625" style="39" customWidth="1"/>
    <col min="15623" max="15623" width="3.3984375" style="39" customWidth="1"/>
    <col min="15624" max="15624" width="9.19921875" style="39" bestFit="1" customWidth="1"/>
    <col min="15625" max="15625" width="8.3984375" style="39" bestFit="1" customWidth="1"/>
    <col min="15626" max="15626" width="10" style="39"/>
    <col min="15627" max="15627" width="16.69921875" style="39" customWidth="1"/>
    <col min="15628" max="15872" width="10" style="39"/>
    <col min="15873" max="15873" width="3.69921875" style="39" customWidth="1"/>
    <col min="15874" max="15874" width="14.69921875" style="39" customWidth="1"/>
    <col min="15875" max="15875" width="55.8984375" style="39" bestFit="1" customWidth="1"/>
    <col min="15876" max="15876" width="7.19921875" style="39" bestFit="1" customWidth="1"/>
    <col min="15877" max="15877" width="7.5" style="39" bestFit="1" customWidth="1"/>
    <col min="15878" max="15878" width="7.59765625" style="39" customWidth="1"/>
    <col min="15879" max="15879" width="3.3984375" style="39" customWidth="1"/>
    <col min="15880" max="15880" width="9.19921875" style="39" bestFit="1" customWidth="1"/>
    <col min="15881" max="15881" width="8.3984375" style="39" bestFit="1" customWidth="1"/>
    <col min="15882" max="15882" width="10" style="39"/>
    <col min="15883" max="15883" width="16.69921875" style="39" customWidth="1"/>
    <col min="15884" max="16128" width="10" style="39"/>
    <col min="16129" max="16129" width="3.69921875" style="39" customWidth="1"/>
    <col min="16130" max="16130" width="14.69921875" style="39" customWidth="1"/>
    <col min="16131" max="16131" width="55.8984375" style="39" bestFit="1" customWidth="1"/>
    <col min="16132" max="16132" width="7.19921875" style="39" bestFit="1" customWidth="1"/>
    <col min="16133" max="16133" width="7.5" style="39" bestFit="1" customWidth="1"/>
    <col min="16134" max="16134" width="7.59765625" style="39" customWidth="1"/>
    <col min="16135" max="16135" width="3.3984375" style="39" customWidth="1"/>
    <col min="16136" max="16136" width="9.19921875" style="39" bestFit="1" customWidth="1"/>
    <col min="16137" max="16137" width="8.3984375" style="39" bestFit="1" customWidth="1"/>
    <col min="16138" max="16138" width="10" style="39"/>
    <col min="16139" max="16139" width="16.69921875" style="39" customWidth="1"/>
    <col min="16140" max="16384" width="10" style="39"/>
  </cols>
  <sheetData>
    <row r="4" spans="2:11" ht="21">
      <c r="B4" s="38" t="s">
        <v>280</v>
      </c>
    </row>
    <row r="5" spans="2:11" ht="17.399999999999999">
      <c r="B5" s="40" t="s">
        <v>281</v>
      </c>
      <c r="C5" s="40"/>
      <c r="D5" s="40"/>
    </row>
    <row r="6" spans="2:11" ht="17.399999999999999">
      <c r="B6" s="40"/>
      <c r="C6" s="40"/>
      <c r="D6" s="40"/>
    </row>
    <row r="7" spans="2:11" ht="17.399999999999999">
      <c r="B7" s="41" t="s">
        <v>282</v>
      </c>
      <c r="C7" s="40"/>
      <c r="D7" s="40"/>
    </row>
    <row r="8" spans="2:11" ht="17.399999999999999">
      <c r="B8" s="41" t="s">
        <v>283</v>
      </c>
    </row>
    <row r="9" spans="2:11" ht="17.399999999999999">
      <c r="B9" s="40"/>
      <c r="C9" s="40"/>
      <c r="D9" s="40"/>
      <c r="E9" s="40"/>
      <c r="F9" s="40"/>
      <c r="G9" s="40"/>
      <c r="H9" s="40"/>
      <c r="I9" s="40"/>
      <c r="J9" s="40"/>
    </row>
    <row r="10" spans="2:11" ht="17.399999999999999">
      <c r="B10" s="40"/>
      <c r="C10" s="40"/>
      <c r="D10" s="40"/>
      <c r="E10" s="40"/>
      <c r="F10" s="40"/>
      <c r="G10" s="40"/>
      <c r="H10" s="42"/>
      <c r="I10" s="42"/>
      <c r="J10" s="40"/>
    </row>
    <row r="11" spans="2:11" ht="18" thickBot="1">
      <c r="B11" s="43" t="s">
        <v>284</v>
      </c>
      <c r="C11" s="44" t="s">
        <v>285</v>
      </c>
      <c r="D11" s="45" t="s">
        <v>286</v>
      </c>
      <c r="E11" s="46">
        <v>100</v>
      </c>
      <c r="F11" s="44" t="s">
        <v>49</v>
      </c>
      <c r="G11" s="47" t="s">
        <v>287</v>
      </c>
      <c r="H11" s="48"/>
      <c r="I11" s="48"/>
      <c r="J11" s="48"/>
      <c r="K11" s="49"/>
    </row>
    <row r="12" spans="2:11" ht="18" thickBot="1">
      <c r="C12" s="44" t="s">
        <v>288</v>
      </c>
      <c r="D12" s="45" t="s">
        <v>289</v>
      </c>
      <c r="E12" s="50">
        <f>Compresso!K9</f>
        <v>40</v>
      </c>
      <c r="F12" s="44" t="s">
        <v>49</v>
      </c>
      <c r="G12" s="40"/>
      <c r="H12" s="51"/>
      <c r="I12" s="51"/>
      <c r="J12" s="40"/>
    </row>
    <row r="13" spans="2:11" ht="18" thickBot="1">
      <c r="B13" s="40"/>
      <c r="C13" s="52" t="s">
        <v>290</v>
      </c>
      <c r="D13" s="53" t="s">
        <v>291</v>
      </c>
      <c r="E13" s="54">
        <f>Compresso!K24</f>
        <v>4530</v>
      </c>
      <c r="F13" s="52" t="s">
        <v>212</v>
      </c>
      <c r="G13" s="40"/>
      <c r="H13" s="42"/>
      <c r="I13" s="55"/>
      <c r="J13" s="40"/>
    </row>
    <row r="14" spans="2:11" ht="20.399999999999999" thickBot="1">
      <c r="B14" s="40"/>
      <c r="C14" s="52" t="s">
        <v>292</v>
      </c>
      <c r="D14" s="53" t="s">
        <v>293</v>
      </c>
      <c r="E14" s="56">
        <f>Compresso!K17</f>
        <v>26</v>
      </c>
      <c r="F14" s="52" t="s">
        <v>7</v>
      </c>
      <c r="G14" s="40"/>
      <c r="H14" s="42"/>
      <c r="I14" s="55"/>
      <c r="J14" s="40"/>
    </row>
    <row r="15" spans="2:11" ht="18" thickBot="1">
      <c r="B15" s="40"/>
      <c r="C15" s="52" t="s">
        <v>294</v>
      </c>
      <c r="D15" s="53" t="s">
        <v>295</v>
      </c>
      <c r="E15" s="57">
        <f>'3'!D2</f>
        <v>0</v>
      </c>
      <c r="F15" s="58" t="s">
        <v>5</v>
      </c>
      <c r="G15" s="40"/>
      <c r="H15" s="42"/>
      <c r="I15" s="55"/>
      <c r="J15" s="40"/>
    </row>
    <row r="16" spans="2:11" ht="17.399999999999999">
      <c r="B16" s="40"/>
      <c r="C16" s="59"/>
      <c r="D16" s="59"/>
      <c r="E16" s="60"/>
      <c r="F16" s="59"/>
      <c r="G16" s="40"/>
      <c r="H16" s="42"/>
      <c r="I16" s="55"/>
      <c r="J16" s="40"/>
    </row>
    <row r="17" spans="2:11" ht="19.8">
      <c r="B17" s="43" t="s">
        <v>296</v>
      </c>
      <c r="C17" s="44" t="s">
        <v>297</v>
      </c>
      <c r="D17" s="44" t="s">
        <v>298</v>
      </c>
      <c r="E17" s="61">
        <f>IF(E11&lt;100,0,IF(('C Daten'!$B$48*POWER('C Auswahl'!$E$15,2)+'C Daten'!$C$48*'C Auswahl'!$E$15+'C Daten'!D48)*POWER('C Auswahl'!$E$11,2)+('C Daten'!$E$48*POWER('C Auswahl'!$E$15,2)+'C Daten'!$F$48*'C Auswahl'!$E$15+'C Daten'!$G$48)*'C Auswahl'!$E$11+('C Daten'!$H$48*POWER('C Auswahl'!$E$15,2)+'C Daten'!$I$48*'C Auswahl'!$E$15+'C Daten'!$J$48)-1&lt;0,0,('C Daten'!$B$48*POWER('C Auswahl'!$E$15,2)+'C Daten'!$C$48*'C Auswahl'!$E$15+'C Daten'!D48)*POWER('C Auswahl'!$E$11,2)+('C Daten'!$E$48*POWER('C Auswahl'!$E$15,2)+'C Daten'!$F$48*'C Auswahl'!$E$15+'C Daten'!$G$48)*'C Auswahl'!$E$11+('C Daten'!$H$48*POWER('C Auswahl'!$E$15,2)+'C Daten'!$I$48*'C Auswahl'!$E$15+'C Daten'!$J$48)-1))</f>
        <v>2.8400000000000425E-2</v>
      </c>
      <c r="F17" s="44" t="s">
        <v>3</v>
      </c>
      <c r="G17" s="40"/>
      <c r="H17" s="40"/>
      <c r="I17" s="40"/>
      <c r="J17" s="40"/>
    </row>
    <row r="18" spans="2:11" ht="17.399999999999999">
      <c r="C18" s="62" t="s">
        <v>299</v>
      </c>
      <c r="D18" s="52" t="s">
        <v>300</v>
      </c>
      <c r="E18" s="63">
        <f>E14/10+0.3+E17</f>
        <v>2.9284000000000003</v>
      </c>
      <c r="F18" s="52" t="s">
        <v>3</v>
      </c>
      <c r="G18" s="47" t="s">
        <v>301</v>
      </c>
      <c r="H18" s="48"/>
      <c r="I18" s="48"/>
      <c r="J18" s="48"/>
      <c r="K18" s="49"/>
    </row>
    <row r="19" spans="2:11" s="67" customFormat="1" ht="17.399999999999999">
      <c r="B19" s="40"/>
      <c r="C19" s="52" t="s">
        <v>302</v>
      </c>
      <c r="D19" s="52" t="s">
        <v>157</v>
      </c>
      <c r="E19" s="63">
        <f>E20-0.1</f>
        <v>3.2284000000000002</v>
      </c>
      <c r="F19" s="52" t="s">
        <v>3</v>
      </c>
      <c r="G19" s="64" t="s">
        <v>303</v>
      </c>
      <c r="H19" s="65"/>
      <c r="I19" s="58"/>
      <c r="J19" s="58"/>
      <c r="K19" s="66"/>
    </row>
    <row r="20" spans="2:11" s="71" customFormat="1" ht="17.399999999999999">
      <c r="B20" s="40"/>
      <c r="C20" s="52" t="s">
        <v>304</v>
      </c>
      <c r="D20" s="68" t="s">
        <v>305</v>
      </c>
      <c r="E20" s="69">
        <f>E18+0.4</f>
        <v>3.3284000000000002</v>
      </c>
      <c r="F20" s="52" t="s">
        <v>3</v>
      </c>
      <c r="G20" s="64"/>
      <c r="H20" s="52"/>
      <c r="I20" s="58"/>
      <c r="J20" s="58"/>
      <c r="K20" s="70"/>
    </row>
    <row r="21" spans="2:11" s="67" customFormat="1" ht="17.399999999999999">
      <c r="B21" s="40"/>
      <c r="C21" s="52" t="s">
        <v>306</v>
      </c>
      <c r="D21" s="72" t="s">
        <v>307</v>
      </c>
      <c r="E21" s="73">
        <f>E20+0.1</f>
        <v>3.4284000000000003</v>
      </c>
      <c r="F21" s="58"/>
      <c r="G21" s="64" t="s">
        <v>303</v>
      </c>
      <c r="H21" s="58"/>
      <c r="I21" s="58"/>
      <c r="J21" s="58"/>
      <c r="K21" s="66"/>
    </row>
    <row r="22" spans="2:11" ht="19.8">
      <c r="B22" s="40"/>
      <c r="C22" s="52" t="s">
        <v>308</v>
      </c>
      <c r="D22" s="52" t="s">
        <v>309</v>
      </c>
      <c r="E22" s="74">
        <f>IF(0.0058*$E$12+ 0.094&lt;0.384,0.384,0.0058*$E$12+ 0.094)</f>
        <v>0.38400000000000001</v>
      </c>
      <c r="F22" s="52" t="s">
        <v>310</v>
      </c>
      <c r="G22" s="75"/>
      <c r="H22" s="75"/>
      <c r="I22" s="75"/>
      <c r="J22" s="75"/>
      <c r="K22" s="76"/>
    </row>
    <row r="23" spans="2:11" ht="19.8">
      <c r="B23" s="77"/>
      <c r="C23" s="52" t="s">
        <v>311</v>
      </c>
      <c r="D23" s="68" t="s">
        <v>312</v>
      </c>
      <c r="E23" s="78">
        <f>E22*E13</f>
        <v>1739.52</v>
      </c>
      <c r="F23" s="52" t="s">
        <v>313</v>
      </c>
      <c r="G23" s="59"/>
      <c r="H23" s="59"/>
      <c r="I23" s="59"/>
      <c r="J23" s="59"/>
      <c r="K23" s="79"/>
    </row>
    <row r="24" spans="2:11" ht="17.399999999999999">
      <c r="B24" s="77"/>
      <c r="C24" s="52" t="s">
        <v>314</v>
      </c>
      <c r="D24" s="52" t="s">
        <v>315</v>
      </c>
      <c r="E24" s="80">
        <f>E23*(E20+1)/1000</f>
        <v>7.5293383680000003</v>
      </c>
      <c r="F24" s="52" t="s">
        <v>316</v>
      </c>
      <c r="G24" s="59"/>
      <c r="H24" s="59"/>
      <c r="I24" s="59"/>
      <c r="J24" s="59"/>
      <c r="K24" s="79"/>
    </row>
  </sheetData>
  <pageMargins left="0.59055118110236227" right="0.59055118110236227" top="0.59055118110236227" bottom="0.59055118110236227" header="0.51181102362204722" footer="0.51181102362204722"/>
  <pageSetup paperSize="8" scale="73" orientation="landscape" r:id="rId1"/>
  <headerFooter alignWithMargins="0">
    <oddFooter>&amp;LProject:&amp;CProject number:&amp;RDate:xx.xx.xx Agent:</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dimension ref="A1:T52"/>
  <sheetViews>
    <sheetView topLeftCell="G1" workbookViewId="0">
      <selection activeCell="E16" sqref="E16"/>
    </sheetView>
  </sheetViews>
  <sheetFormatPr defaultColWidth="10" defaultRowHeight="13.2"/>
  <cols>
    <col min="1" max="1" width="19.69921875" style="39" customWidth="1"/>
    <col min="2" max="256" width="10" style="39"/>
    <col min="257" max="257" width="19.69921875" style="39" customWidth="1"/>
    <col min="258" max="512" width="10" style="39"/>
    <col min="513" max="513" width="19.69921875" style="39" customWidth="1"/>
    <col min="514" max="768" width="10" style="39"/>
    <col min="769" max="769" width="19.69921875" style="39" customWidth="1"/>
    <col min="770" max="1024" width="10" style="39"/>
    <col min="1025" max="1025" width="19.69921875" style="39" customWidth="1"/>
    <col min="1026" max="1280" width="10" style="39"/>
    <col min="1281" max="1281" width="19.69921875" style="39" customWidth="1"/>
    <col min="1282" max="1536" width="10" style="39"/>
    <col min="1537" max="1537" width="19.69921875" style="39" customWidth="1"/>
    <col min="1538" max="1792" width="10" style="39"/>
    <col min="1793" max="1793" width="19.69921875" style="39" customWidth="1"/>
    <col min="1794" max="2048" width="10" style="39"/>
    <col min="2049" max="2049" width="19.69921875" style="39" customWidth="1"/>
    <col min="2050" max="2304" width="10" style="39"/>
    <col min="2305" max="2305" width="19.69921875" style="39" customWidth="1"/>
    <col min="2306" max="2560" width="10" style="39"/>
    <col min="2561" max="2561" width="19.69921875" style="39" customWidth="1"/>
    <col min="2562" max="2816" width="10" style="39"/>
    <col min="2817" max="2817" width="19.69921875" style="39" customWidth="1"/>
    <col min="2818" max="3072" width="10" style="39"/>
    <col min="3073" max="3073" width="19.69921875" style="39" customWidth="1"/>
    <col min="3074" max="3328" width="10" style="39"/>
    <col min="3329" max="3329" width="19.69921875" style="39" customWidth="1"/>
    <col min="3330" max="3584" width="10" style="39"/>
    <col min="3585" max="3585" width="19.69921875" style="39" customWidth="1"/>
    <col min="3586" max="3840" width="10" style="39"/>
    <col min="3841" max="3841" width="19.69921875" style="39" customWidth="1"/>
    <col min="3842" max="4096" width="10" style="39"/>
    <col min="4097" max="4097" width="19.69921875" style="39" customWidth="1"/>
    <col min="4098" max="4352" width="10" style="39"/>
    <col min="4353" max="4353" width="19.69921875" style="39" customWidth="1"/>
    <col min="4354" max="4608" width="10" style="39"/>
    <col min="4609" max="4609" width="19.69921875" style="39" customWidth="1"/>
    <col min="4610" max="4864" width="10" style="39"/>
    <col min="4865" max="4865" width="19.69921875" style="39" customWidth="1"/>
    <col min="4866" max="5120" width="10" style="39"/>
    <col min="5121" max="5121" width="19.69921875" style="39" customWidth="1"/>
    <col min="5122" max="5376" width="10" style="39"/>
    <col min="5377" max="5377" width="19.69921875" style="39" customWidth="1"/>
    <col min="5378" max="5632" width="10" style="39"/>
    <col min="5633" max="5633" width="19.69921875" style="39" customWidth="1"/>
    <col min="5634" max="5888" width="10" style="39"/>
    <col min="5889" max="5889" width="19.69921875" style="39" customWidth="1"/>
    <col min="5890" max="6144" width="10" style="39"/>
    <col min="6145" max="6145" width="19.69921875" style="39" customWidth="1"/>
    <col min="6146" max="6400" width="10" style="39"/>
    <col min="6401" max="6401" width="19.69921875" style="39" customWidth="1"/>
    <col min="6402" max="6656" width="10" style="39"/>
    <col min="6657" max="6657" width="19.69921875" style="39" customWidth="1"/>
    <col min="6658" max="6912" width="10" style="39"/>
    <col min="6913" max="6913" width="19.69921875" style="39" customWidth="1"/>
    <col min="6914" max="7168" width="10" style="39"/>
    <col min="7169" max="7169" width="19.69921875" style="39" customWidth="1"/>
    <col min="7170" max="7424" width="10" style="39"/>
    <col min="7425" max="7425" width="19.69921875" style="39" customWidth="1"/>
    <col min="7426" max="7680" width="10" style="39"/>
    <col min="7681" max="7681" width="19.69921875" style="39" customWidth="1"/>
    <col min="7682" max="7936" width="10" style="39"/>
    <col min="7937" max="7937" width="19.69921875" style="39" customWidth="1"/>
    <col min="7938" max="8192" width="10" style="39"/>
    <col min="8193" max="8193" width="19.69921875" style="39" customWidth="1"/>
    <col min="8194" max="8448" width="10" style="39"/>
    <col min="8449" max="8449" width="19.69921875" style="39" customWidth="1"/>
    <col min="8450" max="8704" width="10" style="39"/>
    <col min="8705" max="8705" width="19.69921875" style="39" customWidth="1"/>
    <col min="8706" max="8960" width="10" style="39"/>
    <col min="8961" max="8961" width="19.69921875" style="39" customWidth="1"/>
    <col min="8962" max="9216" width="10" style="39"/>
    <col min="9217" max="9217" width="19.69921875" style="39" customWidth="1"/>
    <col min="9218" max="9472" width="10" style="39"/>
    <col min="9473" max="9473" width="19.69921875" style="39" customWidth="1"/>
    <col min="9474" max="9728" width="10" style="39"/>
    <col min="9729" max="9729" width="19.69921875" style="39" customWidth="1"/>
    <col min="9730" max="9984" width="10" style="39"/>
    <col min="9985" max="9985" width="19.69921875" style="39" customWidth="1"/>
    <col min="9986" max="10240" width="10" style="39"/>
    <col min="10241" max="10241" width="19.69921875" style="39" customWidth="1"/>
    <col min="10242" max="10496" width="10" style="39"/>
    <col min="10497" max="10497" width="19.69921875" style="39" customWidth="1"/>
    <col min="10498" max="10752" width="10" style="39"/>
    <col min="10753" max="10753" width="19.69921875" style="39" customWidth="1"/>
    <col min="10754" max="11008" width="10" style="39"/>
    <col min="11009" max="11009" width="19.69921875" style="39" customWidth="1"/>
    <col min="11010" max="11264" width="10" style="39"/>
    <col min="11265" max="11265" width="19.69921875" style="39" customWidth="1"/>
    <col min="11266" max="11520" width="10" style="39"/>
    <col min="11521" max="11521" width="19.69921875" style="39" customWidth="1"/>
    <col min="11522" max="11776" width="10" style="39"/>
    <col min="11777" max="11777" width="19.69921875" style="39" customWidth="1"/>
    <col min="11778" max="12032" width="10" style="39"/>
    <col min="12033" max="12033" width="19.69921875" style="39" customWidth="1"/>
    <col min="12034" max="12288" width="10" style="39"/>
    <col min="12289" max="12289" width="19.69921875" style="39" customWidth="1"/>
    <col min="12290" max="12544" width="10" style="39"/>
    <col min="12545" max="12545" width="19.69921875" style="39" customWidth="1"/>
    <col min="12546" max="12800" width="10" style="39"/>
    <col min="12801" max="12801" width="19.69921875" style="39" customWidth="1"/>
    <col min="12802" max="13056" width="10" style="39"/>
    <col min="13057" max="13057" width="19.69921875" style="39" customWidth="1"/>
    <col min="13058" max="13312" width="10" style="39"/>
    <col min="13313" max="13313" width="19.69921875" style="39" customWidth="1"/>
    <col min="13314" max="13568" width="10" style="39"/>
    <col min="13569" max="13569" width="19.69921875" style="39" customWidth="1"/>
    <col min="13570" max="13824" width="10" style="39"/>
    <col min="13825" max="13825" width="19.69921875" style="39" customWidth="1"/>
    <col min="13826" max="14080" width="10" style="39"/>
    <col min="14081" max="14081" width="19.69921875" style="39" customWidth="1"/>
    <col min="14082" max="14336" width="10" style="39"/>
    <col min="14337" max="14337" width="19.69921875" style="39" customWidth="1"/>
    <col min="14338" max="14592" width="10" style="39"/>
    <col min="14593" max="14593" width="19.69921875" style="39" customWidth="1"/>
    <col min="14594" max="14848" width="10" style="39"/>
    <col min="14849" max="14849" width="19.69921875" style="39" customWidth="1"/>
    <col min="14850" max="15104" width="10" style="39"/>
    <col min="15105" max="15105" width="19.69921875" style="39" customWidth="1"/>
    <col min="15106" max="15360" width="10" style="39"/>
    <col min="15361" max="15361" width="19.69921875" style="39" customWidth="1"/>
    <col min="15362" max="15616" width="10" style="39"/>
    <col min="15617" max="15617" width="19.69921875" style="39" customWidth="1"/>
    <col min="15618" max="15872" width="10" style="39"/>
    <col min="15873" max="15873" width="19.69921875" style="39" customWidth="1"/>
    <col min="15874" max="16128" width="10" style="39"/>
    <col min="16129" max="16129" width="19.69921875" style="39" customWidth="1"/>
    <col min="16130" max="16384" width="10" style="39"/>
  </cols>
  <sheetData>
    <row r="1" spans="1:15" ht="17.399999999999999">
      <c r="A1" s="81" t="s">
        <v>280</v>
      </c>
    </row>
    <row r="2" spans="1:15" ht="15">
      <c r="A2" s="82" t="s">
        <v>317</v>
      </c>
    </row>
    <row r="3" spans="1:15" ht="15">
      <c r="A3" s="82"/>
    </row>
    <row r="4" spans="1:15" ht="15.6">
      <c r="A4" s="83" t="s">
        <v>318</v>
      </c>
    </row>
    <row r="5" spans="1:15" ht="15.6">
      <c r="A5" s="83" t="s">
        <v>319</v>
      </c>
    </row>
    <row r="6" spans="1:15" ht="15.6">
      <c r="A6" s="83"/>
    </row>
    <row r="7" spans="1:15">
      <c r="A7" s="84" t="s">
        <v>320</v>
      </c>
    </row>
    <row r="8" spans="1:15" ht="15.6">
      <c r="A8" s="83"/>
    </row>
    <row r="9" spans="1:15" ht="15.6">
      <c r="A9" s="83"/>
    </row>
    <row r="10" spans="1:15" ht="15.6">
      <c r="A10" s="83"/>
    </row>
    <row r="11" spans="1:15" ht="15.6">
      <c r="A11" s="83"/>
    </row>
    <row r="12" spans="1:15" ht="15.6">
      <c r="A12" s="83"/>
    </row>
    <row r="13" spans="1:15" ht="15.6">
      <c r="A13" s="83"/>
    </row>
    <row r="14" spans="1:15">
      <c r="A14" s="79" t="s">
        <v>321</v>
      </c>
      <c r="B14" s="85" t="s">
        <v>322</v>
      </c>
      <c r="C14" s="79"/>
      <c r="D14" s="79"/>
      <c r="E14" s="79"/>
      <c r="F14" s="79"/>
      <c r="G14" s="79"/>
      <c r="H14" s="79"/>
      <c r="I14" s="79"/>
      <c r="J14" s="79"/>
      <c r="K14" s="79"/>
      <c r="L14" s="79"/>
      <c r="M14" s="79"/>
      <c r="N14" s="79"/>
      <c r="O14" s="79"/>
    </row>
    <row r="15" spans="1:15">
      <c r="A15" s="79"/>
      <c r="B15" s="85" t="s">
        <v>323</v>
      </c>
      <c r="C15" s="79"/>
      <c r="D15" s="79"/>
      <c r="E15" s="79"/>
      <c r="F15" s="79"/>
      <c r="G15" s="79"/>
      <c r="H15" s="79"/>
      <c r="I15" s="79"/>
      <c r="J15" s="79"/>
      <c r="K15" s="79"/>
      <c r="L15" s="79"/>
      <c r="M15" s="79"/>
      <c r="N15" s="79"/>
      <c r="O15" s="79"/>
    </row>
    <row r="16" spans="1:15">
      <c r="A16" s="86"/>
      <c r="B16" s="86"/>
      <c r="C16" s="86"/>
      <c r="D16" s="86"/>
      <c r="E16" s="86"/>
      <c r="F16" s="86"/>
      <c r="G16" s="86"/>
      <c r="H16" s="86"/>
      <c r="I16" s="86"/>
      <c r="J16" s="86"/>
      <c r="K16" s="86"/>
      <c r="L16" s="86"/>
      <c r="M16" s="86"/>
      <c r="N16" s="86"/>
      <c r="O16" s="86"/>
    </row>
    <row r="17" spans="1:20">
      <c r="A17" s="87"/>
      <c r="B17" s="87" t="s">
        <v>324</v>
      </c>
      <c r="C17" s="87">
        <v>0</v>
      </c>
      <c r="D17" s="87">
        <v>458</v>
      </c>
      <c r="E17" s="87">
        <v>458</v>
      </c>
      <c r="F17" s="87">
        <v>500</v>
      </c>
      <c r="G17" s="87">
        <v>600</v>
      </c>
      <c r="H17" s="87">
        <v>700</v>
      </c>
      <c r="I17" s="87">
        <v>800</v>
      </c>
      <c r="J17" s="87">
        <v>900</v>
      </c>
      <c r="K17" s="87">
        <v>1000</v>
      </c>
      <c r="L17" s="87">
        <v>1200</v>
      </c>
      <c r="M17" s="87">
        <v>1400</v>
      </c>
      <c r="N17" s="87">
        <v>1600</v>
      </c>
      <c r="O17" s="87">
        <v>1800</v>
      </c>
      <c r="P17" s="71">
        <v>2000</v>
      </c>
      <c r="Q17" s="71">
        <v>2215</v>
      </c>
      <c r="R17" s="71">
        <v>2215</v>
      </c>
      <c r="S17" s="71">
        <v>2215</v>
      </c>
    </row>
    <row r="18" spans="1:20">
      <c r="A18" s="86"/>
      <c r="B18" s="86" t="s">
        <v>305</v>
      </c>
      <c r="C18" s="86">
        <v>5.4</v>
      </c>
      <c r="D18" s="86">
        <v>5.4</v>
      </c>
      <c r="E18" s="86">
        <f>1140*E17^(-0.87)-(E17/1000)^2/3.5^2-0.5+0.4</f>
        <v>5.4030392004431844</v>
      </c>
      <c r="F18" s="86">
        <f t="shared" ref="F18:O18" si="0">1140*F17^(-0.87)-(F17/1000)^2/3.5^2-0.5+0.4</f>
        <v>4.9940655116848935</v>
      </c>
      <c r="G18" s="86">
        <f t="shared" si="0"/>
        <v>4.2348988529379925</v>
      </c>
      <c r="H18" s="86">
        <f t="shared" si="0"/>
        <v>3.6765376982160043</v>
      </c>
      <c r="I18" s="86">
        <f t="shared" si="0"/>
        <v>3.245701805058856</v>
      </c>
      <c r="J18" s="86">
        <f t="shared" si="0"/>
        <v>2.9008782017283115</v>
      </c>
      <c r="K18" s="86">
        <f t="shared" si="0"/>
        <v>2.6167355108197099</v>
      </c>
      <c r="L18" s="86">
        <f t="shared" si="0"/>
        <v>2.1703546524292392</v>
      </c>
      <c r="M18" s="86">
        <f t="shared" si="0"/>
        <v>1.8282065818909672</v>
      </c>
      <c r="N18" s="86">
        <f t="shared" si="0"/>
        <v>1.5501962453294338</v>
      </c>
      <c r="O18" s="86">
        <f t="shared" si="0"/>
        <v>1.3136099509977561</v>
      </c>
      <c r="P18" s="86">
        <f>1140*P17^(-0.87)-(P17/1000)^2/3.5^2-0.5+0.4</f>
        <v>1.1045877155268458</v>
      </c>
      <c r="Q18" s="86">
        <f>1140*Q17^(-0.87)-(Q17/1000)^2/3.5^2-0.5+0.4</f>
        <v>0.9004646439763041</v>
      </c>
      <c r="R18" s="86">
        <f>1140*R17^(-0.87)-(R17/1000)^2/3.5^2-0.5+0.4</f>
        <v>0.9004646439763041</v>
      </c>
      <c r="S18" s="67">
        <v>0</v>
      </c>
    </row>
    <row r="19" spans="1:20">
      <c r="A19" s="79"/>
      <c r="B19" s="79"/>
      <c r="C19" s="79"/>
      <c r="D19" s="79"/>
      <c r="E19" s="79"/>
      <c r="F19" s="79"/>
      <c r="G19" s="79"/>
      <c r="H19" s="79"/>
      <c r="I19" s="79"/>
      <c r="J19" s="79"/>
      <c r="K19" s="79"/>
      <c r="L19" s="79"/>
      <c r="M19" s="79"/>
      <c r="N19" s="79"/>
      <c r="O19" s="79"/>
    </row>
    <row r="20" spans="1:20" s="89" customFormat="1">
      <c r="A20" s="88" t="s">
        <v>325</v>
      </c>
      <c r="B20" s="85" t="s">
        <v>326</v>
      </c>
      <c r="C20" s="88"/>
      <c r="D20" s="88"/>
      <c r="E20" s="88"/>
      <c r="F20" s="88"/>
      <c r="G20" s="88"/>
      <c r="H20" s="88"/>
      <c r="I20" s="88"/>
      <c r="J20" s="88"/>
      <c r="K20" s="88"/>
      <c r="L20" s="88"/>
      <c r="M20" s="88"/>
      <c r="N20" s="88"/>
      <c r="O20" s="88"/>
    </row>
    <row r="21" spans="1:20">
      <c r="A21" s="79"/>
      <c r="B21" s="85" t="s">
        <v>327</v>
      </c>
      <c r="C21" s="79"/>
      <c r="D21" s="79"/>
      <c r="E21" s="79"/>
      <c r="F21" s="79"/>
      <c r="G21" s="79"/>
      <c r="H21" s="79"/>
      <c r="I21" s="79"/>
      <c r="J21" s="79"/>
      <c r="K21" s="79"/>
      <c r="L21" s="79"/>
      <c r="M21" s="79"/>
      <c r="N21" s="79"/>
      <c r="O21" s="79"/>
    </row>
    <row r="22" spans="1:20">
      <c r="A22" s="79"/>
      <c r="B22" s="79"/>
      <c r="C22" s="79"/>
      <c r="D22" s="79"/>
      <c r="E22" s="79"/>
      <c r="F22" s="79"/>
      <c r="G22" s="79"/>
      <c r="H22" s="79"/>
      <c r="I22" s="79"/>
      <c r="J22" s="79"/>
      <c r="K22" s="79"/>
      <c r="L22" s="79"/>
      <c r="M22" s="79"/>
      <c r="N22" s="79"/>
      <c r="O22" s="79"/>
    </row>
    <row r="23" spans="1:20">
      <c r="A23" s="79"/>
      <c r="B23" s="87" t="s">
        <v>324</v>
      </c>
      <c r="C23" s="79">
        <v>0</v>
      </c>
      <c r="D23" s="79">
        <v>925</v>
      </c>
      <c r="E23" s="79">
        <v>925</v>
      </c>
      <c r="F23" s="79">
        <v>1500</v>
      </c>
      <c r="G23" s="79">
        <v>2000</v>
      </c>
      <c r="H23" s="79">
        <v>2500</v>
      </c>
      <c r="I23" s="79">
        <v>3000</v>
      </c>
      <c r="J23" s="79">
        <v>3500</v>
      </c>
      <c r="K23" s="79">
        <v>4000</v>
      </c>
      <c r="L23" s="79">
        <v>4455</v>
      </c>
      <c r="M23" s="79">
        <v>4455</v>
      </c>
      <c r="N23" s="79">
        <v>4455</v>
      </c>
      <c r="O23" s="79"/>
    </row>
    <row r="24" spans="1:20" s="67" customFormat="1">
      <c r="A24" s="86"/>
      <c r="B24" s="86" t="s">
        <v>305</v>
      </c>
      <c r="C24" s="86">
        <v>5.4</v>
      </c>
      <c r="D24" s="86">
        <v>5.4</v>
      </c>
      <c r="E24" s="90">
        <f>2100*E23^(-0.87)-(E23/1000)^2/7^2-0.5+0.4</f>
        <v>5.3991953270272477</v>
      </c>
      <c r="F24" s="90">
        <f t="shared" ref="F24:M24" si="1">2100*F23^(-0.87)-(F23/1000)^2/7^2-0.5+0.4</f>
        <v>3.4766776002170645</v>
      </c>
      <c r="G24" s="90">
        <f t="shared" si="1"/>
        <v>2.6388484770446188</v>
      </c>
      <c r="H24" s="90">
        <f t="shared" si="1"/>
        <v>2.0952472136856253</v>
      </c>
      <c r="I24" s="90">
        <f t="shared" si="1"/>
        <v>1.6984185053711678</v>
      </c>
      <c r="J24" s="90">
        <f t="shared" si="1"/>
        <v>1.3833253799287228</v>
      </c>
      <c r="K24" s="90">
        <f t="shared" si="1"/>
        <v>1.1166867553549005</v>
      </c>
      <c r="L24" s="90">
        <f t="shared" si="1"/>
        <v>0.90010576388633889</v>
      </c>
      <c r="M24" s="90">
        <f t="shared" si="1"/>
        <v>0.90010576388633889</v>
      </c>
      <c r="N24" s="86">
        <v>0</v>
      </c>
      <c r="O24" s="86"/>
    </row>
    <row r="25" spans="1:20">
      <c r="A25" s="79"/>
      <c r="B25" s="79"/>
      <c r="C25" s="79"/>
      <c r="D25" s="79"/>
      <c r="E25" s="79"/>
      <c r="F25" s="79"/>
      <c r="G25" s="79"/>
      <c r="H25" s="79"/>
      <c r="I25" s="79"/>
      <c r="J25" s="79"/>
      <c r="K25" s="79"/>
      <c r="L25" s="79"/>
      <c r="M25" s="79"/>
      <c r="N25" s="79"/>
      <c r="O25" s="79"/>
    </row>
    <row r="26" spans="1:20">
      <c r="A26" s="91" t="s">
        <v>328</v>
      </c>
      <c r="B26" s="85" t="s">
        <v>329</v>
      </c>
      <c r="C26" s="79"/>
      <c r="D26" s="79"/>
      <c r="E26" s="79"/>
      <c r="F26" s="79"/>
      <c r="G26" s="79"/>
      <c r="H26" s="79"/>
      <c r="I26" s="79"/>
      <c r="J26" s="79"/>
      <c r="K26" s="79"/>
      <c r="L26" s="79"/>
      <c r="M26" s="79"/>
      <c r="N26" s="79"/>
      <c r="O26" s="79"/>
    </row>
    <row r="27" spans="1:20">
      <c r="A27" s="79"/>
      <c r="B27" s="85" t="s">
        <v>330</v>
      </c>
      <c r="C27" s="79"/>
      <c r="D27" s="79"/>
      <c r="E27" s="79"/>
      <c r="F27" s="79"/>
      <c r="G27" s="79"/>
      <c r="H27" s="79"/>
      <c r="I27" s="79"/>
      <c r="J27" s="79"/>
      <c r="K27" s="79"/>
      <c r="L27" s="79"/>
      <c r="M27" s="79"/>
      <c r="N27" s="79"/>
      <c r="O27" s="79"/>
    </row>
    <row r="28" spans="1:20">
      <c r="A28" s="79"/>
      <c r="B28" s="79"/>
      <c r="C28" s="79"/>
      <c r="D28" s="79"/>
      <c r="E28" s="79"/>
      <c r="F28" s="79"/>
      <c r="G28" s="79"/>
      <c r="H28" s="79"/>
      <c r="I28" s="79"/>
      <c r="J28" s="79"/>
      <c r="K28" s="79"/>
      <c r="L28" s="79"/>
      <c r="M28" s="79"/>
      <c r="N28" s="79"/>
      <c r="O28" s="79"/>
    </row>
    <row r="29" spans="1:20">
      <c r="A29" s="79"/>
      <c r="B29" s="87" t="s">
        <v>324</v>
      </c>
      <c r="C29" s="87">
        <v>0</v>
      </c>
      <c r="D29" s="87">
        <v>719.5</v>
      </c>
      <c r="E29" s="87">
        <v>719.5</v>
      </c>
      <c r="F29" s="87">
        <v>1000</v>
      </c>
      <c r="G29" s="87">
        <v>2000</v>
      </c>
      <c r="H29" s="87">
        <v>3000</v>
      </c>
      <c r="I29" s="87">
        <v>4000</v>
      </c>
      <c r="J29" s="87">
        <v>4280</v>
      </c>
      <c r="K29" s="87">
        <v>4280</v>
      </c>
      <c r="L29" s="87">
        <v>4280</v>
      </c>
      <c r="M29" s="87">
        <v>4280</v>
      </c>
      <c r="N29" s="87">
        <v>4280</v>
      </c>
      <c r="O29" s="87">
        <v>4280</v>
      </c>
      <c r="P29" s="87">
        <v>4280</v>
      </c>
      <c r="Q29" s="87">
        <v>4280</v>
      </c>
      <c r="R29" s="87">
        <v>4280</v>
      </c>
      <c r="S29" s="87">
        <v>4280</v>
      </c>
      <c r="T29" s="92">
        <v>4280</v>
      </c>
    </row>
    <row r="30" spans="1:20">
      <c r="A30" s="79"/>
      <c r="B30" s="86" t="s">
        <v>305</v>
      </c>
      <c r="C30" s="86">
        <v>9</v>
      </c>
      <c r="D30" s="86">
        <v>9</v>
      </c>
      <c r="E30" s="86">
        <f>3050*E29^(-0.884)-0.00006*E29-(E29/1000)^1.5/3.5^2</f>
        <v>8.9995365672910204</v>
      </c>
      <c r="F30" s="86">
        <f t="shared" ref="F30:S30" si="2">3050*F29^(-0.884)-0.00006*F29-(F29/1000)^1.5/3.5^2</f>
        <v>6.6550945522132015</v>
      </c>
      <c r="G30" s="86">
        <f t="shared" si="2"/>
        <v>3.3320028707747618</v>
      </c>
      <c r="H30" s="86">
        <f t="shared" si="2"/>
        <v>1.9693271220724888</v>
      </c>
      <c r="I30" s="86">
        <f t="shared" si="2"/>
        <v>1.102563183337222</v>
      </c>
      <c r="J30" s="86">
        <f t="shared" si="2"/>
        <v>0.90014594193165143</v>
      </c>
      <c r="K30" s="86">
        <f t="shared" si="2"/>
        <v>0.90014594193165143</v>
      </c>
      <c r="L30" s="86">
        <f t="shared" si="2"/>
        <v>0.90014594193165143</v>
      </c>
      <c r="M30" s="86">
        <f t="shared" si="2"/>
        <v>0.90014594193165143</v>
      </c>
      <c r="N30" s="86">
        <f t="shared" si="2"/>
        <v>0.90014594193165143</v>
      </c>
      <c r="O30" s="86">
        <f t="shared" si="2"/>
        <v>0.90014594193165143</v>
      </c>
      <c r="P30" s="86">
        <f t="shared" si="2"/>
        <v>0.90014594193165143</v>
      </c>
      <c r="Q30" s="86">
        <f t="shared" si="2"/>
        <v>0.90014594193165143</v>
      </c>
      <c r="R30" s="86">
        <f t="shared" si="2"/>
        <v>0.90014594193165143</v>
      </c>
      <c r="S30" s="86">
        <f t="shared" si="2"/>
        <v>0.90014594193165143</v>
      </c>
      <c r="T30" s="39">
        <v>0</v>
      </c>
    </row>
    <row r="31" spans="1:20">
      <c r="A31" s="79"/>
      <c r="B31" s="79"/>
      <c r="C31" s="79"/>
      <c r="D31" s="79"/>
      <c r="E31" s="79"/>
      <c r="F31" s="79"/>
      <c r="G31" s="79"/>
      <c r="H31" s="79"/>
      <c r="I31" s="79"/>
      <c r="J31" s="79"/>
      <c r="K31" s="79"/>
      <c r="L31" s="79"/>
      <c r="M31" s="79"/>
      <c r="N31" s="79"/>
      <c r="O31" s="79"/>
    </row>
    <row r="32" spans="1:20">
      <c r="A32" s="91" t="s">
        <v>331</v>
      </c>
      <c r="B32" s="85" t="s">
        <v>332</v>
      </c>
      <c r="C32" s="79"/>
      <c r="D32" s="79"/>
      <c r="E32" s="79"/>
      <c r="F32" s="79"/>
      <c r="G32" s="79"/>
      <c r="H32" s="79"/>
      <c r="I32" s="79"/>
      <c r="J32" s="79"/>
      <c r="K32" s="79"/>
      <c r="L32" s="79"/>
      <c r="M32" s="79"/>
      <c r="N32" s="79"/>
      <c r="O32" s="79"/>
    </row>
    <row r="33" spans="1:20">
      <c r="A33" s="79"/>
      <c r="B33" s="85" t="s">
        <v>333</v>
      </c>
      <c r="C33" s="79"/>
      <c r="D33" s="79"/>
      <c r="E33" s="79"/>
      <c r="F33" s="79"/>
      <c r="G33" s="79"/>
      <c r="H33" s="79"/>
      <c r="I33" s="79"/>
      <c r="J33" s="79"/>
      <c r="K33" s="79"/>
      <c r="L33" s="79"/>
      <c r="M33" s="79"/>
      <c r="N33" s="79"/>
      <c r="O33" s="79"/>
    </row>
    <row r="34" spans="1:20">
      <c r="A34" s="79"/>
      <c r="B34" s="79"/>
      <c r="C34" s="79"/>
      <c r="D34" s="79"/>
      <c r="E34" s="79"/>
      <c r="F34" s="79"/>
      <c r="G34" s="79"/>
      <c r="H34" s="79"/>
      <c r="I34" s="79"/>
      <c r="J34" s="79"/>
      <c r="K34" s="79"/>
      <c r="L34" s="79"/>
      <c r="M34" s="79"/>
      <c r="N34" s="79"/>
      <c r="O34" s="79"/>
    </row>
    <row r="35" spans="1:20">
      <c r="A35" s="79"/>
      <c r="B35" s="87" t="s">
        <v>324</v>
      </c>
      <c r="C35" s="87">
        <v>0</v>
      </c>
      <c r="D35" s="87">
        <v>1397</v>
      </c>
      <c r="E35" s="87">
        <v>1397</v>
      </c>
      <c r="F35" s="87">
        <v>1397</v>
      </c>
      <c r="G35" s="87">
        <v>2000</v>
      </c>
      <c r="H35" s="87">
        <v>3000</v>
      </c>
      <c r="I35" s="87">
        <v>4000</v>
      </c>
      <c r="J35" s="87">
        <v>5000</v>
      </c>
      <c r="K35" s="87">
        <v>6000</v>
      </c>
      <c r="L35" s="87">
        <v>7000</v>
      </c>
      <c r="M35" s="87">
        <v>8000</v>
      </c>
      <c r="N35" s="87">
        <v>8300</v>
      </c>
      <c r="O35" s="87">
        <v>8300</v>
      </c>
      <c r="P35" s="87">
        <v>8300</v>
      </c>
      <c r="Q35" s="87">
        <v>8300</v>
      </c>
      <c r="R35" s="87">
        <v>8300</v>
      </c>
      <c r="S35" s="87">
        <v>8300</v>
      </c>
      <c r="T35" s="92">
        <v>8300</v>
      </c>
    </row>
    <row r="36" spans="1:20">
      <c r="A36" s="79"/>
      <c r="B36" s="86" t="s">
        <v>305</v>
      </c>
      <c r="C36" s="86">
        <v>9</v>
      </c>
      <c r="D36" s="86">
        <v>9</v>
      </c>
      <c r="E36" s="86">
        <f>5500*E35^(-0.884)-0.00006*E35-(E35/1000)^1.5/7^2</f>
        <v>9.0027812245088334</v>
      </c>
      <c r="F36" s="86">
        <f t="shared" ref="F36:S36" si="3">5500*F35^(-0.884)-0.00006*F35-(F35/1000)^1.5/7^2</f>
        <v>9.0027812245088334</v>
      </c>
      <c r="G36" s="86">
        <f t="shared" si="3"/>
        <v>6.4635628483622529</v>
      </c>
      <c r="H36" s="86">
        <f t="shared" si="3"/>
        <v>4.3546988812902407</v>
      </c>
      <c r="I36" s="86">
        <f t="shared" si="3"/>
        <v>3.1954016588115177</v>
      </c>
      <c r="J36" s="86">
        <f t="shared" si="3"/>
        <v>2.4262564040426504</v>
      </c>
      <c r="K36" s="86">
        <f t="shared" si="3"/>
        <v>1.854709223868436</v>
      </c>
      <c r="L36" s="86">
        <f t="shared" si="3"/>
        <v>1.3963356230479469</v>
      </c>
      <c r="M36" s="86">
        <f t="shared" si="3"/>
        <v>1.0082003975959906</v>
      </c>
      <c r="N36" s="86">
        <f t="shared" si="3"/>
        <v>0.90154509529413729</v>
      </c>
      <c r="O36" s="86">
        <f t="shared" si="3"/>
        <v>0.90154509529413729</v>
      </c>
      <c r="P36" s="86">
        <f t="shared" si="3"/>
        <v>0.90154509529413729</v>
      </c>
      <c r="Q36" s="86">
        <f t="shared" si="3"/>
        <v>0.90154509529413729</v>
      </c>
      <c r="R36" s="86">
        <f t="shared" si="3"/>
        <v>0.90154509529413729</v>
      </c>
      <c r="S36" s="86">
        <f t="shared" si="3"/>
        <v>0.90154509529413729</v>
      </c>
      <c r="T36" s="39">
        <v>0</v>
      </c>
    </row>
    <row r="37" spans="1:20">
      <c r="A37" s="79"/>
      <c r="B37" s="79"/>
      <c r="C37" s="79"/>
      <c r="D37" s="79"/>
      <c r="E37" s="79"/>
      <c r="F37" s="79"/>
      <c r="G37" s="79"/>
      <c r="H37" s="79"/>
      <c r="I37" s="79"/>
      <c r="J37" s="79"/>
      <c r="K37" s="79"/>
      <c r="L37" s="79"/>
      <c r="M37" s="79"/>
      <c r="N37" s="79"/>
      <c r="O37" s="79"/>
    </row>
    <row r="38" spans="1:20">
      <c r="A38" s="79" t="s">
        <v>334</v>
      </c>
      <c r="B38" s="85" t="s">
        <v>335</v>
      </c>
      <c r="C38" s="79"/>
      <c r="D38" s="79"/>
      <c r="E38" s="79"/>
      <c r="F38" s="79"/>
      <c r="G38" s="79"/>
      <c r="H38" s="79"/>
      <c r="I38" s="79"/>
      <c r="J38" s="79"/>
      <c r="K38" s="79"/>
      <c r="L38" s="79"/>
      <c r="M38" s="79"/>
      <c r="N38" s="79"/>
      <c r="O38" s="79"/>
    </row>
    <row r="39" spans="1:20">
      <c r="A39" s="79"/>
      <c r="B39" s="85" t="s">
        <v>336</v>
      </c>
      <c r="C39" s="79"/>
      <c r="D39" s="79"/>
      <c r="E39" s="79"/>
      <c r="F39" s="79"/>
      <c r="G39" s="79"/>
      <c r="H39" s="79"/>
      <c r="I39" s="79"/>
      <c r="J39" s="79"/>
      <c r="K39" s="79"/>
      <c r="L39" s="79"/>
      <c r="M39" s="79"/>
      <c r="N39" s="79"/>
      <c r="O39" s="79"/>
    </row>
    <row r="40" spans="1:20">
      <c r="A40" s="86"/>
      <c r="B40" s="86"/>
      <c r="C40" s="86"/>
      <c r="D40" s="86"/>
      <c r="E40" s="86"/>
      <c r="F40" s="86"/>
      <c r="G40" s="86"/>
      <c r="H40" s="86"/>
      <c r="I40" s="86"/>
      <c r="J40" s="86"/>
      <c r="K40" s="86"/>
      <c r="L40" s="86"/>
      <c r="M40" s="86"/>
      <c r="N40" s="86"/>
      <c r="O40" s="86"/>
    </row>
    <row r="41" spans="1:20">
      <c r="A41" s="87"/>
      <c r="B41" s="87" t="s">
        <v>324</v>
      </c>
      <c r="C41" s="87">
        <v>0</v>
      </c>
      <c r="D41" s="87">
        <v>575</v>
      </c>
      <c r="E41" s="87">
        <v>575</v>
      </c>
      <c r="F41" s="87">
        <v>575</v>
      </c>
      <c r="G41" s="87">
        <v>600</v>
      </c>
      <c r="H41" s="87">
        <v>700</v>
      </c>
      <c r="I41" s="87">
        <v>800</v>
      </c>
      <c r="J41" s="87">
        <v>900</v>
      </c>
      <c r="K41" s="87">
        <v>1000</v>
      </c>
      <c r="L41" s="87">
        <v>1200</v>
      </c>
      <c r="M41" s="87">
        <v>1400</v>
      </c>
      <c r="N41" s="87">
        <v>1600</v>
      </c>
      <c r="O41" s="87">
        <v>1640</v>
      </c>
      <c r="P41" s="87">
        <v>1640</v>
      </c>
      <c r="Q41" s="87">
        <v>1640</v>
      </c>
      <c r="R41" s="87">
        <v>1640</v>
      </c>
      <c r="S41" s="87">
        <v>1640</v>
      </c>
    </row>
    <row r="42" spans="1:20">
      <c r="A42" s="86"/>
      <c r="B42" s="86" t="s">
        <v>305</v>
      </c>
      <c r="C42" s="86">
        <v>4.4000000000000004</v>
      </c>
      <c r="D42" s="86">
        <f t="shared" ref="D42:R42" si="4">1140*D41^(-0.87)-(D41/1000)^2/3.5^2-0.5+0.4</f>
        <v>4.4019216236896588</v>
      </c>
      <c r="E42" s="86">
        <f t="shared" si="4"/>
        <v>4.4019216236896588</v>
      </c>
      <c r="F42" s="86">
        <f t="shared" si="4"/>
        <v>4.4019216236896588</v>
      </c>
      <c r="G42" s="86">
        <f t="shared" si="4"/>
        <v>4.2348988529379925</v>
      </c>
      <c r="H42" s="86">
        <f t="shared" si="4"/>
        <v>3.6765376982160043</v>
      </c>
      <c r="I42" s="86">
        <f t="shared" si="4"/>
        <v>3.245701805058856</v>
      </c>
      <c r="J42" s="86">
        <f t="shared" si="4"/>
        <v>2.9008782017283115</v>
      </c>
      <c r="K42" s="86">
        <f t="shared" si="4"/>
        <v>2.6167355108197099</v>
      </c>
      <c r="L42" s="86">
        <f t="shared" si="4"/>
        <v>2.1703546524292392</v>
      </c>
      <c r="M42" s="86">
        <f t="shared" si="4"/>
        <v>1.8282065818909672</v>
      </c>
      <c r="N42" s="86">
        <f t="shared" si="4"/>
        <v>1.5501962453294338</v>
      </c>
      <c r="O42" s="86">
        <f t="shared" si="4"/>
        <v>1.5001027230155621</v>
      </c>
      <c r="P42" s="86">
        <f t="shared" si="4"/>
        <v>1.5001027230155621</v>
      </c>
      <c r="Q42" s="86">
        <f t="shared" si="4"/>
        <v>1.5001027230155621</v>
      </c>
      <c r="R42" s="86">
        <f t="shared" si="4"/>
        <v>1.5001027230155621</v>
      </c>
      <c r="S42" s="67">
        <v>0</v>
      </c>
    </row>
    <row r="43" spans="1:20">
      <c r="A43" s="86"/>
      <c r="B43" s="86"/>
      <c r="C43" s="86"/>
      <c r="D43" s="86"/>
      <c r="E43" s="86"/>
      <c r="F43" s="86"/>
      <c r="G43" s="86"/>
      <c r="H43" s="86"/>
      <c r="I43" s="86"/>
      <c r="J43" s="86"/>
      <c r="K43" s="86"/>
      <c r="L43" s="86"/>
      <c r="M43" s="86"/>
      <c r="N43" s="86"/>
      <c r="O43" s="86"/>
      <c r="P43" s="86"/>
      <c r="Q43" s="86"/>
      <c r="R43" s="86"/>
      <c r="S43" s="67"/>
    </row>
    <row r="44" spans="1:20">
      <c r="A44" s="86"/>
      <c r="B44" s="86"/>
      <c r="C44" s="86"/>
      <c r="D44" s="86"/>
      <c r="E44" s="86"/>
      <c r="F44" s="86"/>
      <c r="G44" s="86"/>
      <c r="H44" s="86"/>
      <c r="I44" s="86"/>
      <c r="J44" s="86"/>
      <c r="K44" s="86"/>
      <c r="L44" s="86"/>
      <c r="M44" s="86"/>
      <c r="N44" s="86"/>
      <c r="O44" s="86"/>
      <c r="P44" s="86"/>
      <c r="Q44" s="86"/>
      <c r="R44" s="86"/>
      <c r="S44" s="67"/>
    </row>
    <row r="45" spans="1:20">
      <c r="A45" s="86"/>
      <c r="B45" s="86"/>
      <c r="C45" s="86"/>
      <c r="D45" s="86"/>
      <c r="E45" s="86"/>
      <c r="F45" s="86"/>
      <c r="G45" s="86"/>
      <c r="H45" s="86"/>
      <c r="I45" s="86"/>
      <c r="J45" s="86"/>
      <c r="K45" s="86"/>
      <c r="L45" s="86"/>
      <c r="M45" s="86"/>
      <c r="N45" s="86"/>
      <c r="O45" s="86"/>
      <c r="P45" s="86"/>
      <c r="Q45" s="86"/>
      <c r="R45" s="86"/>
      <c r="S45" s="67"/>
    </row>
    <row r="46" spans="1:20">
      <c r="A46" s="79"/>
      <c r="B46" s="79"/>
      <c r="C46" s="79"/>
      <c r="D46" s="79"/>
      <c r="E46" s="79"/>
      <c r="F46" s="79"/>
      <c r="G46" s="79"/>
      <c r="H46" s="79"/>
      <c r="I46" s="79"/>
      <c r="J46" s="79"/>
      <c r="K46" s="79"/>
      <c r="L46" s="79"/>
      <c r="M46" s="79"/>
      <c r="N46" s="79"/>
      <c r="O46" s="79"/>
    </row>
    <row r="47" spans="1:20">
      <c r="A47" s="93" t="s">
        <v>337</v>
      </c>
      <c r="B47" s="94" t="s">
        <v>338</v>
      </c>
      <c r="C47" s="94" t="s">
        <v>339</v>
      </c>
      <c r="D47" s="94" t="s">
        <v>340</v>
      </c>
      <c r="E47" s="94" t="s">
        <v>341</v>
      </c>
      <c r="F47" s="94" t="s">
        <v>342</v>
      </c>
      <c r="G47" s="94" t="s">
        <v>343</v>
      </c>
      <c r="H47" s="94" t="s">
        <v>344</v>
      </c>
      <c r="I47" s="94" t="s">
        <v>345</v>
      </c>
      <c r="J47" s="94" t="s">
        <v>346</v>
      </c>
      <c r="K47" s="95"/>
    </row>
    <row r="48" spans="1:20">
      <c r="B48" s="96">
        <v>-6.7000000000000004E-8</v>
      </c>
      <c r="C48" s="97">
        <v>-9.9999999999999995E-7</v>
      </c>
      <c r="D48" s="98">
        <v>9.0499999999999999E-4</v>
      </c>
      <c r="E48" s="97">
        <v>1.1199999999999999E-5</v>
      </c>
      <c r="F48" s="98">
        <v>1.6000000000000001E-4</v>
      </c>
      <c r="G48" s="98">
        <v>-0.1525</v>
      </c>
      <c r="H48" s="98">
        <v>-5.6999999999999998E-4</v>
      </c>
      <c r="I48" s="98">
        <v>-5.4999999999999997E-3</v>
      </c>
      <c r="J48" s="98">
        <v>7.2283999999999997</v>
      </c>
      <c r="K48" s="95"/>
    </row>
    <row r="49" spans="1:11" ht="15.6">
      <c r="A49" s="99"/>
      <c r="B49" s="100"/>
      <c r="C49" s="100"/>
      <c r="D49" s="100"/>
      <c r="E49" s="101"/>
      <c r="F49" s="100"/>
      <c r="G49" s="100"/>
      <c r="H49" s="100"/>
      <c r="I49" s="100"/>
      <c r="J49" s="100"/>
      <c r="K49" s="95"/>
    </row>
    <row r="50" spans="1:11" ht="16.2" thickBot="1">
      <c r="A50" s="102" t="s">
        <v>347</v>
      </c>
      <c r="B50" s="79"/>
      <c r="C50" s="100"/>
      <c r="D50" s="100"/>
      <c r="E50" s="101"/>
      <c r="F50" s="100"/>
      <c r="G50" s="100"/>
      <c r="H50" s="100"/>
      <c r="I50" s="100"/>
      <c r="J50" s="100"/>
      <c r="K50" s="95"/>
    </row>
    <row r="51" spans="1:11" ht="16.8" thickBot="1">
      <c r="A51" s="103" t="s">
        <v>348</v>
      </c>
      <c r="B51" s="79"/>
      <c r="C51" s="100"/>
      <c r="D51" s="100"/>
      <c r="E51" s="101"/>
      <c r="F51" s="100"/>
      <c r="G51" s="100"/>
      <c r="H51" s="100"/>
      <c r="I51" s="100"/>
      <c r="J51" s="100"/>
      <c r="K51" s="95"/>
    </row>
    <row r="52" spans="1:11">
      <c r="A52" s="104"/>
      <c r="B52" s="104"/>
      <c r="C52" s="104"/>
      <c r="D52" s="95"/>
      <c r="E52" s="95"/>
      <c r="F52" s="95"/>
      <c r="G52" s="95"/>
      <c r="H52" s="95"/>
      <c r="I52" s="95"/>
      <c r="J52" s="95"/>
      <c r="K52" s="95"/>
    </row>
  </sheetData>
  <pageMargins left="0.75" right="0.75" top="1" bottom="1"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
    <pageSetUpPr fitToPage="1"/>
  </sheetPr>
  <dimension ref="A1:BA660"/>
  <sheetViews>
    <sheetView showGridLines="0" showRowColHeaders="0" zoomScaleNormal="100" zoomScaleSheetLayoutView="100" workbookViewId="0">
      <selection activeCell="F5" activeCellId="8" sqref="K26 K21 K19 L17 K13 K11 K9 F7:K7 F5:K5"/>
    </sheetView>
  </sheetViews>
  <sheetFormatPr defaultColWidth="0" defaultRowHeight="14.4" zeroHeight="1"/>
  <cols>
    <col min="1" max="1" width="8.69921875" style="156" customWidth="1"/>
    <col min="2" max="2" width="3.09765625" style="157" customWidth="1"/>
    <col min="3" max="3" width="7.19921875" style="157" customWidth="1"/>
    <col min="4" max="4" width="6.69921875" style="157" customWidth="1"/>
    <col min="5" max="5" width="7.5" style="157" customWidth="1"/>
    <col min="6" max="6" width="7.8984375" style="157" customWidth="1"/>
    <col min="7" max="7" width="6.69921875" style="157" customWidth="1"/>
    <col min="8" max="8" width="6.5" style="157" customWidth="1"/>
    <col min="9" max="9" width="6.8984375" style="157" customWidth="1"/>
    <col min="10" max="10" width="7.59765625" style="158" customWidth="1"/>
    <col min="11" max="11" width="9.3984375" style="157" customWidth="1"/>
    <col min="12" max="12" width="9.19921875" style="157" customWidth="1"/>
    <col min="13" max="13" width="4.09765625" style="157" customWidth="1"/>
    <col min="14" max="14" width="5.69921875" style="156" customWidth="1"/>
    <col min="15" max="21" width="9" style="157" customWidth="1"/>
    <col min="22" max="22" width="10.19921875" style="157" customWidth="1"/>
    <col min="23" max="23" width="10.3984375" style="157" customWidth="1"/>
    <col min="24" max="24" width="10.59765625" style="157" customWidth="1"/>
    <col min="25" max="25" width="10.8984375" style="157" customWidth="1"/>
    <col min="26" max="26" width="9" style="157" customWidth="1"/>
    <col min="27" max="53" width="0" style="157" hidden="1" customWidth="1"/>
    <col min="54" max="16384" width="9" style="157" hidden="1"/>
  </cols>
  <sheetData>
    <row r="1" spans="2:53" ht="52.5" customHeight="1">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row>
    <row r="2" spans="2:53" ht="17.399999999999999" customHeight="1">
      <c r="B2" s="160"/>
      <c r="C2" s="161"/>
      <c r="D2" s="162"/>
      <c r="E2" s="162"/>
      <c r="F2" s="162"/>
      <c r="G2" s="162"/>
      <c r="H2" s="162"/>
      <c r="I2" s="162"/>
      <c r="J2" s="161"/>
      <c r="K2" s="160"/>
      <c r="L2" s="160"/>
      <c r="M2" s="160"/>
      <c r="O2" s="163"/>
      <c r="P2" s="164"/>
      <c r="Q2" s="164"/>
      <c r="R2" s="164"/>
      <c r="S2" s="164"/>
      <c r="T2" s="164"/>
      <c r="U2" s="164"/>
      <c r="V2" s="164"/>
      <c r="W2" s="164"/>
      <c r="X2" s="164"/>
      <c r="Y2" s="164"/>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row>
    <row r="3" spans="2:53" ht="17.399999999999999" customHeight="1">
      <c r="B3" s="160"/>
      <c r="C3" s="328" t="s">
        <v>2</v>
      </c>
      <c r="D3" s="162"/>
      <c r="E3" s="162"/>
      <c r="F3" s="162"/>
      <c r="G3" s="162"/>
      <c r="H3" s="162"/>
      <c r="I3" s="162"/>
      <c r="J3" s="161"/>
      <c r="K3" s="160"/>
      <c r="L3" s="160"/>
      <c r="M3" s="160"/>
      <c r="O3" s="164"/>
      <c r="P3" s="166"/>
      <c r="Q3" s="166"/>
      <c r="R3" s="166"/>
      <c r="S3" s="166"/>
      <c r="T3" s="166"/>
      <c r="U3" s="166"/>
      <c r="V3" s="166"/>
      <c r="W3" s="166"/>
      <c r="X3" s="166"/>
      <c r="Y3" s="166"/>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row>
    <row r="4" spans="2:53" ht="17.399999999999999" customHeight="1">
      <c r="B4" s="160"/>
      <c r="C4" s="165"/>
      <c r="D4" s="162"/>
      <c r="E4" s="162"/>
      <c r="F4" s="162"/>
      <c r="G4" s="162"/>
      <c r="H4" s="162"/>
      <c r="I4" s="162"/>
      <c r="J4" s="161"/>
      <c r="K4" s="160"/>
      <c r="L4" s="160"/>
      <c r="M4" s="160"/>
      <c r="O4" s="164"/>
      <c r="P4" s="166"/>
      <c r="Q4" s="166"/>
      <c r="R4" s="166"/>
      <c r="S4" s="166"/>
      <c r="T4" s="166"/>
      <c r="U4" s="166"/>
      <c r="V4" s="166"/>
      <c r="W4" s="166"/>
      <c r="X4" s="166"/>
      <c r="Y4" s="166"/>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row>
    <row r="5" spans="2:53" ht="17.399999999999999" customHeight="1">
      <c r="B5" s="160"/>
      <c r="C5" s="165" t="s">
        <v>766</v>
      </c>
      <c r="D5" s="162"/>
      <c r="E5" s="162"/>
      <c r="F5" s="481"/>
      <c r="G5" s="482"/>
      <c r="H5" s="482"/>
      <c r="I5" s="482"/>
      <c r="J5" s="482"/>
      <c r="K5" s="483"/>
      <c r="L5" s="160"/>
      <c r="M5" s="160"/>
      <c r="O5" s="164"/>
      <c r="P5" s="166"/>
      <c r="Q5" s="166"/>
      <c r="R5" s="166"/>
      <c r="S5" s="166"/>
      <c r="T5" s="166"/>
      <c r="U5" s="166"/>
      <c r="V5" s="166"/>
      <c r="W5" s="166"/>
      <c r="X5" s="166"/>
      <c r="Y5" s="166"/>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row>
    <row r="6" spans="2:53" ht="17.399999999999999" customHeight="1">
      <c r="B6" s="160"/>
      <c r="C6" s="165"/>
      <c r="D6" s="162"/>
      <c r="E6" s="162"/>
      <c r="F6" s="162"/>
      <c r="G6" s="162"/>
      <c r="H6" s="162"/>
      <c r="I6" s="162"/>
      <c r="J6" s="161"/>
      <c r="K6" s="160"/>
      <c r="L6" s="160"/>
      <c r="M6" s="160"/>
      <c r="O6" s="164"/>
      <c r="P6" s="166"/>
      <c r="Q6" s="166"/>
      <c r="R6" s="166"/>
      <c r="S6" s="166"/>
      <c r="T6" s="166"/>
      <c r="U6" s="166"/>
      <c r="V6" s="166"/>
      <c r="W6" s="166"/>
      <c r="X6" s="166"/>
      <c r="Y6" s="166"/>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row>
    <row r="7" spans="2:53" ht="17.399999999999999" customHeight="1">
      <c r="B7" s="160"/>
      <c r="C7" s="165" t="s">
        <v>767</v>
      </c>
      <c r="D7" s="162"/>
      <c r="E7" s="162"/>
      <c r="F7" s="484" t="s">
        <v>994</v>
      </c>
      <c r="G7" s="482"/>
      <c r="H7" s="482"/>
      <c r="I7" s="482"/>
      <c r="J7" s="482"/>
      <c r="K7" s="483"/>
      <c r="L7" s="160"/>
      <c r="M7" s="160"/>
      <c r="O7" s="164"/>
      <c r="P7" s="166"/>
      <c r="Q7" s="166"/>
      <c r="R7" s="166"/>
      <c r="S7" s="166"/>
      <c r="T7" s="166"/>
      <c r="U7" s="166"/>
      <c r="V7" s="166"/>
      <c r="W7" s="166"/>
      <c r="X7" s="166"/>
      <c r="Y7" s="166"/>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row>
    <row r="8" spans="2:53" ht="17.399999999999999" customHeight="1">
      <c r="B8" s="160"/>
      <c r="C8" s="173"/>
      <c r="D8" s="162"/>
      <c r="E8" s="162"/>
      <c r="F8" s="162"/>
      <c r="G8" s="162"/>
      <c r="H8" s="162"/>
      <c r="I8" s="162"/>
      <c r="J8" s="170"/>
      <c r="K8" s="162"/>
      <c r="L8" s="162"/>
      <c r="M8" s="162"/>
      <c r="N8" s="167"/>
      <c r="O8" s="168"/>
      <c r="P8" s="169"/>
      <c r="Q8" s="169"/>
      <c r="R8" s="169"/>
      <c r="S8" s="169"/>
      <c r="T8" s="169"/>
      <c r="U8" s="169"/>
      <c r="V8" s="169"/>
      <c r="W8" s="169"/>
      <c r="X8" s="169"/>
      <c r="Y8" s="16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row>
    <row r="9" spans="2:53" ht="17.399999999999999" customHeight="1">
      <c r="B9" s="160"/>
      <c r="C9" s="162" t="s">
        <v>686</v>
      </c>
      <c r="D9" s="162"/>
      <c r="E9" s="162"/>
      <c r="F9" s="162"/>
      <c r="G9" s="162"/>
      <c r="H9" s="162"/>
      <c r="I9" s="162"/>
      <c r="J9" s="174"/>
      <c r="K9" s="2">
        <v>75</v>
      </c>
      <c r="L9" s="172" t="s">
        <v>12</v>
      </c>
      <c r="M9" s="162"/>
      <c r="N9" s="167"/>
      <c r="O9" s="168"/>
      <c r="P9" s="164"/>
      <c r="Q9" s="164"/>
      <c r="R9" s="164"/>
      <c r="S9" s="164"/>
      <c r="T9" s="164"/>
      <c r="U9" s="164"/>
      <c r="V9" s="169"/>
      <c r="W9" s="169"/>
      <c r="X9" s="169"/>
      <c r="Y9" s="16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row>
    <row r="10" spans="2:53" ht="17.399999999999999" customHeight="1">
      <c r="B10" s="160"/>
      <c r="C10" s="162"/>
      <c r="D10" s="162"/>
      <c r="E10" s="162"/>
      <c r="F10" s="162"/>
      <c r="G10" s="162"/>
      <c r="H10" s="162"/>
      <c r="I10" s="162"/>
      <c r="J10" s="170"/>
      <c r="K10" s="162"/>
      <c r="L10" s="162"/>
      <c r="M10" s="162"/>
      <c r="N10" s="167"/>
      <c r="O10" s="168"/>
      <c r="P10" s="164"/>
      <c r="Q10" s="164"/>
      <c r="R10" s="164"/>
      <c r="S10" s="164"/>
      <c r="T10" s="164"/>
      <c r="U10" s="164"/>
      <c r="V10" s="169"/>
      <c r="W10" s="169"/>
      <c r="X10" s="169"/>
      <c r="Y10" s="16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row>
    <row r="11" spans="2:53" ht="17.399999999999999" customHeight="1">
      <c r="B11" s="160"/>
      <c r="C11" s="162" t="s">
        <v>687</v>
      </c>
      <c r="D11" s="162"/>
      <c r="E11" s="162"/>
      <c r="F11" s="162"/>
      <c r="G11" s="162"/>
      <c r="H11" s="162"/>
      <c r="I11" s="162"/>
      <c r="J11" s="170"/>
      <c r="K11" s="2">
        <v>5</v>
      </c>
      <c r="L11" s="172" t="s">
        <v>12</v>
      </c>
      <c r="M11" s="162"/>
      <c r="N11" s="167"/>
      <c r="O11" s="168"/>
      <c r="P11" s="164"/>
      <c r="Q11" s="164"/>
      <c r="R11" s="164"/>
      <c r="S11" s="164"/>
      <c r="T11" s="164"/>
      <c r="U11" s="164"/>
      <c r="V11" s="169"/>
      <c r="W11" s="169"/>
      <c r="X11" s="169"/>
      <c r="Y11" s="16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row>
    <row r="12" spans="2:53" ht="17.399999999999999" customHeight="1">
      <c r="B12" s="160"/>
      <c r="C12" s="162"/>
      <c r="D12" s="162"/>
      <c r="E12" s="162"/>
      <c r="F12" s="162"/>
      <c r="G12" s="162"/>
      <c r="H12" s="162"/>
      <c r="I12" s="162"/>
      <c r="J12" s="170"/>
      <c r="K12" s="162"/>
      <c r="L12" s="162"/>
      <c r="M12" s="162"/>
      <c r="N12" s="167"/>
      <c r="O12" s="168"/>
      <c r="P12" s="164"/>
      <c r="Q12" s="164"/>
      <c r="R12" s="164"/>
      <c r="S12" s="164"/>
      <c r="T12" s="164"/>
      <c r="U12" s="164"/>
      <c r="V12" s="169"/>
      <c r="W12" s="169"/>
      <c r="X12" s="169"/>
      <c r="Y12" s="16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row>
    <row r="13" spans="2:53" ht="17.399999999999999" customHeight="1">
      <c r="B13" s="160"/>
      <c r="C13" s="162" t="s">
        <v>636</v>
      </c>
      <c r="D13" s="162"/>
      <c r="E13" s="162"/>
      <c r="F13" s="162"/>
      <c r="G13" s="162"/>
      <c r="H13" s="162"/>
      <c r="I13" s="162"/>
      <c r="J13" s="170"/>
      <c r="K13" s="2">
        <v>10</v>
      </c>
      <c r="L13" s="172" t="s">
        <v>12</v>
      </c>
      <c r="M13" s="162"/>
      <c r="N13" s="167"/>
      <c r="O13" s="168"/>
      <c r="P13" s="164"/>
      <c r="Q13" s="164"/>
      <c r="R13" s="164"/>
      <c r="S13" s="164"/>
      <c r="T13" s="164"/>
      <c r="U13" s="164"/>
      <c r="V13" s="169"/>
      <c r="W13" s="169"/>
      <c r="X13" s="169"/>
      <c r="Y13" s="16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row>
    <row r="14" spans="2:53" ht="17.399999999999999" customHeight="1">
      <c r="B14" s="160"/>
      <c r="C14" s="162"/>
      <c r="D14" s="162"/>
      <c r="E14" s="162"/>
      <c r="F14" s="162"/>
      <c r="G14" s="162"/>
      <c r="H14" s="162"/>
      <c r="I14" s="162"/>
      <c r="J14" s="170"/>
      <c r="K14" s="162"/>
      <c r="L14" s="162"/>
      <c r="M14" s="162"/>
      <c r="N14" s="167"/>
      <c r="O14" s="168"/>
      <c r="P14" s="164"/>
      <c r="Q14" s="164"/>
      <c r="R14" s="164"/>
      <c r="S14" s="164"/>
      <c r="T14" s="164"/>
      <c r="U14" s="164"/>
      <c r="V14" s="169"/>
      <c r="W14" s="169"/>
      <c r="X14" s="169"/>
      <c r="Y14" s="16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row>
    <row r="15" spans="2:53" ht="17.399999999999999" customHeight="1">
      <c r="B15" s="160"/>
      <c r="C15" s="162" t="s">
        <v>13</v>
      </c>
      <c r="D15" s="162"/>
      <c r="E15" s="162"/>
      <c r="F15" s="162"/>
      <c r="G15" s="162"/>
      <c r="H15" s="162"/>
      <c r="I15" s="162"/>
      <c r="J15" s="170"/>
      <c r="K15" s="162"/>
      <c r="L15" s="162"/>
      <c r="M15" s="162"/>
      <c r="N15" s="167"/>
      <c r="O15" s="168"/>
      <c r="P15" s="164"/>
      <c r="Q15" s="164"/>
      <c r="R15" s="164"/>
      <c r="S15" s="164"/>
      <c r="T15" s="164"/>
      <c r="U15" s="164"/>
      <c r="V15" s="169"/>
      <c r="W15" s="169"/>
      <c r="X15" s="169"/>
      <c r="Y15" s="16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row>
    <row r="16" spans="2:53" ht="17.399999999999999" customHeight="1">
      <c r="B16" s="160"/>
      <c r="C16" s="175"/>
      <c r="D16" s="162"/>
      <c r="E16" s="162"/>
      <c r="F16" s="162"/>
      <c r="G16" s="162"/>
      <c r="H16" s="162"/>
      <c r="I16" s="162"/>
      <c r="J16" s="170"/>
      <c r="K16" s="162"/>
      <c r="L16" s="162"/>
      <c r="M16" s="162"/>
      <c r="N16" s="167"/>
      <c r="O16" s="168"/>
      <c r="P16" s="164"/>
      <c r="Q16" s="164"/>
      <c r="R16" s="164"/>
      <c r="S16" s="164"/>
      <c r="T16" s="164"/>
      <c r="U16" s="164"/>
      <c r="V16" s="169"/>
      <c r="W16" s="169"/>
      <c r="X16" s="169"/>
      <c r="Y16" s="16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row>
    <row r="17" spans="2:53" ht="17.399999999999999" customHeight="1">
      <c r="B17" s="160"/>
      <c r="C17" s="162" t="s">
        <v>769</v>
      </c>
      <c r="D17" s="162"/>
      <c r="E17" s="162"/>
      <c r="F17" s="162"/>
      <c r="G17" s="162"/>
      <c r="H17" s="162"/>
      <c r="I17" s="162"/>
      <c r="J17" s="176"/>
      <c r="K17" s="177"/>
      <c r="L17" s="333">
        <v>0.5</v>
      </c>
      <c r="M17" s="162"/>
      <c r="N17" s="167"/>
      <c r="O17" s="168"/>
      <c r="P17" s="164"/>
      <c r="Q17" s="164"/>
      <c r="R17" s="164"/>
      <c r="S17" s="164"/>
      <c r="T17" s="164"/>
      <c r="U17" s="164"/>
      <c r="V17" s="169"/>
      <c r="W17" s="169"/>
      <c r="X17" s="169"/>
      <c r="Y17" s="16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row>
    <row r="18" spans="2:53" ht="17.399999999999999" customHeight="1">
      <c r="B18" s="160"/>
      <c r="C18" s="162"/>
      <c r="D18" s="162"/>
      <c r="E18" s="162"/>
      <c r="F18" s="162"/>
      <c r="G18" s="162"/>
      <c r="H18" s="162"/>
      <c r="I18" s="162"/>
      <c r="J18" s="176"/>
      <c r="K18" s="177"/>
      <c r="L18" s="162"/>
      <c r="M18" s="162"/>
      <c r="O18" s="156"/>
      <c r="P18" s="156"/>
      <c r="Q18" s="156"/>
      <c r="R18" s="164"/>
      <c r="S18" s="164"/>
      <c r="T18" s="164"/>
      <c r="U18" s="164"/>
      <c r="V18" s="169"/>
      <c r="W18" s="169"/>
      <c r="X18" s="169"/>
      <c r="Y18" s="16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row>
    <row r="19" spans="2:53" ht="17.399999999999999" customHeight="1">
      <c r="B19" s="160"/>
      <c r="C19" s="162" t="s">
        <v>14</v>
      </c>
      <c r="D19" s="162"/>
      <c r="E19" s="162"/>
      <c r="F19" s="162"/>
      <c r="G19" s="162"/>
      <c r="H19" s="162"/>
      <c r="I19" s="162"/>
      <c r="J19" s="176"/>
      <c r="K19" s="2">
        <v>7</v>
      </c>
      <c r="L19" s="178" t="s">
        <v>7</v>
      </c>
      <c r="M19" s="162"/>
      <c r="O19" s="156"/>
      <c r="P19" s="156"/>
      <c r="Q19" s="156"/>
      <c r="R19" s="164"/>
      <c r="S19" s="164"/>
      <c r="T19" s="164"/>
      <c r="U19" s="164"/>
      <c r="V19" s="169"/>
      <c r="W19" s="169"/>
      <c r="X19" s="169"/>
      <c r="Y19" s="16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row>
    <row r="20" spans="2:53" ht="17.399999999999999" customHeight="1">
      <c r="B20" s="160"/>
      <c r="C20" s="162"/>
      <c r="D20" s="162"/>
      <c r="E20" s="162"/>
      <c r="F20" s="162"/>
      <c r="G20" s="162"/>
      <c r="H20" s="162"/>
      <c r="I20" s="162"/>
      <c r="J20" s="176"/>
      <c r="K20" s="177"/>
      <c r="L20" s="162"/>
      <c r="M20" s="162"/>
      <c r="O20" s="156"/>
      <c r="P20" s="156"/>
      <c r="Q20" s="156"/>
      <c r="R20" s="164"/>
      <c r="S20" s="164"/>
      <c r="T20" s="164"/>
      <c r="U20" s="164"/>
      <c r="V20" s="169"/>
      <c r="W20" s="169"/>
      <c r="X20" s="169"/>
      <c r="Y20" s="16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row>
    <row r="21" spans="2:53" ht="17.399999999999999" customHeight="1">
      <c r="B21" s="160"/>
      <c r="C21" s="162" t="s">
        <v>678</v>
      </c>
      <c r="D21" s="162"/>
      <c r="E21" s="162"/>
      <c r="F21" s="162"/>
      <c r="G21" s="162"/>
      <c r="H21" s="162"/>
      <c r="I21" s="162"/>
      <c r="J21" s="176"/>
      <c r="K21" s="179">
        <f>'1'!C40/10</f>
        <v>3</v>
      </c>
      <c r="L21" s="178" t="s">
        <v>3</v>
      </c>
      <c r="M21" s="162"/>
      <c r="N21" s="167"/>
      <c r="O21" s="168"/>
      <c r="P21" s="164"/>
      <c r="Q21" s="164"/>
      <c r="R21" s="164"/>
      <c r="S21" s="164"/>
      <c r="T21" s="164"/>
      <c r="U21" s="164"/>
      <c r="V21" s="169"/>
      <c r="W21" s="169"/>
      <c r="X21" s="169"/>
      <c r="Y21" s="16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row>
    <row r="22" spans="2:53" ht="17.399999999999999" customHeight="1">
      <c r="B22" s="160"/>
      <c r="C22" s="272" t="str">
        <f>IF(K21&lt;'1'!C44,"Wybierz ZB o wyższym PSV!!!","")</f>
        <v/>
      </c>
      <c r="D22" s="265"/>
      <c r="E22" s="265"/>
      <c r="F22" s="265"/>
      <c r="G22" s="273" t="str">
        <f>IF(K21&lt;'1'!C44,"PSV min=","")</f>
        <v/>
      </c>
      <c r="H22" s="274" t="str">
        <f>IF(K21&lt;'1'!C44,'1'!C44,"")</f>
        <v/>
      </c>
      <c r="I22" s="274" t="str">
        <f>IF(K21&lt;'1'!C44,"bar","")</f>
        <v/>
      </c>
      <c r="J22" s="181"/>
      <c r="K22" s="177"/>
      <c r="L22" s="162"/>
      <c r="M22" s="162"/>
      <c r="N22" s="167"/>
      <c r="O22" s="168"/>
      <c r="P22" s="164"/>
      <c r="Q22" s="164"/>
      <c r="R22" s="164"/>
      <c r="S22" s="164"/>
      <c r="T22" s="164"/>
      <c r="U22" s="164"/>
      <c r="V22" s="169"/>
      <c r="W22" s="169"/>
      <c r="X22" s="169"/>
      <c r="Y22" s="16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row>
    <row r="23" spans="2:53" ht="17.399999999999999" customHeight="1">
      <c r="B23" s="160"/>
      <c r="C23" s="272" t="str">
        <f>IF(AND('1'!E44&gt;'1'!D44,K21&lt;'1'!C44),"z uwagi na ciś. parowania","")</f>
        <v/>
      </c>
      <c r="D23" s="265"/>
      <c r="E23" s="265"/>
      <c r="F23" s="265"/>
      <c r="G23" s="265"/>
      <c r="H23" s="265"/>
      <c r="I23" s="265"/>
      <c r="J23" s="176"/>
      <c r="K23" s="173"/>
      <c r="L23" s="162"/>
      <c r="M23" s="162"/>
      <c r="N23" s="167"/>
      <c r="O23" s="168"/>
      <c r="P23" s="164"/>
      <c r="Q23" s="164"/>
      <c r="R23" s="164"/>
      <c r="S23" s="164"/>
      <c r="T23" s="164"/>
      <c r="U23" s="164"/>
      <c r="V23" s="169"/>
      <c r="W23" s="169"/>
      <c r="X23" s="169"/>
      <c r="Y23" s="16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row>
    <row r="24" spans="2:53" ht="17.399999999999999" customHeight="1">
      <c r="B24" s="160"/>
      <c r="C24" s="162" t="s">
        <v>18</v>
      </c>
      <c r="D24" s="162"/>
      <c r="E24" s="162"/>
      <c r="F24" s="162"/>
      <c r="G24" s="162"/>
      <c r="H24" s="162"/>
      <c r="I24" s="162"/>
      <c r="J24" s="176"/>
      <c r="K24" s="177"/>
      <c r="L24" s="162"/>
      <c r="M24" s="162"/>
      <c r="N24" s="167"/>
      <c r="O24" s="168"/>
      <c r="P24" s="164"/>
      <c r="Q24" s="164"/>
      <c r="R24" s="164"/>
      <c r="S24" s="164"/>
      <c r="T24" s="164"/>
      <c r="U24" s="164"/>
      <c r="V24" s="169"/>
      <c r="W24" s="169"/>
      <c r="X24" s="169"/>
      <c r="Y24" s="16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row>
    <row r="25" spans="2:53" ht="17.399999999999999" customHeight="1">
      <c r="B25" s="160"/>
      <c r="C25" s="162"/>
      <c r="D25" s="162"/>
      <c r="E25" s="162"/>
      <c r="F25" s="162"/>
      <c r="G25" s="162"/>
      <c r="H25" s="162"/>
      <c r="I25" s="162"/>
      <c r="J25" s="170"/>
      <c r="K25" s="162"/>
      <c r="L25" s="162"/>
      <c r="M25" s="162"/>
      <c r="N25" s="167"/>
      <c r="O25" s="168"/>
      <c r="P25" s="164"/>
      <c r="Q25" s="164"/>
      <c r="R25" s="164"/>
      <c r="S25" s="164"/>
      <c r="T25" s="164"/>
      <c r="U25" s="164"/>
      <c r="V25" s="169"/>
      <c r="W25" s="169"/>
      <c r="X25" s="169"/>
      <c r="Y25" s="16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row>
    <row r="26" spans="2:53" ht="17.399999999999999" customHeight="1">
      <c r="B26" s="160"/>
      <c r="C26" s="162" t="s">
        <v>474</v>
      </c>
      <c r="D26" s="162"/>
      <c r="E26" s="162"/>
      <c r="F26" s="162"/>
      <c r="G26" s="162"/>
      <c r="H26" s="162"/>
      <c r="I26" s="162"/>
      <c r="J26" s="170"/>
      <c r="K26" s="178">
        <f>'1'!H24/10</f>
        <v>0.5</v>
      </c>
      <c r="L26" s="182" t="s">
        <v>5</v>
      </c>
      <c r="M26" s="162"/>
      <c r="N26" s="167"/>
      <c r="O26" s="168"/>
      <c r="P26" s="164"/>
      <c r="Q26" s="164"/>
      <c r="R26" s="164"/>
      <c r="S26" s="164"/>
      <c r="T26" s="164"/>
      <c r="U26" s="164"/>
      <c r="V26" s="169"/>
      <c r="W26" s="169"/>
      <c r="X26" s="169"/>
      <c r="Y26" s="16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row>
    <row r="27" spans="2:53" ht="17.399999999999999" customHeight="1">
      <c r="B27" s="160"/>
      <c r="C27" s="162"/>
      <c r="D27" s="162"/>
      <c r="E27" s="162"/>
      <c r="F27" s="162"/>
      <c r="G27" s="162"/>
      <c r="H27" s="162"/>
      <c r="I27" s="162"/>
      <c r="J27" s="170"/>
      <c r="K27" s="162"/>
      <c r="L27" s="162"/>
      <c r="M27" s="162"/>
      <c r="N27" s="167"/>
      <c r="O27" s="168"/>
      <c r="P27" s="164"/>
      <c r="Q27" s="164"/>
      <c r="R27" s="164"/>
      <c r="S27" s="164"/>
      <c r="T27" s="164"/>
      <c r="U27" s="164"/>
      <c r="V27" s="169"/>
      <c r="W27" s="169"/>
      <c r="X27" s="169"/>
      <c r="Y27" s="16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row>
    <row r="28" spans="2:53" ht="17.399999999999999" customHeight="1">
      <c r="C28" s="183" t="s">
        <v>361</v>
      </c>
      <c r="O28" s="168"/>
      <c r="P28" s="164"/>
      <c r="Q28" s="164"/>
      <c r="R28" s="164"/>
      <c r="S28" s="164"/>
      <c r="T28" s="164"/>
      <c r="U28" s="164"/>
      <c r="V28" s="169"/>
      <c r="W28" s="169"/>
      <c r="X28" s="169"/>
      <c r="Y28" s="16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row>
    <row r="29" spans="2:53" ht="17.399999999999999" customHeight="1">
      <c r="C29" s="183"/>
      <c r="O29" s="168"/>
      <c r="P29" s="164"/>
      <c r="Q29" s="164"/>
      <c r="R29" s="164"/>
      <c r="S29" s="164"/>
      <c r="T29" s="164"/>
      <c r="U29" s="164"/>
      <c r="V29" s="169"/>
      <c r="W29" s="169"/>
      <c r="X29" s="169"/>
      <c r="Y29" s="16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row>
    <row r="30" spans="2:53" ht="17.399999999999999" customHeight="1">
      <c r="C30" s="183" t="s">
        <v>766</v>
      </c>
      <c r="F30" s="489" t="str">
        <f>IF(F5="","",F5)</f>
        <v/>
      </c>
      <c r="G30" s="490"/>
      <c r="H30" s="490"/>
      <c r="I30" s="490"/>
      <c r="J30" s="490"/>
      <c r="K30" s="490"/>
      <c r="O30" s="168"/>
      <c r="P30" s="164"/>
      <c r="Q30" s="164"/>
      <c r="R30" s="164"/>
      <c r="S30" s="164"/>
      <c r="T30" s="164"/>
      <c r="U30" s="164"/>
      <c r="V30" s="169"/>
      <c r="W30" s="169"/>
      <c r="X30" s="169"/>
      <c r="Y30" s="16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row>
    <row r="31" spans="2:53" ht="17.399999999999999" customHeight="1">
      <c r="C31" s="183" t="s">
        <v>767</v>
      </c>
      <c r="F31" s="491" t="str">
        <f>IF(F7="","",F7)</f>
        <v>IMI Hydronic Engineering</v>
      </c>
      <c r="G31" s="490"/>
      <c r="H31" s="490"/>
      <c r="I31" s="490"/>
      <c r="J31" s="490"/>
      <c r="K31" s="490"/>
      <c r="O31" s="168"/>
      <c r="P31" s="164"/>
      <c r="Q31" s="164"/>
      <c r="R31" s="164"/>
      <c r="S31" s="164"/>
      <c r="T31" s="164"/>
      <c r="U31" s="164"/>
      <c r="V31" s="169"/>
      <c r="W31" s="169"/>
      <c r="X31" s="169"/>
      <c r="Y31" s="16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row>
    <row r="32" spans="2:53" ht="17.399999999999999" customHeight="1">
      <c r="C32" s="327" t="s">
        <v>768</v>
      </c>
      <c r="D32" s="331"/>
      <c r="E32" s="330"/>
      <c r="F32" s="492">
        <f ca="1">NOW()</f>
        <v>44656.337238425927</v>
      </c>
      <c r="G32" s="492"/>
      <c r="J32" s="329"/>
      <c r="O32" s="168"/>
      <c r="P32" s="164"/>
      <c r="Q32" s="164"/>
      <c r="R32" s="164"/>
      <c r="S32" s="164"/>
      <c r="T32" s="164"/>
      <c r="U32" s="164"/>
      <c r="V32" s="169"/>
      <c r="W32" s="169"/>
      <c r="X32" s="169"/>
      <c r="Y32" s="16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row>
    <row r="33" spans="3:53" ht="17.399999999999999" customHeight="1">
      <c r="C33" s="183"/>
      <c r="J33" s="329"/>
      <c r="O33" s="168"/>
      <c r="P33" s="164"/>
      <c r="Q33" s="164"/>
      <c r="R33" s="164"/>
      <c r="S33" s="164"/>
      <c r="T33" s="164"/>
      <c r="U33" s="164"/>
      <c r="V33" s="169"/>
      <c r="W33" s="169"/>
      <c r="X33" s="169"/>
      <c r="Y33" s="16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row>
    <row r="34" spans="3:53" ht="17.399999999999999" customHeight="1">
      <c r="C34" s="183" t="s">
        <v>660</v>
      </c>
      <c r="O34" s="168"/>
      <c r="P34" s="164"/>
      <c r="Q34" s="164"/>
      <c r="R34" s="164"/>
      <c r="S34" s="164"/>
      <c r="T34" s="164"/>
      <c r="U34" s="164"/>
      <c r="V34" s="169"/>
      <c r="W34" s="169"/>
      <c r="X34" s="169"/>
      <c r="Y34" s="16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row>
    <row r="35" spans="3:53" ht="17.399999999999999" customHeight="1">
      <c r="C35" s="183"/>
      <c r="O35" s="168"/>
      <c r="P35" s="164"/>
      <c r="Q35" s="164"/>
      <c r="R35" s="164"/>
      <c r="S35" s="164"/>
      <c r="T35" s="164"/>
      <c r="U35" s="164"/>
      <c r="V35" s="169"/>
      <c r="W35" s="169"/>
      <c r="X35" s="169"/>
      <c r="Y35" s="16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row>
    <row r="36" spans="3:53" ht="17.399999999999999" customHeight="1">
      <c r="C36" s="183" t="s">
        <v>661</v>
      </c>
      <c r="K36" s="183">
        <f>K9</f>
        <v>75</v>
      </c>
      <c r="L36" s="183" t="str">
        <f>L9</f>
        <v>˚C</v>
      </c>
      <c r="O36" s="168"/>
      <c r="P36" s="164"/>
      <c r="Q36" s="164"/>
      <c r="R36" s="164"/>
      <c r="S36" s="164"/>
      <c r="T36" s="164"/>
      <c r="U36" s="164"/>
      <c r="V36" s="169"/>
      <c r="W36" s="169"/>
      <c r="X36" s="169"/>
      <c r="Y36" s="16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row>
    <row r="37" spans="3:53" ht="17.399999999999999" customHeight="1">
      <c r="C37" s="183" t="s">
        <v>662</v>
      </c>
      <c r="K37" s="183">
        <f>K11</f>
        <v>5</v>
      </c>
      <c r="L37" s="183" t="str">
        <f>L11</f>
        <v>˚C</v>
      </c>
      <c r="O37" s="168"/>
      <c r="P37" s="164"/>
      <c r="Q37" s="164"/>
      <c r="R37" s="164"/>
      <c r="S37" s="164"/>
      <c r="T37" s="164"/>
      <c r="U37" s="164"/>
      <c r="V37" s="169"/>
      <c r="W37" s="169"/>
      <c r="X37" s="169"/>
      <c r="Y37" s="16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row>
    <row r="38" spans="3:53" ht="17.399999999999999" customHeight="1">
      <c r="C38" s="183" t="s">
        <v>663</v>
      </c>
      <c r="K38" s="183">
        <f>K13</f>
        <v>10</v>
      </c>
      <c r="L38" s="183" t="str">
        <f>L13</f>
        <v>˚C</v>
      </c>
      <c r="O38" s="168"/>
      <c r="P38" s="164"/>
      <c r="Q38" s="164"/>
      <c r="R38" s="164"/>
      <c r="S38" s="164"/>
      <c r="T38" s="164"/>
      <c r="U38" s="164"/>
      <c r="V38" s="169"/>
      <c r="W38" s="169"/>
      <c r="X38" s="169"/>
      <c r="Y38" s="16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row>
    <row r="39" spans="3:53" ht="17.399999999999999" customHeight="1">
      <c r="C39" s="183" t="s">
        <v>13</v>
      </c>
      <c r="J39" s="487" t="str">
        <f>'1'!F25</f>
        <v>woda</v>
      </c>
      <c r="K39" s="488"/>
      <c r="L39" s="488"/>
      <c r="M39" s="488"/>
      <c r="O39" s="168"/>
      <c r="P39" s="164"/>
      <c r="Q39" s="164"/>
      <c r="R39" s="164"/>
      <c r="S39" s="164"/>
      <c r="T39" s="164"/>
      <c r="U39" s="164"/>
      <c r="V39" s="169"/>
      <c r="W39" s="169"/>
      <c r="X39" s="169"/>
      <c r="Y39" s="16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row>
    <row r="40" spans="3:53" ht="17.399999999999999" customHeight="1">
      <c r="C40" s="183" t="s">
        <v>773</v>
      </c>
      <c r="K40" s="334">
        <f>L17</f>
        <v>0.5</v>
      </c>
      <c r="L40" s="183" t="s">
        <v>771</v>
      </c>
      <c r="O40" s="168"/>
      <c r="P40" s="164"/>
      <c r="Q40" s="164"/>
      <c r="R40" s="164"/>
      <c r="S40" s="164"/>
      <c r="T40" s="164"/>
      <c r="U40" s="164"/>
      <c r="V40" s="169"/>
      <c r="W40" s="169"/>
      <c r="X40" s="169"/>
      <c r="Y40" s="16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row>
    <row r="41" spans="3:53" ht="17.399999999999999" customHeight="1">
      <c r="C41" s="183" t="s">
        <v>665</v>
      </c>
      <c r="K41" s="183">
        <f>K19</f>
        <v>7</v>
      </c>
      <c r="L41" s="183" t="str">
        <f>L19</f>
        <v>m</v>
      </c>
      <c r="M41" s="1"/>
      <c r="O41" s="168"/>
      <c r="P41" s="164"/>
      <c r="Q41" s="164"/>
      <c r="R41" s="164"/>
      <c r="S41" s="164"/>
      <c r="T41" s="164"/>
      <c r="U41" s="164"/>
      <c r="V41" s="169"/>
      <c r="W41" s="169"/>
      <c r="X41" s="169"/>
      <c r="Y41" s="16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row>
    <row r="42" spans="3:53" ht="17.399999999999999" customHeight="1">
      <c r="C42" s="183" t="s">
        <v>15</v>
      </c>
      <c r="K42" s="216">
        <f>K21</f>
        <v>3</v>
      </c>
      <c r="L42" s="183" t="str">
        <f>L21</f>
        <v>bar</v>
      </c>
      <c r="O42" s="168"/>
      <c r="P42" s="164"/>
      <c r="Q42" s="164"/>
      <c r="R42" s="164"/>
      <c r="S42" s="164"/>
      <c r="T42" s="164"/>
      <c r="U42" s="164"/>
      <c r="V42" s="169"/>
      <c r="W42" s="169"/>
      <c r="X42" s="169"/>
      <c r="Y42" s="16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row>
    <row r="43" spans="3:53" ht="17.399999999999999" customHeight="1">
      <c r="C43" s="183"/>
      <c r="O43" s="168"/>
      <c r="P43" s="164"/>
      <c r="Q43" s="164"/>
      <c r="R43" s="164"/>
      <c r="S43" s="164"/>
      <c r="T43" s="164"/>
      <c r="U43" s="164"/>
      <c r="V43" s="169"/>
      <c r="W43" s="169"/>
      <c r="X43" s="169"/>
      <c r="Y43" s="16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row>
    <row r="44" spans="3:53" ht="17.399999999999999" customHeight="1">
      <c r="C44" s="183" t="s">
        <v>20</v>
      </c>
      <c r="M44" s="184"/>
      <c r="O44" s="168"/>
      <c r="P44" s="164"/>
      <c r="Q44" s="164"/>
      <c r="R44" s="164"/>
      <c r="S44" s="164"/>
      <c r="T44" s="164"/>
      <c r="U44" s="164"/>
      <c r="V44" s="169"/>
      <c r="W44" s="169"/>
      <c r="X44" s="169"/>
      <c r="Y44" s="16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row>
    <row r="45" spans="3:53" ht="17.399999999999999" customHeight="1">
      <c r="L45" s="185"/>
      <c r="O45" s="168"/>
      <c r="P45" s="166"/>
      <c r="Q45" s="164"/>
      <c r="R45" s="166"/>
      <c r="S45" s="164"/>
      <c r="T45" s="166"/>
      <c r="U45" s="164"/>
      <c r="V45" s="169"/>
      <c r="W45" s="169"/>
      <c r="X45" s="169"/>
      <c r="Y45" s="16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row>
    <row r="46" spans="3:53" ht="17.399999999999999" customHeight="1">
      <c r="L46" s="184"/>
      <c r="O46" s="168"/>
      <c r="P46" s="164"/>
      <c r="Q46" s="164"/>
      <c r="R46" s="164"/>
      <c r="S46" s="164"/>
      <c r="T46" s="164"/>
      <c r="U46" s="164"/>
      <c r="V46" s="169"/>
      <c r="W46" s="169"/>
      <c r="X46" s="169"/>
      <c r="Y46" s="16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row>
    <row r="47" spans="3:53" ht="17.399999999999999" customHeight="1">
      <c r="J47" s="1" t="s">
        <v>21</v>
      </c>
      <c r="O47" s="168"/>
      <c r="P47" s="164"/>
      <c r="Q47" s="164"/>
      <c r="R47" s="164"/>
      <c r="S47" s="164"/>
      <c r="T47" s="164"/>
      <c r="U47" s="164"/>
      <c r="V47" s="169"/>
      <c r="W47" s="169"/>
      <c r="X47" s="169"/>
      <c r="Y47" s="16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row>
    <row r="48" spans="3:53" ht="17.399999999999999" customHeight="1">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row>
    <row r="49" spans="3:53" ht="17.399999999999999" customHeight="1">
      <c r="C49" s="1" t="s">
        <v>0</v>
      </c>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row>
    <row r="50" spans="3:53" ht="17.399999999999999" customHeight="1">
      <c r="D50" s="157" t="s">
        <v>132</v>
      </c>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row>
    <row r="51" spans="3:53" ht="17.399999999999999" customHeight="1">
      <c r="D51" s="157" t="s">
        <v>23</v>
      </c>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row>
    <row r="52" spans="3:53" ht="17.399999999999999" customHeight="1">
      <c r="D52" s="157" t="s">
        <v>22</v>
      </c>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row>
    <row r="53" spans="3:53" ht="17.399999999999999" customHeight="1">
      <c r="D53" s="157" t="s">
        <v>65</v>
      </c>
      <c r="N53" s="186"/>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row>
    <row r="54" spans="3:53" ht="17.399999999999999" customHeight="1">
      <c r="D54" s="157" t="s">
        <v>46</v>
      </c>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row>
    <row r="55" spans="3:53" ht="17.399999999999999" customHeight="1">
      <c r="D55" s="157" t="s">
        <v>45</v>
      </c>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row>
    <row r="56" spans="3:53" ht="17.399999999999999" customHeight="1">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row>
    <row r="57" spans="3:53" ht="17.399999999999999" customHeight="1">
      <c r="C57" s="183" t="s">
        <v>24</v>
      </c>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row>
    <row r="58" spans="3:53" ht="17.399999999999999" customHeight="1">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row>
    <row r="59" spans="3:53" ht="17.399999999999999" customHeight="1">
      <c r="E59" s="187"/>
      <c r="F59" s="187"/>
      <c r="G59" s="157" t="s">
        <v>21</v>
      </c>
      <c r="H59" s="188"/>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row>
    <row r="60" spans="3:53" ht="17.399999999999999" customHeight="1">
      <c r="C60" s="1" t="s">
        <v>0</v>
      </c>
      <c r="I60" s="1"/>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row>
    <row r="61" spans="3:53" ht="17.399999999999999" customHeight="1">
      <c r="D61" s="157" t="s">
        <v>23</v>
      </c>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row>
    <row r="62" spans="3:53" ht="17.399999999999999" customHeight="1">
      <c r="D62" s="157" t="s">
        <v>25</v>
      </c>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row>
    <row r="63" spans="3:53" ht="17.25" customHeight="1">
      <c r="D63" s="157" t="s">
        <v>27</v>
      </c>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row>
    <row r="64" spans="3:53" ht="17.399999999999999" customHeight="1">
      <c r="E64" s="1"/>
      <c r="F64" s="1"/>
      <c r="G64" s="189"/>
      <c r="H64" s="189"/>
      <c r="I64" s="188"/>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row>
    <row r="65" spans="3:53" ht="17.399999999999999" customHeight="1">
      <c r="C65" s="1" t="s">
        <v>28</v>
      </c>
      <c r="E65" s="1"/>
      <c r="F65" s="1"/>
      <c r="G65" s="188"/>
      <c r="H65" s="188"/>
      <c r="I65" s="188"/>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row>
    <row r="66" spans="3:53" ht="17.399999999999999" customHeight="1">
      <c r="D66" s="1" t="s">
        <v>57</v>
      </c>
      <c r="E66" s="190">
        <f>L17*1000</f>
        <v>500</v>
      </c>
      <c r="F66" s="157" t="s">
        <v>21</v>
      </c>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row>
    <row r="67" spans="3:53" ht="17.399999999999999" customHeight="1">
      <c r="D67" s="1" t="s">
        <v>59</v>
      </c>
      <c r="E67" s="12">
        <f>'1'!C48</f>
        <v>2.5851456709068479E-2</v>
      </c>
      <c r="F67" s="187"/>
      <c r="G67" s="192" t="s">
        <v>36</v>
      </c>
      <c r="H67" s="192" t="s">
        <v>60</v>
      </c>
      <c r="I67" s="157">
        <f>K9</f>
        <v>75</v>
      </c>
      <c r="J67" s="193" t="s">
        <v>33</v>
      </c>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row>
    <row r="68" spans="3:53" ht="17.399999999999999" customHeight="1">
      <c r="H68" s="192" t="s">
        <v>647</v>
      </c>
      <c r="I68" s="157">
        <f>K11</f>
        <v>5</v>
      </c>
      <c r="J68" s="193" t="s">
        <v>33</v>
      </c>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row>
    <row r="69" spans="3:53" ht="17.399999999999999" customHeight="1">
      <c r="C69" s="1" t="s">
        <v>32</v>
      </c>
      <c r="G69" s="157" t="s">
        <v>654</v>
      </c>
      <c r="I69" s="157" t="str">
        <f>'1'!F25</f>
        <v>woda</v>
      </c>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row>
    <row r="70" spans="3:53" ht="17.399999999999999" customHeight="1">
      <c r="D70" s="1" t="s">
        <v>58</v>
      </c>
      <c r="E70" s="184">
        <f>E66*E67</f>
        <v>12.92572835453424</v>
      </c>
      <c r="F70" s="157" t="s">
        <v>230</v>
      </c>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row>
    <row r="71" spans="3:53" ht="17.399999999999999" customHeight="1">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row>
    <row r="72" spans="3:53" ht="17.399999999999999" customHeight="1">
      <c r="C72" s="183" t="s">
        <v>37</v>
      </c>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row>
    <row r="73" spans="3:53" ht="17.399999999999999" customHeight="1">
      <c r="E73" s="194"/>
      <c r="F73" s="194"/>
      <c r="G73" s="188"/>
      <c r="H73" s="188"/>
      <c r="I73" s="188"/>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row>
    <row r="74" spans="3:53" ht="17.399999999999999" customHeight="1">
      <c r="G74" s="157" t="s">
        <v>21</v>
      </c>
      <c r="H74" s="157" t="s">
        <v>38</v>
      </c>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row>
    <row r="75" spans="3:53" ht="17.399999999999999" customHeight="1">
      <c r="C75" s="1" t="s">
        <v>0</v>
      </c>
      <c r="E75" s="1"/>
      <c r="F75" s="1"/>
      <c r="G75" s="189"/>
      <c r="H75" s="189"/>
      <c r="I75" s="188"/>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row>
    <row r="76" spans="3:53" ht="17.399999999999999" customHeight="1">
      <c r="D76" s="157" t="s">
        <v>22</v>
      </c>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row>
    <row r="77" spans="3:53" ht="17.399999999999999" customHeight="1">
      <c r="D77" s="157" t="s">
        <v>475</v>
      </c>
      <c r="I77" s="157" t="s">
        <v>473</v>
      </c>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row>
    <row r="78" spans="3:53" ht="17.399999999999999" customHeight="1">
      <c r="C78" s="183"/>
      <c r="D78" s="157" t="s">
        <v>27</v>
      </c>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row>
    <row r="79" spans="3:53" ht="17.399999999999999" customHeight="1">
      <c r="C79" s="183"/>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row>
    <row r="80" spans="3:53" ht="17.399999999999999" customHeight="1">
      <c r="C80" s="1" t="s">
        <v>28</v>
      </c>
      <c r="E80" s="1"/>
      <c r="F80" s="1"/>
      <c r="G80" s="195"/>
      <c r="H80" s="195"/>
      <c r="I80" s="188"/>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row>
    <row r="81" spans="3:53" ht="17.399999999999999" customHeight="1">
      <c r="D81" s="1" t="s">
        <v>57</v>
      </c>
      <c r="E81" s="190">
        <f>L17*1000</f>
        <v>500</v>
      </c>
      <c r="F81" s="157" t="s">
        <v>21</v>
      </c>
      <c r="G81" s="196"/>
      <c r="H81" s="196"/>
      <c r="I81" s="197"/>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row>
    <row r="82" spans="3:53" ht="17.399999999999999" customHeight="1">
      <c r="D82" s="1" t="s">
        <v>476</v>
      </c>
      <c r="E82" s="157">
        <f>K26</f>
        <v>0.5</v>
      </c>
      <c r="F82" s="157" t="s">
        <v>264</v>
      </c>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row>
    <row r="83" spans="3:53" ht="17.399999999999999" customHeight="1">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row>
    <row r="84" spans="3:53" ht="17.399999999999999" customHeight="1">
      <c r="C84" s="1" t="s">
        <v>32</v>
      </c>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row>
    <row r="85" spans="3:53" ht="17.399999999999999" customHeight="1">
      <c r="D85" s="1" t="s">
        <v>61</v>
      </c>
      <c r="E85" s="184">
        <f>IF('1'!C49&lt;3,3,'1'!C49)</f>
        <v>3</v>
      </c>
      <c r="F85" s="157" t="s">
        <v>230</v>
      </c>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row>
    <row r="86" spans="3:53" ht="17.399999999999999" customHeight="1">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row>
    <row r="87" spans="3:53" ht="17.399999999999999" customHeight="1">
      <c r="C87" s="183" t="s">
        <v>40</v>
      </c>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row>
    <row r="88" spans="3:53" ht="17.399999999999999" customHeight="1">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row>
    <row r="89" spans="3:53" ht="17.399999999999999" customHeight="1">
      <c r="G89" s="157" t="s">
        <v>41</v>
      </c>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row>
    <row r="90" spans="3:53" ht="17.399999999999999" customHeight="1">
      <c r="C90" s="1" t="s">
        <v>0</v>
      </c>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row>
    <row r="91" spans="3:53" ht="17.399999999999999" customHeight="1">
      <c r="D91" s="157" t="s">
        <v>42</v>
      </c>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row>
    <row r="92" spans="3:53" ht="17.399999999999999" customHeight="1">
      <c r="C92" s="183"/>
      <c r="D92" s="157" t="s">
        <v>43</v>
      </c>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row>
    <row r="93" spans="3:53" ht="17.399999999999999" customHeight="1">
      <c r="D93" s="157" t="s">
        <v>44</v>
      </c>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row>
    <row r="94" spans="3:53" ht="17.399999999999999" customHeight="1">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row>
    <row r="95" spans="3:53" ht="17.399999999999999" customHeight="1">
      <c r="C95" s="1" t="s">
        <v>28</v>
      </c>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row>
    <row r="96" spans="3:53" ht="17.399999999999999" customHeight="1">
      <c r="D96" s="1" t="s">
        <v>62</v>
      </c>
      <c r="E96" s="157">
        <f>K19</f>
        <v>7</v>
      </c>
      <c r="F96" s="157" t="s">
        <v>231</v>
      </c>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row>
    <row r="97" spans="3:53" ht="17.399999999999999" customHeight="1">
      <c r="D97" s="1" t="s">
        <v>63</v>
      </c>
      <c r="E97" s="157">
        <f>IF(K9&gt;100,'1'!C50,0)</f>
        <v>0</v>
      </c>
      <c r="F97" s="157" t="s">
        <v>41</v>
      </c>
      <c r="G97" s="191" t="s">
        <v>36</v>
      </c>
      <c r="H97" s="192" t="s">
        <v>60</v>
      </c>
      <c r="I97" s="157">
        <f>K9</f>
        <v>75</v>
      </c>
      <c r="J97" s="193" t="s">
        <v>33</v>
      </c>
      <c r="L97" s="198"/>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row>
    <row r="98" spans="3:53" ht="17.399999999999999" customHeight="1">
      <c r="C98" s="1" t="s">
        <v>32</v>
      </c>
      <c r="G98" s="336" t="s">
        <v>778</v>
      </c>
      <c r="J98" s="157" t="str">
        <f>'1'!F25</f>
        <v>woda</v>
      </c>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row>
    <row r="99" spans="3:53" ht="17.399999999999999" customHeight="1">
      <c r="D99" s="1" t="s">
        <v>64</v>
      </c>
      <c r="E99" s="184">
        <f>E96/10+E97+0.3</f>
        <v>1</v>
      </c>
      <c r="F99" s="199" t="s">
        <v>3</v>
      </c>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row>
    <row r="100" spans="3:53" ht="17.399999999999999" customHeight="1">
      <c r="E100" s="1"/>
      <c r="F100" s="1"/>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row>
    <row r="101" spans="3:53" ht="17.399999999999999" customHeight="1">
      <c r="C101" s="183" t="s">
        <v>66</v>
      </c>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row>
    <row r="102" spans="3:53" ht="17.399999999999999" customHeight="1">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row>
    <row r="103" spans="3:53" ht="17.399999999999999" customHeight="1">
      <c r="G103" s="157" t="s">
        <v>41</v>
      </c>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row>
    <row r="104" spans="3:53" ht="17.399999999999999" customHeight="1">
      <c r="C104" s="1" t="s">
        <v>0</v>
      </c>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row>
    <row r="105" spans="3:53" ht="17.399999999999999" customHeight="1">
      <c r="D105" s="157" t="s">
        <v>65</v>
      </c>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row>
    <row r="106" spans="3:53" ht="17.399999999999999" customHeight="1">
      <c r="D106" s="157" t="s">
        <v>67</v>
      </c>
      <c r="E106" s="190"/>
      <c r="F106" s="190"/>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row>
    <row r="107" spans="3:53" ht="17.399999999999999" customHeight="1">
      <c r="D107" s="157" t="s">
        <v>68</v>
      </c>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row>
    <row r="108" spans="3:53" ht="17.399999999999999" customHeight="1">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row>
    <row r="109" spans="3:53" ht="17.399999999999999" customHeight="1">
      <c r="C109" s="1" t="s">
        <v>28</v>
      </c>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row>
    <row r="110" spans="3:53" ht="17.399999999999999" customHeight="1">
      <c r="D110" s="1" t="s">
        <v>69</v>
      </c>
      <c r="E110" s="184">
        <f>K21</f>
        <v>3</v>
      </c>
      <c r="F110" s="200" t="s">
        <v>41</v>
      </c>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row>
    <row r="111" spans="3:53" ht="17.399999999999999" customHeight="1">
      <c r="C111" s="1"/>
      <c r="D111" s="201" t="s">
        <v>70</v>
      </c>
      <c r="E111" s="202">
        <f>IF(E110&gt;5,0.1*E110,0.5)</f>
        <v>0.5</v>
      </c>
      <c r="F111" s="200" t="s">
        <v>41</v>
      </c>
      <c r="G111" s="203"/>
      <c r="H111" s="203"/>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row>
    <row r="112" spans="3:53" ht="17.399999999999999" customHeight="1">
      <c r="C112" s="1" t="s">
        <v>32</v>
      </c>
      <c r="E112" s="204"/>
      <c r="F112" s="205"/>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row>
    <row r="113" spans="3:53" ht="17.399999999999999" customHeight="1">
      <c r="D113" s="1" t="s">
        <v>71</v>
      </c>
      <c r="E113" s="184">
        <f>E110-E111</f>
        <v>2.5</v>
      </c>
      <c r="F113" s="200" t="s">
        <v>3</v>
      </c>
      <c r="J113" s="485"/>
      <c r="K113" s="486"/>
      <c r="L113" s="188"/>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row>
    <row r="114" spans="3:53" ht="17.399999999999999" customHeight="1">
      <c r="I114" s="206"/>
      <c r="J114" s="207"/>
      <c r="K114" s="183"/>
      <c r="L114" s="183"/>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row>
    <row r="115" spans="3:53" ht="17.399999999999999" customHeight="1">
      <c r="C115" s="183" t="s">
        <v>72</v>
      </c>
      <c r="J115" s="207"/>
      <c r="K115" s="183"/>
      <c r="L115" s="183"/>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row>
    <row r="116" spans="3:53" ht="17.399999999999999" customHeight="1">
      <c r="J116" s="207"/>
      <c r="K116" s="183"/>
      <c r="L116" s="183"/>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row>
    <row r="117" spans="3:53" ht="17.399999999999999" customHeight="1">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row>
    <row r="118" spans="3:53" ht="17.399999999999999" customHeight="1">
      <c r="C118" s="1" t="s">
        <v>0</v>
      </c>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row>
    <row r="119" spans="3:53" ht="17.399999999999999" customHeight="1">
      <c r="D119" s="157" t="s">
        <v>73</v>
      </c>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row>
    <row r="120" spans="3:53" ht="17.399999999999999" customHeight="1">
      <c r="D120" s="157" t="s">
        <v>65</v>
      </c>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row>
    <row r="121" spans="3:53" ht="17.399999999999999" customHeight="1">
      <c r="D121" s="157" t="s">
        <v>74</v>
      </c>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row>
    <row r="122" spans="3:53" ht="17.399999999999999" customHeight="1">
      <c r="C122" s="208"/>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row>
    <row r="123" spans="3:53" ht="17.399999999999999" customHeight="1">
      <c r="C123" s="1" t="s">
        <v>28</v>
      </c>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row>
    <row r="124" spans="3:53" ht="17.399999999999999" customHeight="1">
      <c r="D124" s="1" t="s">
        <v>71</v>
      </c>
      <c r="E124" s="184">
        <f>E113</f>
        <v>2.5</v>
      </c>
      <c r="F124" s="200" t="s">
        <v>41</v>
      </c>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row>
    <row r="125" spans="3:53" ht="17.399999999999999" customHeight="1">
      <c r="D125" s="1" t="s">
        <v>64</v>
      </c>
      <c r="E125" s="184">
        <f>E99</f>
        <v>1</v>
      </c>
      <c r="F125" s="200" t="s">
        <v>41</v>
      </c>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row>
    <row r="126" spans="3:53" ht="17.399999999999999" customHeight="1">
      <c r="C126" s="1" t="s">
        <v>32</v>
      </c>
      <c r="J126" s="207"/>
      <c r="K126" s="183"/>
      <c r="L126" s="183"/>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row>
    <row r="127" spans="3:53" ht="17.399999999999999" customHeight="1">
      <c r="D127" s="1" t="s">
        <v>75</v>
      </c>
      <c r="E127" s="204">
        <f>(E124+1)/(E124-E125)</f>
        <v>2.3333333333333335</v>
      </c>
      <c r="J127" s="209"/>
      <c r="K127" s="183"/>
      <c r="L127" s="183"/>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row>
    <row r="128" spans="3:53" ht="17.399999999999999" customHeight="1">
      <c r="J128" s="207"/>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row>
    <row r="129" spans="2:53" ht="17.399999999999999" customHeight="1">
      <c r="C129" s="183" t="s">
        <v>76</v>
      </c>
      <c r="J129" s="207"/>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row>
    <row r="130" spans="2:53" ht="17.399999999999999" customHeight="1">
      <c r="J130" s="207"/>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row>
    <row r="131" spans="2:53" ht="17.399999999999999" customHeight="1">
      <c r="C131" s="1" t="s">
        <v>28</v>
      </c>
      <c r="J131" s="207"/>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row>
    <row r="132" spans="2:53" ht="17.399999999999999" customHeight="1">
      <c r="D132" s="1" t="s">
        <v>58</v>
      </c>
      <c r="E132" s="184">
        <f>E70</f>
        <v>12.92572835453424</v>
      </c>
      <c r="F132" s="157" t="s">
        <v>21</v>
      </c>
      <c r="J132" s="207"/>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row>
    <row r="133" spans="2:53" ht="17.399999999999999" customHeight="1">
      <c r="D133" s="1" t="s">
        <v>61</v>
      </c>
      <c r="E133" s="184">
        <f>E85</f>
        <v>3</v>
      </c>
      <c r="F133" s="157" t="s">
        <v>21</v>
      </c>
      <c r="J133" s="207"/>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row>
    <row r="134" spans="2:53" ht="17.399999999999999" customHeight="1">
      <c r="D134" s="1" t="s">
        <v>71</v>
      </c>
      <c r="E134" s="184">
        <f>E113</f>
        <v>2.5</v>
      </c>
      <c r="F134" s="200" t="s">
        <v>41</v>
      </c>
      <c r="J134" s="207"/>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row>
    <row r="135" spans="2:53" ht="17.399999999999999" customHeight="1">
      <c r="D135" s="1" t="s">
        <v>64</v>
      </c>
      <c r="E135" s="184">
        <f>E99</f>
        <v>1</v>
      </c>
      <c r="F135" s="200" t="s">
        <v>41</v>
      </c>
      <c r="J135" s="207"/>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row>
    <row r="136" spans="2:53" ht="17.399999999999999" customHeight="1">
      <c r="C136" s="1" t="s">
        <v>32</v>
      </c>
      <c r="J136" s="207"/>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row>
    <row r="137" spans="2:53" ht="17.399999999999999" customHeight="1">
      <c r="D137" s="275" t="s">
        <v>685</v>
      </c>
      <c r="E137" s="239">
        <f>(E132+E133+'1'!D46)*E127</f>
        <v>37.16003282724656</v>
      </c>
      <c r="F137" s="217" t="s">
        <v>664</v>
      </c>
      <c r="J137" s="207"/>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row>
    <row r="138" spans="2:53" ht="17.399999999999999" customHeight="1">
      <c r="J138" s="207"/>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row>
    <row r="139" spans="2:53" ht="17.399999999999999" customHeight="1">
      <c r="C139" s="183" t="s">
        <v>123</v>
      </c>
      <c r="J139" s="207"/>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row>
    <row r="140" spans="2:53" ht="17.399999999999999" customHeight="1">
      <c r="B140" s="276"/>
      <c r="C140" s="276"/>
      <c r="D140" s="276"/>
      <c r="E140" s="276"/>
      <c r="F140" s="276"/>
      <c r="G140" s="276"/>
      <c r="H140" s="276"/>
      <c r="I140" s="276"/>
      <c r="J140" s="277"/>
      <c r="K140" s="276"/>
      <c r="L140" s="276"/>
      <c r="M140" s="276"/>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row>
    <row r="141" spans="2:53" ht="17.399999999999999" customHeight="1">
      <c r="B141" s="276"/>
      <c r="C141" s="276"/>
      <c r="D141" s="276"/>
      <c r="E141" s="276"/>
      <c r="F141" s="285" t="s">
        <v>124</v>
      </c>
      <c r="G141" s="286">
        <v>1</v>
      </c>
      <c r="H141" s="287" t="s">
        <v>1</v>
      </c>
      <c r="I141" s="279"/>
      <c r="J141" s="277"/>
      <c r="K141" s="276"/>
      <c r="L141" s="276"/>
      <c r="M141" s="276"/>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row>
    <row r="142" spans="2:53" ht="22.5" customHeight="1">
      <c r="B142" s="276"/>
      <c r="C142" s="338" t="str">
        <f>C162</f>
        <v>Dobrane naczynia spełniają wymagania normy PN-EN-12828</v>
      </c>
      <c r="D142" s="276"/>
      <c r="E142" s="276"/>
      <c r="F142" s="278"/>
      <c r="G142" s="276"/>
      <c r="H142" s="276"/>
      <c r="I142" s="276"/>
      <c r="J142" s="281"/>
      <c r="K142" s="276"/>
      <c r="L142" s="276"/>
      <c r="M142" s="276"/>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row>
    <row r="143" spans="2:53" ht="17.399999999999999" customHeight="1">
      <c r="B143" s="276"/>
      <c r="C143" s="280" t="str">
        <f>C163</f>
        <v/>
      </c>
      <c r="D143" s="276"/>
      <c r="E143" s="276"/>
      <c r="F143" s="278"/>
      <c r="G143" s="276"/>
      <c r="H143" s="276"/>
      <c r="I143" s="276"/>
      <c r="J143" s="281"/>
      <c r="K143" s="276"/>
      <c r="L143" s="276"/>
      <c r="M143" s="276"/>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row>
    <row r="144" spans="2:53" ht="17.399999999999999" customHeight="1">
      <c r="B144" s="276"/>
      <c r="C144" s="280" t="str">
        <f>IF('1'!F49&lt;'NW wg PN-EN-12828'!K21,"Ciśnienie nominalne dla naczynia wzbiorczego jest mniejsze niż wybrane PSV","")</f>
        <v/>
      </c>
      <c r="D144" s="276"/>
      <c r="E144" s="282"/>
      <c r="F144" s="282"/>
      <c r="G144" s="283"/>
      <c r="H144" s="283"/>
      <c r="I144" s="284"/>
      <c r="J144" s="281"/>
      <c r="K144" s="276"/>
      <c r="L144" s="276"/>
      <c r="M144" s="276"/>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row>
    <row r="145" spans="2:53" ht="17.399999999999999" customHeight="1">
      <c r="B145" s="276"/>
      <c r="C145" s="280" t="str">
        <f>IF(C144="Ciśnienie nominalne dla naczynia wzbiorczego jest mniejsze niż wybrane PSV","Wybierz naczynie o wyższym ciśnieniu nominalnym!!!","")</f>
        <v/>
      </c>
      <c r="D145" s="276"/>
      <c r="E145" s="282"/>
      <c r="F145" s="282"/>
      <c r="G145" s="283"/>
      <c r="H145" s="283"/>
      <c r="I145" s="284"/>
      <c r="J145" s="281"/>
      <c r="K145" s="276"/>
      <c r="L145" s="276"/>
      <c r="M145" s="276"/>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row>
    <row r="146" spans="2:53" ht="17.399999999999999" customHeight="1">
      <c r="C146" s="157" t="s">
        <v>129</v>
      </c>
      <c r="I146" s="157" t="str">
        <f>VLOOKUP('1'!B52,'1'!A54:F99,2,0)</f>
        <v>Statico SD 80.3</v>
      </c>
      <c r="K146" s="157" t="s">
        <v>130</v>
      </c>
      <c r="L146" s="188">
        <f>G141</f>
        <v>1</v>
      </c>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row>
    <row r="147" spans="2:53" ht="17.399999999999999" customHeight="1">
      <c r="C147" s="157" t="s">
        <v>131</v>
      </c>
      <c r="F147" s="157">
        <f>'1'!F48*'NW wg PN-EN-12828'!L146</f>
        <v>80</v>
      </c>
      <c r="G147" s="157" t="s">
        <v>230</v>
      </c>
      <c r="L147" s="158"/>
      <c r="O147" s="159"/>
      <c r="P147" s="180" t="s">
        <v>226</v>
      </c>
      <c r="Q147" s="180"/>
      <c r="R147" s="180"/>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row>
    <row r="148" spans="2:53" ht="17.399999999999999" customHeight="1">
      <c r="O148" s="159"/>
      <c r="P148" s="180" t="s">
        <v>227</v>
      </c>
      <c r="R148" s="151" t="s">
        <v>229</v>
      </c>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row>
    <row r="149" spans="2:53" ht="17.399999999999999" customHeight="1">
      <c r="C149" s="183" t="s">
        <v>679</v>
      </c>
      <c r="O149" s="159"/>
      <c r="P149" s="180" t="s">
        <v>228</v>
      </c>
      <c r="R149" s="151" t="s">
        <v>229</v>
      </c>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row>
    <row r="150" spans="2:53" ht="17.399999999999999" customHeight="1">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row>
    <row r="151" spans="2:53" ht="17.399999999999999" customHeight="1">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row>
    <row r="152" spans="2:53" ht="17.399999999999999" customHeight="1">
      <c r="C152" s="1" t="s">
        <v>0</v>
      </c>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row>
    <row r="153" spans="2:53" ht="17.399999999999999" customHeight="1">
      <c r="D153" s="157" t="s">
        <v>132</v>
      </c>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row>
    <row r="154" spans="2:53" ht="17.399999999999999" customHeight="1">
      <c r="D154" s="157" t="s">
        <v>133</v>
      </c>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row>
    <row r="155" spans="2:53" ht="17.399999999999999" customHeight="1">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row>
    <row r="156" spans="2:53" ht="17.399999999999999" customHeight="1">
      <c r="C156" s="1" t="s">
        <v>28</v>
      </c>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row>
    <row r="157" spans="2:53" ht="17.399999999999999" customHeight="1">
      <c r="D157" s="1" t="s">
        <v>136</v>
      </c>
      <c r="E157" s="187">
        <f>E137</f>
        <v>37.16003282724656</v>
      </c>
      <c r="F157" s="157" t="s">
        <v>21</v>
      </c>
      <c r="G157" s="158"/>
      <c r="H157" s="158"/>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row>
    <row r="158" spans="2:53" ht="17.399999999999999" customHeight="1">
      <c r="D158" s="1" t="s">
        <v>137</v>
      </c>
      <c r="E158" s="1">
        <f>F147</f>
        <v>80</v>
      </c>
      <c r="F158" s="157" t="s">
        <v>21</v>
      </c>
      <c r="G158" s="158"/>
      <c r="H158" s="158"/>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row>
    <row r="159" spans="2:53" ht="17.399999999999999" customHeight="1">
      <c r="E159" s="1"/>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row>
    <row r="160" spans="2:53" ht="17.399999999999999" customHeight="1">
      <c r="F160" s="157" t="s">
        <v>135</v>
      </c>
      <c r="G160" s="157" t="str">
        <f>IF(E158&gt;E157,"większe od",IF(E158=E157,"równe","mniejsze od"))</f>
        <v>większe od</v>
      </c>
      <c r="I160" s="157" t="s">
        <v>134</v>
      </c>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row>
    <row r="161" spans="3:53" ht="17.399999999999999" customHeight="1">
      <c r="C161" s="212"/>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row>
    <row r="162" spans="3:53" ht="17.399999999999999" customHeight="1">
      <c r="C162" s="225" t="str">
        <f>IF('1'!F49&lt;'NW wg PN-EN-12828'!K21,"Dobrane naczynia nie spełniają wymogów normy PN-EN-12828",IF(G160="mniejsze od","Dobrane naczynia nie spełniają wymogów normy PN-EN-12828","Dobrane naczynia spełniają wymagania normy PN-EN-12828"))</f>
        <v>Dobrane naczynia spełniają wymagania normy PN-EN-12828</v>
      </c>
      <c r="J162" s="212"/>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row>
    <row r="163" spans="3:53" ht="17.399999999999999" customHeight="1">
      <c r="C163" s="212" t="str">
        <f>IF(G160="mniejsze od","Dobierz naczynie wzbiorcze o większej pojemności lub zwiększ ich liczbę!!!","")</f>
        <v/>
      </c>
      <c r="I163" s="212"/>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row>
    <row r="164" spans="3:53" ht="17.399999999999999" customHeight="1">
      <c r="C164" s="183" t="s">
        <v>680</v>
      </c>
      <c r="I164" s="212"/>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row>
    <row r="165" spans="3:53" ht="17.399999999999999" customHeight="1">
      <c r="C165" s="212"/>
      <c r="I165" s="212"/>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row>
    <row r="166" spans="3:53" ht="17.399999999999999" customHeight="1">
      <c r="C166" s="212"/>
      <c r="G166" s="157" t="s">
        <v>211</v>
      </c>
      <c r="I166" s="212"/>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row>
    <row r="167" spans="3:53" ht="17.399999999999999" customHeight="1">
      <c r="C167" s="1" t="s">
        <v>0</v>
      </c>
      <c r="I167" s="212"/>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row>
    <row r="168" spans="3:53" ht="17.399999999999999" customHeight="1">
      <c r="D168" s="157" t="s">
        <v>215</v>
      </c>
      <c r="I168" s="212"/>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row>
    <row r="169" spans="3:53" ht="17.399999999999999" customHeight="1">
      <c r="D169" s="157" t="s">
        <v>23</v>
      </c>
      <c r="I169" s="212"/>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row>
    <row r="170" spans="3:53" ht="17.399999999999999" customHeight="1">
      <c r="C170" s="1" t="s">
        <v>28</v>
      </c>
      <c r="I170" s="212"/>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row>
    <row r="171" spans="3:53" ht="17.399999999999999" customHeight="1">
      <c r="D171" s="1" t="s">
        <v>58</v>
      </c>
      <c r="E171" s="187">
        <f>E70</f>
        <v>12.92572835453424</v>
      </c>
      <c r="F171" s="157" t="s">
        <v>21</v>
      </c>
      <c r="I171" s="212"/>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row>
    <row r="172" spans="3:53" ht="17.399999999999999" customHeight="1">
      <c r="C172" s="1" t="s">
        <v>32</v>
      </c>
      <c r="E172" s="1"/>
      <c r="I172" s="212"/>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row>
    <row r="173" spans="3:53" ht="17.399999999999999" customHeight="1">
      <c r="D173" s="1" t="s">
        <v>213</v>
      </c>
      <c r="E173" s="190">
        <f>IF('1'!F33&lt;21,20,'1'!F33)</f>
        <v>20</v>
      </c>
      <c r="F173" s="157" t="s">
        <v>214</v>
      </c>
      <c r="I173" s="212"/>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row>
    <row r="174" spans="3:53" ht="17.399999999999999" customHeight="1">
      <c r="C174" s="212"/>
      <c r="I174" s="212"/>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row>
    <row r="175" spans="3:53" ht="17.399999999999999" customHeight="1">
      <c r="C175" s="183" t="s">
        <v>681</v>
      </c>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row>
    <row r="176" spans="3:53" ht="17.399999999999999" customHeight="1">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row>
    <row r="177" spans="3:53" ht="17.399999999999999" customHeight="1">
      <c r="C177" s="157" t="s">
        <v>139</v>
      </c>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row>
    <row r="178" spans="3:53" ht="17.399999999999999" customHeight="1">
      <c r="D178" s="183" t="str">
        <f>I146</f>
        <v>Statico SD 80.3</v>
      </c>
      <c r="F178" s="157" t="s">
        <v>130</v>
      </c>
      <c r="I178" s="183">
        <f>G141</f>
        <v>1</v>
      </c>
      <c r="J178" s="183" t="s">
        <v>1</v>
      </c>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row>
    <row r="179" spans="3:53" ht="17.399999999999999" customHeight="1">
      <c r="D179" s="157" t="s">
        <v>140</v>
      </c>
      <c r="I179" s="157">
        <f>VLOOKUP('1'!B52,'1'!A54:F99,3,0)</f>
        <v>80</v>
      </c>
      <c r="J179" s="188" t="s">
        <v>141</v>
      </c>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row>
    <row r="180" spans="3:53" ht="17.399999999999999" customHeight="1">
      <c r="D180" s="157" t="s">
        <v>159</v>
      </c>
      <c r="I180" s="157">
        <f>VLOOKUP('1'!B52,'1'!A54:F99,4,0)</f>
        <v>3</v>
      </c>
      <c r="J180" s="188" t="s">
        <v>3</v>
      </c>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row>
    <row r="181" spans="3:53" ht="17.399999999999999" customHeight="1">
      <c r="D181" s="157" t="s">
        <v>142</v>
      </c>
      <c r="I181" s="229">
        <f>VLOOKUP('1'!B52,'1'!A54:F99,6,0)</f>
        <v>7101006</v>
      </c>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row>
    <row r="182" spans="3:53" ht="17.399999999999999" customHeight="1">
      <c r="D182" s="157" t="s">
        <v>145</v>
      </c>
      <c r="I182" s="157">
        <f>I179+'1'!F50</f>
        <v>92.7</v>
      </c>
      <c r="J182" s="188" t="s">
        <v>146</v>
      </c>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row>
    <row r="183" spans="3:53" ht="17.399999999999999" customHeight="1">
      <c r="D183" s="157" t="s">
        <v>147</v>
      </c>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row>
    <row r="184" spans="3:53" ht="17.399999999999999" customHeight="1">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row>
    <row r="185" spans="3:53" ht="17.399999999999999" customHeight="1">
      <c r="C185" s="183" t="s">
        <v>705</v>
      </c>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row>
    <row r="186" spans="3:53" ht="17.399999999999999" customHeight="1">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row>
    <row r="187" spans="3:53" ht="17.399999999999999" customHeight="1">
      <c r="C187" s="157" t="s">
        <v>148</v>
      </c>
      <c r="H187" s="214">
        <f>1/E127</f>
        <v>0.42857142857142855</v>
      </c>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row>
    <row r="188" spans="3:53" ht="17.399999999999999" customHeight="1">
      <c r="C188" s="215" t="str">
        <f>IF(H187&lt;15%,"Wybierz zawór bezpieczeństwa o wyższym PSV lub dobierz urządzenie automatyczne!!!","")</f>
        <v/>
      </c>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row>
    <row r="189" spans="3:53" ht="17.399999999999999" customHeight="1">
      <c r="C189" s="157" t="s">
        <v>653</v>
      </c>
      <c r="H189" s="214"/>
      <c r="J189" s="158" t="s">
        <v>149</v>
      </c>
      <c r="K189" s="214">
        <f>(I179/(E137/G141))-1</f>
        <v>1.1528506277675361</v>
      </c>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row>
    <row r="190" spans="3:53" ht="17.399999999999999" customHeight="1">
      <c r="C190" s="157" t="s">
        <v>150</v>
      </c>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row>
    <row r="191" spans="3:53" ht="17.399999999999999" customHeight="1">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row>
    <row r="192" spans="3:53" ht="17.399999999999999" customHeight="1">
      <c r="H192" s="157" t="s">
        <v>41</v>
      </c>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row>
    <row r="193" spans="3:53" ht="17.25" customHeight="1">
      <c r="C193" s="1" t="s">
        <v>0</v>
      </c>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row>
    <row r="194" spans="3:53" ht="17.399999999999999" customHeight="1">
      <c r="D194" s="157" t="s">
        <v>155</v>
      </c>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row>
    <row r="195" spans="3:53" ht="17.399999999999999" customHeight="1">
      <c r="D195" s="157" t="s">
        <v>74</v>
      </c>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row>
    <row r="196" spans="3:53" ht="17.399999999999999" customHeight="1">
      <c r="D196" s="157" t="s">
        <v>133</v>
      </c>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row>
    <row r="197" spans="3:53" ht="17.399999999999999" customHeight="1">
      <c r="D197" s="336" t="s">
        <v>780</v>
      </c>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row>
    <row r="198" spans="3:53" ht="17.399999999999999" customHeight="1">
      <c r="C198" s="1" t="s">
        <v>28</v>
      </c>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row>
    <row r="199" spans="3:53" ht="17.399999999999999" customHeight="1">
      <c r="D199" s="1" t="s">
        <v>137</v>
      </c>
      <c r="E199" s="187">
        <f>E158</f>
        <v>80</v>
      </c>
      <c r="F199" s="157" t="s">
        <v>21</v>
      </c>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row>
    <row r="200" spans="3:53" ht="17.399999999999999" customHeight="1">
      <c r="D200" s="1" t="s">
        <v>152</v>
      </c>
      <c r="E200" s="187">
        <f>E85</f>
        <v>3</v>
      </c>
      <c r="F200" s="157" t="s">
        <v>21</v>
      </c>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row>
    <row r="201" spans="3:53" ht="17.399999999999999" customHeight="1">
      <c r="D201" s="1" t="s">
        <v>64</v>
      </c>
      <c r="E201" s="184">
        <f>E135</f>
        <v>1</v>
      </c>
      <c r="F201" s="200" t="s">
        <v>41</v>
      </c>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row>
    <row r="202" spans="3:53" ht="17.399999999999999" customHeight="1">
      <c r="C202" s="1" t="s">
        <v>32</v>
      </c>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row>
    <row r="203" spans="3:53" ht="17.399999999999999" customHeight="1">
      <c r="D203" s="1" t="s">
        <v>154</v>
      </c>
      <c r="E203" s="204">
        <f>((E199*(E201+1))/(E199-E200))-1</f>
        <v>1.0779220779220777</v>
      </c>
      <c r="F203" s="157" t="s">
        <v>3</v>
      </c>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row>
    <row r="204" spans="3:53" ht="17.399999999999999" customHeight="1">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row>
    <row r="205" spans="3:53" ht="17.399999999999999" customHeight="1">
      <c r="C205" s="183" t="s">
        <v>706</v>
      </c>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row>
    <row r="206" spans="3:53" ht="17.399999999999999" customHeight="1">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row>
    <row r="207" spans="3:53" ht="17.399999999999999" customHeight="1">
      <c r="H207" s="1" t="s">
        <v>21</v>
      </c>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row>
    <row r="208" spans="3:53" ht="17.399999999999999" customHeight="1">
      <c r="C208" s="1" t="s">
        <v>28</v>
      </c>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row>
    <row r="209" spans="3:53" ht="17.399999999999999" customHeight="1">
      <c r="C209" s="1"/>
      <c r="D209" s="1" t="s">
        <v>137</v>
      </c>
      <c r="E209" s="187">
        <f>E199</f>
        <v>80</v>
      </c>
      <c r="F209" s="157" t="s">
        <v>21</v>
      </c>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row>
    <row r="210" spans="3:53" ht="17.399999999999999" customHeight="1">
      <c r="D210" s="1" t="s">
        <v>64</v>
      </c>
      <c r="E210" s="184">
        <f>E201</f>
        <v>1</v>
      </c>
      <c r="F210" s="200" t="s">
        <v>41</v>
      </c>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row>
    <row r="211" spans="3:53" ht="24" customHeight="1">
      <c r="D211" s="1" t="s">
        <v>156</v>
      </c>
      <c r="E211" s="253">
        <f>IF('1'!F17&gt;0,'1'!F21,E203)</f>
        <v>1.0819778789850338</v>
      </c>
      <c r="F211" s="200" t="s">
        <v>41</v>
      </c>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row>
    <row r="212" spans="3:53" ht="17.399999999999999" customHeight="1">
      <c r="C212" s="1" t="s">
        <v>32</v>
      </c>
      <c r="E212" s="187"/>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row>
    <row r="213" spans="3:53" ht="17.399999999999999" customHeight="1">
      <c r="D213" s="1" t="s">
        <v>61</v>
      </c>
      <c r="E213" s="184">
        <f>IF('1'!F32&lt;0,0,'1'!F32)</f>
        <v>3.1499999999999346</v>
      </c>
      <c r="F213" s="157" t="s">
        <v>230</v>
      </c>
      <c r="H213" s="158" t="s">
        <v>149</v>
      </c>
      <c r="I213" s="214">
        <f>E213/E209</f>
        <v>3.9374999999999181E-2</v>
      </c>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row>
    <row r="214" spans="3:53" ht="17.399999999999999" customHeight="1">
      <c r="C214" s="215"/>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row>
    <row r="215" spans="3:53" ht="17.399999999999999" customHeight="1">
      <c r="C215" s="183" t="s">
        <v>682</v>
      </c>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row>
    <row r="216" spans="3:53" ht="17.399999999999999" customHeight="1">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row>
    <row r="217" spans="3:53" ht="17.399999999999999" customHeight="1">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row>
    <row r="218" spans="3:53" ht="17.399999999999999" customHeight="1">
      <c r="C218" s="254">
        <f>E211</f>
        <v>1.0819778789850338</v>
      </c>
      <c r="D218" s="183" t="s">
        <v>3</v>
      </c>
      <c r="L218" s="216">
        <f>E113</f>
        <v>2.5</v>
      </c>
      <c r="M218" s="183" t="s">
        <v>3</v>
      </c>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row>
    <row r="219" spans="3:53" ht="17.399999999999999" customHeight="1">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row>
    <row r="220" spans="3:53" ht="17.399999999999999" customHeight="1">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row>
    <row r="221" spans="3:53" ht="17.399999999999999" customHeight="1">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row>
    <row r="222" spans="3:53" ht="17.399999999999999" customHeight="1">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row>
    <row r="223" spans="3:53" ht="17.399999999999999" customHeight="1">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row>
    <row r="224" spans="3:53" ht="17.399999999999999" customHeight="1">
      <c r="C224" s="216">
        <f>E99</f>
        <v>1</v>
      </c>
      <c r="D224" s="183" t="s">
        <v>3</v>
      </c>
      <c r="L224" s="216">
        <f>K21</f>
        <v>3</v>
      </c>
      <c r="M224" s="183" t="s">
        <v>3</v>
      </c>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row>
    <row r="225" spans="3:53" ht="17.399999999999999" customHeight="1">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row>
    <row r="226" spans="3:53" ht="17.399999999999999" customHeight="1">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row>
    <row r="227" spans="3:53" ht="17.399999999999999" customHeight="1">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row>
    <row r="228" spans="3:53" ht="17.399999999999999" customHeight="1">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row>
    <row r="229" spans="3:53" ht="17.399999999999999" customHeight="1">
      <c r="C229" s="183" t="s">
        <v>683</v>
      </c>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row>
    <row r="230" spans="3:53" ht="17.399999999999999" customHeight="1">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row>
    <row r="231" spans="3:53" ht="17.399999999999999" customHeight="1">
      <c r="C231" s="221" t="s">
        <v>160</v>
      </c>
      <c r="D231" s="221"/>
      <c r="E231" s="221"/>
      <c r="F231" s="221"/>
      <c r="G231" s="221"/>
      <c r="H231" s="221"/>
      <c r="I231" s="230"/>
      <c r="J231" s="231">
        <f>C224</f>
        <v>1</v>
      </c>
      <c r="K231" s="230" t="s">
        <v>3</v>
      </c>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row>
    <row r="232" spans="3:53" ht="17.399999999999999" customHeight="1">
      <c r="C232" s="221" t="s">
        <v>741</v>
      </c>
      <c r="D232" s="221"/>
      <c r="E232" s="221"/>
      <c r="F232" s="221"/>
      <c r="G232" s="221"/>
      <c r="H232" s="221"/>
      <c r="I232" s="230"/>
      <c r="J232" s="231">
        <f>C218</f>
        <v>1.0819778789850338</v>
      </c>
      <c r="K232" s="230" t="s">
        <v>3</v>
      </c>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row>
    <row r="233" spans="3:53" ht="17.399999999999999" customHeight="1">
      <c r="C233" s="221" t="s">
        <v>161</v>
      </c>
      <c r="D233" s="221"/>
      <c r="E233" s="221"/>
      <c r="F233" s="221"/>
      <c r="G233" s="221"/>
      <c r="H233" s="221"/>
      <c r="I233" s="230"/>
      <c r="J233" s="231">
        <f>L224</f>
        <v>3</v>
      </c>
      <c r="K233" s="230" t="s">
        <v>3</v>
      </c>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row>
    <row r="234" spans="3:53" ht="17.399999999999999" customHeight="1">
      <c r="C234" s="221" t="s">
        <v>216</v>
      </c>
      <c r="D234" s="221"/>
      <c r="E234" s="221"/>
      <c r="F234" s="221"/>
      <c r="G234" s="221"/>
      <c r="H234" s="221"/>
      <c r="I234" s="232" t="s">
        <v>213</v>
      </c>
      <c r="J234" s="233">
        <f>E173</f>
        <v>20</v>
      </c>
      <c r="K234" s="230" t="s">
        <v>214</v>
      </c>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row>
    <row r="235" spans="3:53" ht="17.399999999999999" customHeight="1">
      <c r="C235" s="218"/>
      <c r="D235" s="218"/>
      <c r="E235" s="218"/>
      <c r="F235" s="218"/>
      <c r="G235" s="218"/>
      <c r="H235"/>
      <c r="I235"/>
      <c r="J235" s="219"/>
      <c r="K235" s="218"/>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row>
    <row r="236" spans="3:53" ht="17.399999999999999" customHeight="1">
      <c r="F236" s="271"/>
      <c r="G236" s="271"/>
      <c r="H236"/>
      <c r="I236"/>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row>
    <row r="237" spans="3:53" ht="17.399999999999999" customHeight="1">
      <c r="C237" s="183" t="s">
        <v>684</v>
      </c>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row>
    <row r="238" spans="3:53" ht="17.399999999999999" customHeight="1">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row>
    <row r="239" spans="3:53" ht="17.399999999999999" customHeight="1">
      <c r="C239" s="183" t="s">
        <v>219</v>
      </c>
      <c r="H239" s="183" t="s">
        <v>220</v>
      </c>
      <c r="I239" s="183"/>
      <c r="J239" s="183" t="s">
        <v>221</v>
      </c>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row>
    <row r="240" spans="3:53" ht="17.399999999999999" customHeight="1">
      <c r="C240" s="183"/>
      <c r="H240" s="183"/>
      <c r="I240" s="183"/>
      <c r="J240" s="183"/>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row>
    <row r="241" spans="2:53" ht="17.399999999999999" customHeight="1">
      <c r="C241" s="157" t="str">
        <f>D178</f>
        <v>Statico SD 80.3</v>
      </c>
      <c r="H241" s="157">
        <f>I178</f>
        <v>1</v>
      </c>
      <c r="J241" s="157">
        <f>I181</f>
        <v>7101006</v>
      </c>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row>
    <row r="242" spans="2:53" ht="17.399999999999999" customHeight="1">
      <c r="C242" s="157" t="str">
        <f>'1'!E150</f>
        <v>DLV 20</v>
      </c>
      <c r="H242" s="157">
        <f>H241</f>
        <v>1</v>
      </c>
      <c r="J242" s="157">
        <f>IF('1'!E150="dobierz zawór typ DLV innego producenta","",VLOOKUP('1'!E150,'1'!B149:C150,2,0))</f>
        <v>5351434</v>
      </c>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row>
    <row r="243" spans="2:53" ht="17.399999999999999" customHeight="1">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row>
    <row r="244" spans="2:53" ht="17.399999999999999" customHeight="1">
      <c r="C244" s="210" t="s">
        <v>8</v>
      </c>
      <c r="D244" s="210"/>
      <c r="E244" s="210"/>
      <c r="F244" s="210"/>
      <c r="G244" s="210"/>
      <c r="H244" s="210"/>
      <c r="M244" s="222"/>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row>
    <row r="245" spans="2:53" ht="17.399999999999999" customHeight="1">
      <c r="B245" s="156"/>
      <c r="C245" s="156"/>
      <c r="D245" s="156"/>
      <c r="E245" s="156"/>
      <c r="F245" s="156"/>
      <c r="G245" s="156"/>
      <c r="H245" s="156"/>
      <c r="I245" s="156"/>
      <c r="J245" s="223"/>
      <c r="K245" s="156"/>
      <c r="L245" s="156"/>
      <c r="M245" s="156"/>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row>
    <row r="246" spans="2:53" ht="17.399999999999999" customHeight="1">
      <c r="B246" s="156"/>
      <c r="C246" s="156"/>
      <c r="D246" s="156"/>
      <c r="E246" s="156"/>
      <c r="F246" s="156"/>
      <c r="G246" s="156"/>
      <c r="H246" s="156"/>
      <c r="I246" s="156"/>
      <c r="J246" s="223"/>
      <c r="K246" s="156"/>
      <c r="L246" s="156"/>
      <c r="M246" s="156"/>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row>
    <row r="247" spans="2:53" ht="17.399999999999999" customHeight="1">
      <c r="B247" s="156"/>
      <c r="C247" s="156"/>
      <c r="D247" s="156"/>
      <c r="E247" s="156"/>
      <c r="F247" s="156"/>
      <c r="G247" s="156"/>
      <c r="H247" s="156"/>
      <c r="I247" s="156"/>
      <c r="J247" s="223"/>
      <c r="K247" s="156"/>
      <c r="L247" s="156"/>
      <c r="M247" s="156"/>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row>
    <row r="248" spans="2:53" ht="17.399999999999999" customHeight="1">
      <c r="B248" s="156"/>
      <c r="C248" s="156"/>
      <c r="D248" s="156"/>
      <c r="E248" s="156"/>
      <c r="F248" s="156"/>
      <c r="G248" s="156"/>
      <c r="H248" s="156"/>
      <c r="I248" s="156"/>
      <c r="J248" s="223"/>
      <c r="K248" s="156"/>
      <c r="L248" s="156"/>
      <c r="M248" s="156"/>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row>
    <row r="249" spans="2:53" ht="17.399999999999999" customHeight="1">
      <c r="B249" s="156"/>
      <c r="C249" s="156"/>
      <c r="D249" s="156"/>
      <c r="E249" s="156"/>
      <c r="F249" s="156"/>
      <c r="G249" s="156"/>
      <c r="H249" s="156"/>
      <c r="I249" s="156"/>
      <c r="J249" s="223"/>
      <c r="K249" s="156"/>
      <c r="L249" s="156"/>
      <c r="M249" s="156"/>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row>
    <row r="250" spans="2:53" ht="17.399999999999999" customHeight="1">
      <c r="B250" s="159"/>
      <c r="C250" s="156"/>
      <c r="D250" s="156"/>
      <c r="E250" s="156"/>
      <c r="F250" s="156"/>
      <c r="G250" s="156"/>
      <c r="H250" s="156"/>
      <c r="I250" s="156"/>
      <c r="J250" s="223"/>
      <c r="K250" s="156"/>
      <c r="L250" s="156"/>
      <c r="M250" s="156"/>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row>
    <row r="251" spans="2:53" ht="17.399999999999999" customHeight="1">
      <c r="B251" s="159"/>
      <c r="C251" s="159"/>
      <c r="D251" s="159"/>
      <c r="E251" s="159"/>
      <c r="F251" s="159"/>
      <c r="G251" s="159"/>
      <c r="H251" s="159"/>
      <c r="I251" s="159"/>
      <c r="J251" s="224"/>
      <c r="K251" s="159"/>
      <c r="L251" s="159"/>
      <c r="M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row>
    <row r="252" spans="2:53" ht="17.399999999999999" customHeight="1">
      <c r="B252" s="159"/>
      <c r="C252" s="159"/>
      <c r="D252" s="159"/>
      <c r="E252" s="159"/>
      <c r="F252" s="159"/>
      <c r="G252" s="159"/>
      <c r="H252" s="159"/>
      <c r="I252" s="159"/>
      <c r="J252" s="224"/>
      <c r="K252" s="159"/>
      <c r="L252" s="159"/>
      <c r="M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row>
    <row r="253" spans="2:53" ht="17.399999999999999" customHeight="1">
      <c r="B253" s="159"/>
      <c r="C253" s="159"/>
      <c r="D253" s="159"/>
      <c r="E253" s="159"/>
      <c r="F253" s="159"/>
      <c r="G253" s="159"/>
      <c r="H253" s="159"/>
      <c r="I253" s="159"/>
      <c r="J253" s="224"/>
      <c r="K253" s="159"/>
      <c r="L253" s="159"/>
      <c r="M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row>
    <row r="254" spans="2:53" ht="17.399999999999999" customHeight="1">
      <c r="B254" s="159"/>
      <c r="C254" s="159"/>
      <c r="D254" s="159"/>
      <c r="E254" s="159"/>
      <c r="F254" s="159"/>
      <c r="G254" s="159"/>
      <c r="H254" s="159"/>
      <c r="I254" s="159"/>
      <c r="J254" s="224"/>
      <c r="K254" s="159"/>
      <c r="L254" s="159"/>
      <c r="M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row>
    <row r="255" spans="2:53" ht="17.399999999999999" customHeight="1">
      <c r="B255" s="159"/>
      <c r="C255" s="159"/>
      <c r="D255" s="159"/>
      <c r="E255" s="159"/>
      <c r="F255" s="159"/>
      <c r="G255" s="159"/>
      <c r="H255" s="159"/>
      <c r="I255" s="159"/>
      <c r="J255" s="224"/>
      <c r="K255" s="159"/>
      <c r="L255" s="159"/>
      <c r="M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row>
    <row r="256" spans="2:53" ht="17.399999999999999" customHeight="1">
      <c r="B256" s="159"/>
      <c r="C256" s="159"/>
      <c r="D256" s="159"/>
      <c r="E256" s="159"/>
      <c r="F256" s="159"/>
      <c r="G256" s="159"/>
      <c r="H256" s="159"/>
      <c r="I256" s="159"/>
      <c r="J256" s="224"/>
      <c r="K256" s="159"/>
      <c r="L256" s="159"/>
      <c r="M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row>
    <row r="257" spans="2:53" ht="17.399999999999999" customHeight="1">
      <c r="B257" s="159"/>
      <c r="C257" s="159"/>
      <c r="D257" s="159"/>
      <c r="E257" s="159"/>
      <c r="F257" s="159"/>
      <c r="G257" s="159"/>
      <c r="H257" s="159"/>
      <c r="I257" s="159"/>
      <c r="J257" s="224"/>
      <c r="K257" s="159"/>
      <c r="L257" s="159"/>
      <c r="M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row>
    <row r="258" spans="2:53" ht="17.399999999999999" customHeight="1">
      <c r="B258" s="159"/>
      <c r="C258" s="159"/>
      <c r="D258" s="159"/>
      <c r="E258" s="159"/>
      <c r="F258" s="159"/>
      <c r="G258" s="159"/>
      <c r="H258" s="159"/>
      <c r="I258" s="159"/>
      <c r="J258" s="224"/>
      <c r="K258" s="159"/>
      <c r="L258" s="159"/>
      <c r="M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row>
    <row r="259" spans="2:53" ht="17.399999999999999" customHeight="1">
      <c r="B259" s="159"/>
      <c r="C259" s="159"/>
      <c r="D259" s="159"/>
      <c r="E259" s="159"/>
      <c r="F259" s="159"/>
      <c r="G259" s="159"/>
      <c r="H259" s="159"/>
      <c r="I259" s="159"/>
      <c r="J259" s="224"/>
      <c r="K259" s="159"/>
      <c r="L259" s="159"/>
      <c r="M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row>
    <row r="260" spans="2:53" ht="17.399999999999999" customHeight="1">
      <c r="B260" s="159"/>
      <c r="C260" s="159"/>
      <c r="D260" s="159"/>
      <c r="E260" s="159"/>
      <c r="F260" s="159"/>
      <c r="G260" s="159"/>
      <c r="H260" s="159"/>
      <c r="I260" s="159"/>
      <c r="J260" s="224"/>
      <c r="K260" s="159"/>
      <c r="L260" s="159"/>
      <c r="M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row>
    <row r="261" spans="2:53" ht="17.399999999999999" customHeight="1">
      <c r="B261" s="159"/>
      <c r="C261" s="159"/>
      <c r="D261" s="159"/>
      <c r="E261" s="159"/>
      <c r="F261" s="159"/>
      <c r="G261" s="159"/>
      <c r="H261" s="159"/>
      <c r="I261" s="159"/>
      <c r="J261" s="224"/>
      <c r="K261" s="159"/>
      <c r="L261" s="159"/>
      <c r="M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row>
    <row r="262" spans="2:53" ht="17.399999999999999" customHeight="1">
      <c r="B262" s="159"/>
      <c r="C262" s="159"/>
      <c r="D262" s="159"/>
      <c r="E262" s="159"/>
      <c r="F262" s="159"/>
      <c r="G262" s="159"/>
      <c r="H262" s="159"/>
      <c r="I262" s="159"/>
      <c r="J262" s="224"/>
      <c r="K262" s="159"/>
      <c r="L262" s="159"/>
      <c r="M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row>
    <row r="263" spans="2:53" ht="17.399999999999999" customHeight="1">
      <c r="B263" s="159"/>
      <c r="C263" s="159"/>
      <c r="D263" s="159"/>
      <c r="E263" s="159"/>
      <c r="F263" s="159"/>
      <c r="G263" s="159"/>
      <c r="H263" s="159"/>
      <c r="I263" s="159"/>
      <c r="J263" s="224"/>
      <c r="K263" s="159"/>
      <c r="L263" s="159"/>
      <c r="M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row>
    <row r="264" spans="2:53" ht="17.399999999999999" customHeight="1">
      <c r="B264" s="159"/>
      <c r="C264" s="159"/>
      <c r="D264" s="159"/>
      <c r="E264" s="159"/>
      <c r="F264" s="159"/>
      <c r="G264" s="159"/>
      <c r="H264" s="159"/>
      <c r="I264" s="159"/>
      <c r="J264" s="224"/>
      <c r="K264" s="159"/>
      <c r="L264" s="159"/>
      <c r="M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row>
    <row r="265" spans="2:53" ht="17.399999999999999" customHeight="1">
      <c r="B265" s="159"/>
      <c r="C265" s="159"/>
      <c r="D265" s="159"/>
      <c r="E265" s="159"/>
      <c r="F265" s="159"/>
      <c r="G265" s="159"/>
      <c r="H265" s="159"/>
      <c r="I265" s="159"/>
      <c r="J265" s="224"/>
      <c r="K265" s="159"/>
      <c r="L265" s="159"/>
      <c r="M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row>
    <row r="266" spans="2:53" ht="17.399999999999999" customHeight="1">
      <c r="B266" s="159"/>
      <c r="C266" s="159"/>
      <c r="D266" s="159"/>
      <c r="E266" s="159"/>
      <c r="F266" s="159"/>
      <c r="G266" s="159"/>
      <c r="H266" s="159"/>
      <c r="I266" s="159"/>
      <c r="J266" s="224"/>
      <c r="K266" s="159"/>
      <c r="L266" s="159"/>
      <c r="M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row>
    <row r="267" spans="2:53" ht="17.399999999999999" customHeight="1">
      <c r="B267" s="159"/>
      <c r="C267" s="159"/>
      <c r="D267" s="159"/>
      <c r="E267" s="159"/>
      <c r="F267" s="159"/>
      <c r="G267" s="159"/>
      <c r="H267" s="159"/>
      <c r="I267" s="159"/>
      <c r="J267" s="224"/>
      <c r="K267" s="159"/>
      <c r="L267" s="159"/>
      <c r="M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row>
    <row r="268" spans="2:53" ht="17.399999999999999" customHeight="1">
      <c r="B268" s="159"/>
      <c r="C268" s="159"/>
      <c r="D268" s="159"/>
      <c r="E268" s="159"/>
      <c r="F268" s="159"/>
      <c r="G268" s="159"/>
      <c r="H268" s="159"/>
      <c r="I268" s="159"/>
      <c r="J268" s="224"/>
      <c r="K268" s="159"/>
      <c r="L268" s="159"/>
      <c r="M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row>
    <row r="269" spans="2:53" ht="17.399999999999999" customHeight="1">
      <c r="B269" s="159"/>
      <c r="C269" s="159"/>
      <c r="D269" s="159"/>
      <c r="E269" s="159"/>
      <c r="F269" s="159"/>
      <c r="G269" s="159"/>
      <c r="H269" s="159"/>
      <c r="I269" s="159"/>
      <c r="J269" s="224"/>
      <c r="K269" s="159"/>
      <c r="L269" s="159"/>
      <c r="M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row>
    <row r="270" spans="2:53" ht="17.399999999999999" customHeight="1">
      <c r="B270" s="159"/>
      <c r="C270" s="159"/>
      <c r="D270" s="159"/>
      <c r="E270" s="159"/>
      <c r="F270" s="159"/>
      <c r="G270" s="159"/>
      <c r="H270" s="159"/>
      <c r="I270" s="159"/>
      <c r="J270" s="224"/>
      <c r="K270" s="159"/>
      <c r="L270" s="159"/>
      <c r="M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row>
    <row r="271" spans="2:53" ht="17.399999999999999" customHeight="1">
      <c r="B271" s="159"/>
      <c r="C271" s="159"/>
      <c r="D271" s="159"/>
      <c r="E271" s="159"/>
      <c r="F271" s="159"/>
      <c r="G271" s="159"/>
      <c r="H271" s="159"/>
      <c r="I271" s="159"/>
      <c r="J271" s="224"/>
      <c r="K271" s="159"/>
      <c r="L271" s="159"/>
      <c r="M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row>
    <row r="272" spans="2:53" ht="17.399999999999999" customHeight="1">
      <c r="B272" s="159"/>
      <c r="C272" s="159"/>
      <c r="D272" s="159"/>
      <c r="E272" s="159"/>
      <c r="F272" s="159"/>
      <c r="G272" s="159"/>
      <c r="H272" s="159"/>
      <c r="I272" s="159"/>
      <c r="J272" s="224"/>
      <c r="K272" s="159"/>
      <c r="L272" s="159"/>
      <c r="M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row>
    <row r="273" spans="2:53" ht="17.399999999999999" customHeight="1">
      <c r="B273" s="159"/>
      <c r="C273" s="159"/>
      <c r="D273" s="159"/>
      <c r="E273" s="159"/>
      <c r="F273" s="159"/>
      <c r="G273" s="159"/>
      <c r="H273" s="159"/>
      <c r="I273" s="159"/>
      <c r="J273" s="224"/>
      <c r="K273" s="159"/>
      <c r="L273" s="159"/>
      <c r="M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row>
    <row r="274" spans="2:53" ht="17.399999999999999" customHeight="1">
      <c r="B274" s="159"/>
      <c r="C274" s="159"/>
      <c r="D274" s="159"/>
      <c r="E274" s="159"/>
      <c r="F274" s="159"/>
      <c r="G274" s="159"/>
      <c r="H274" s="159"/>
      <c r="I274" s="159"/>
      <c r="J274" s="224"/>
      <c r="K274" s="159"/>
      <c r="L274" s="159"/>
      <c r="M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row>
    <row r="275" spans="2:53" ht="17.399999999999999" customHeight="1">
      <c r="B275" s="159"/>
      <c r="C275" s="159"/>
      <c r="D275" s="159"/>
      <c r="E275" s="159"/>
      <c r="F275" s="159"/>
      <c r="G275" s="159"/>
      <c r="H275" s="159"/>
      <c r="I275" s="159"/>
      <c r="J275" s="224"/>
      <c r="K275" s="159"/>
      <c r="L275" s="159"/>
      <c r="M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row>
    <row r="276" spans="2:53" ht="17.399999999999999" customHeight="1">
      <c r="B276" s="159"/>
      <c r="C276" s="159"/>
      <c r="D276" s="159"/>
      <c r="E276" s="159"/>
      <c r="F276" s="159"/>
      <c r="G276" s="159"/>
      <c r="H276" s="159"/>
      <c r="I276" s="159"/>
      <c r="J276" s="224"/>
      <c r="K276" s="159"/>
      <c r="L276" s="159"/>
      <c r="M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row>
    <row r="277" spans="2:53" ht="17.399999999999999" customHeight="1">
      <c r="B277" s="159"/>
      <c r="C277" s="159"/>
      <c r="D277" s="159"/>
      <c r="E277" s="159"/>
      <c r="F277" s="159"/>
      <c r="G277" s="159"/>
      <c r="H277" s="159"/>
      <c r="I277" s="159"/>
      <c r="J277" s="224"/>
      <c r="K277" s="159"/>
      <c r="L277" s="159"/>
      <c r="M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row>
    <row r="278" spans="2:53" ht="17.399999999999999" customHeight="1">
      <c r="B278" s="159"/>
      <c r="C278" s="159"/>
      <c r="D278" s="159"/>
      <c r="E278" s="159"/>
      <c r="F278" s="159"/>
      <c r="G278" s="159"/>
      <c r="H278" s="159"/>
      <c r="I278" s="159"/>
      <c r="J278" s="224"/>
      <c r="K278" s="159"/>
      <c r="L278" s="159"/>
      <c r="M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row>
    <row r="279" spans="2:53" ht="17.399999999999999" customHeight="1">
      <c r="B279" s="159"/>
      <c r="C279" s="159"/>
      <c r="D279" s="159"/>
      <c r="E279" s="159"/>
      <c r="F279" s="159"/>
      <c r="G279" s="159"/>
      <c r="H279" s="159"/>
      <c r="I279" s="159"/>
      <c r="J279" s="224"/>
      <c r="K279" s="159"/>
      <c r="L279" s="159"/>
      <c r="M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row>
    <row r="280" spans="2:53" ht="17.399999999999999" customHeight="1">
      <c r="B280" s="159"/>
      <c r="C280" s="159"/>
      <c r="D280" s="159"/>
      <c r="E280" s="159"/>
      <c r="F280" s="159"/>
      <c r="G280" s="159"/>
      <c r="H280" s="159"/>
      <c r="I280" s="159"/>
      <c r="J280" s="224"/>
      <c r="K280" s="159"/>
      <c r="L280" s="159"/>
      <c r="M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row>
    <row r="281" spans="2:53" ht="17.399999999999999" customHeight="1">
      <c r="B281" s="159"/>
      <c r="C281" s="159"/>
      <c r="D281" s="159"/>
      <c r="E281" s="159"/>
      <c r="F281" s="159"/>
      <c r="G281" s="159"/>
      <c r="H281" s="159"/>
      <c r="I281" s="159"/>
      <c r="J281" s="224"/>
      <c r="K281" s="159"/>
      <c r="L281" s="159"/>
      <c r="M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row>
    <row r="282" spans="2:53" ht="17.399999999999999" customHeight="1">
      <c r="B282" s="159"/>
      <c r="C282" s="159"/>
      <c r="D282" s="159"/>
      <c r="E282" s="159"/>
      <c r="F282" s="159"/>
      <c r="G282" s="159"/>
      <c r="H282" s="159"/>
      <c r="I282" s="159"/>
      <c r="J282" s="224"/>
      <c r="K282" s="159"/>
      <c r="L282" s="159"/>
      <c r="M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row>
    <row r="283" spans="2:53" ht="17.399999999999999" customHeight="1">
      <c r="B283" s="159"/>
      <c r="C283" s="159"/>
      <c r="D283" s="159"/>
      <c r="E283" s="159"/>
      <c r="F283" s="159"/>
      <c r="G283" s="159"/>
      <c r="H283" s="159"/>
      <c r="I283" s="159"/>
      <c r="J283" s="224"/>
      <c r="K283" s="159"/>
      <c r="L283" s="159"/>
      <c r="M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row>
    <row r="284" spans="2:53" ht="17.399999999999999" customHeight="1">
      <c r="B284" s="159"/>
      <c r="C284" s="159"/>
      <c r="D284" s="159"/>
      <c r="E284" s="159"/>
      <c r="F284" s="159"/>
      <c r="G284" s="159"/>
      <c r="H284" s="159"/>
      <c r="I284" s="159"/>
      <c r="J284" s="224"/>
      <c r="K284" s="159"/>
      <c r="L284" s="159"/>
      <c r="M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row>
    <row r="285" spans="2:53" ht="17.399999999999999" customHeight="1">
      <c r="B285" s="159"/>
      <c r="C285" s="159"/>
      <c r="D285" s="159"/>
      <c r="E285" s="159"/>
      <c r="F285" s="159"/>
      <c r="G285" s="159"/>
      <c r="H285" s="159"/>
      <c r="I285" s="159"/>
      <c r="J285" s="224"/>
      <c r="K285" s="159"/>
      <c r="L285" s="159"/>
      <c r="M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row>
    <row r="286" spans="2:53" ht="17.399999999999999" customHeight="1">
      <c r="B286" s="159"/>
      <c r="C286" s="159"/>
      <c r="D286" s="159"/>
      <c r="E286" s="159"/>
      <c r="F286" s="159"/>
      <c r="G286" s="159"/>
      <c r="H286" s="159"/>
      <c r="I286" s="159"/>
      <c r="J286" s="224"/>
      <c r="K286" s="159"/>
      <c r="L286" s="159"/>
      <c r="M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row>
    <row r="287" spans="2:53" ht="17.399999999999999" customHeight="1">
      <c r="B287" s="159"/>
      <c r="C287" s="159"/>
      <c r="D287" s="159"/>
      <c r="E287" s="159"/>
      <c r="F287" s="159"/>
      <c r="G287" s="159"/>
      <c r="H287" s="159"/>
      <c r="I287" s="159"/>
      <c r="J287" s="224"/>
      <c r="K287" s="159"/>
      <c r="L287" s="159"/>
      <c r="M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row>
    <row r="288" spans="2:53" ht="17.399999999999999" customHeight="1">
      <c r="B288" s="159"/>
      <c r="C288" s="159"/>
      <c r="D288" s="159"/>
      <c r="E288" s="159"/>
      <c r="F288" s="159"/>
      <c r="G288" s="159"/>
      <c r="H288" s="159"/>
      <c r="I288" s="159"/>
      <c r="J288" s="224"/>
      <c r="K288" s="159"/>
      <c r="L288" s="159"/>
      <c r="M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row>
    <row r="289" spans="2:53" ht="17.399999999999999" customHeight="1">
      <c r="B289" s="159"/>
      <c r="C289" s="159"/>
      <c r="D289" s="159"/>
      <c r="E289" s="159"/>
      <c r="F289" s="159"/>
      <c r="G289" s="159"/>
      <c r="H289" s="159"/>
      <c r="I289" s="159"/>
      <c r="J289" s="224"/>
      <c r="K289" s="159"/>
      <c r="L289" s="159"/>
      <c r="M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row>
    <row r="290" spans="2:53" ht="17.399999999999999" customHeight="1">
      <c r="B290" s="159"/>
      <c r="C290" s="159"/>
      <c r="D290" s="159"/>
      <c r="E290" s="159"/>
      <c r="F290" s="159"/>
      <c r="G290" s="159"/>
      <c r="H290" s="159"/>
      <c r="I290" s="159"/>
      <c r="J290" s="224"/>
      <c r="K290" s="159"/>
      <c r="L290" s="159"/>
      <c r="M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row>
    <row r="291" spans="2:53" ht="17.399999999999999" customHeight="1">
      <c r="B291" s="159"/>
      <c r="C291" s="159"/>
      <c r="D291" s="159"/>
      <c r="E291" s="159"/>
      <c r="F291" s="159"/>
      <c r="G291" s="159"/>
      <c r="H291" s="159"/>
      <c r="I291" s="159"/>
      <c r="J291" s="224"/>
      <c r="K291" s="159"/>
      <c r="L291" s="159"/>
      <c r="M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row>
    <row r="292" spans="2:53" ht="17.399999999999999" customHeight="1">
      <c r="B292" s="159"/>
      <c r="C292" s="159"/>
      <c r="D292" s="159"/>
      <c r="E292" s="159"/>
      <c r="F292" s="159"/>
      <c r="G292" s="159"/>
      <c r="H292" s="159"/>
      <c r="I292" s="159"/>
      <c r="J292" s="224"/>
      <c r="K292" s="159"/>
      <c r="L292" s="159"/>
      <c r="M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row>
    <row r="293" spans="2:53" ht="17.399999999999999" customHeight="1">
      <c r="B293" s="159"/>
      <c r="C293" s="159"/>
      <c r="D293" s="159"/>
      <c r="E293" s="159"/>
      <c r="F293" s="159"/>
      <c r="G293" s="159"/>
      <c r="H293" s="159"/>
      <c r="I293" s="159"/>
      <c r="J293" s="224"/>
      <c r="K293" s="159"/>
      <c r="L293" s="159"/>
      <c r="M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row>
    <row r="294" spans="2:53" ht="17.399999999999999" customHeight="1">
      <c r="B294" s="159"/>
      <c r="C294" s="159"/>
      <c r="D294" s="159"/>
      <c r="E294" s="159"/>
      <c r="F294" s="159"/>
      <c r="G294" s="159"/>
      <c r="H294" s="159"/>
      <c r="I294" s="159"/>
      <c r="J294" s="224"/>
      <c r="K294" s="159"/>
      <c r="L294" s="159"/>
      <c r="M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row>
    <row r="295" spans="2:53" ht="17.399999999999999" customHeight="1">
      <c r="B295" s="159"/>
      <c r="C295" s="159"/>
      <c r="D295" s="159"/>
      <c r="E295" s="159"/>
      <c r="F295" s="159"/>
      <c r="G295" s="159"/>
      <c r="H295" s="159"/>
      <c r="I295" s="159"/>
      <c r="J295" s="224"/>
      <c r="K295" s="159"/>
      <c r="L295" s="159"/>
      <c r="M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row>
    <row r="296" spans="2:53" ht="17.399999999999999" customHeight="1">
      <c r="B296" s="159"/>
      <c r="C296" s="159"/>
      <c r="D296" s="159"/>
      <c r="E296" s="159"/>
      <c r="F296" s="159"/>
      <c r="G296" s="159"/>
      <c r="H296" s="159"/>
      <c r="I296" s="159"/>
      <c r="J296" s="224"/>
      <c r="K296" s="159"/>
      <c r="L296" s="159"/>
      <c r="M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row>
    <row r="297" spans="2:53" ht="17.399999999999999" customHeight="1">
      <c r="B297" s="159"/>
      <c r="C297" s="159"/>
      <c r="D297" s="159"/>
      <c r="E297" s="159"/>
      <c r="F297" s="159"/>
      <c r="G297" s="159"/>
      <c r="H297" s="159"/>
      <c r="I297" s="159"/>
      <c r="J297" s="224"/>
      <c r="K297" s="159"/>
      <c r="L297" s="159"/>
      <c r="M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row>
    <row r="298" spans="2:53" ht="17.399999999999999" customHeight="1">
      <c r="B298" s="159"/>
      <c r="C298" s="159"/>
      <c r="D298" s="159"/>
      <c r="E298" s="159"/>
      <c r="F298" s="159"/>
      <c r="G298" s="159"/>
      <c r="H298" s="159"/>
      <c r="I298" s="159"/>
      <c r="J298" s="224"/>
      <c r="K298" s="159"/>
      <c r="L298" s="159"/>
      <c r="M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row>
    <row r="299" spans="2:53" ht="17.399999999999999" customHeight="1">
      <c r="B299" s="159"/>
      <c r="C299" s="159"/>
      <c r="D299" s="159"/>
      <c r="E299" s="159"/>
      <c r="F299" s="159"/>
      <c r="G299" s="159"/>
      <c r="H299" s="159"/>
      <c r="I299" s="159"/>
      <c r="J299" s="224"/>
      <c r="K299" s="159"/>
      <c r="L299" s="159"/>
      <c r="M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row>
    <row r="300" spans="2:53" ht="17.399999999999999" customHeight="1">
      <c r="B300" s="159"/>
      <c r="C300" s="159"/>
      <c r="D300" s="159"/>
      <c r="E300" s="159"/>
      <c r="F300" s="159"/>
      <c r="G300" s="159"/>
      <c r="H300" s="159"/>
      <c r="I300" s="159"/>
      <c r="J300" s="224"/>
      <c r="K300" s="159"/>
      <c r="L300" s="159"/>
      <c r="M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row>
    <row r="301" spans="2:53" ht="17.399999999999999" customHeight="1">
      <c r="B301" s="159"/>
      <c r="C301" s="159"/>
      <c r="D301" s="159"/>
      <c r="E301" s="159"/>
      <c r="F301" s="159"/>
      <c r="G301" s="159"/>
      <c r="H301" s="159"/>
      <c r="I301" s="159"/>
      <c r="J301" s="224"/>
      <c r="K301" s="159"/>
      <c r="L301" s="159"/>
      <c r="M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row>
    <row r="302" spans="2:53" ht="17.399999999999999" customHeight="1">
      <c r="B302" s="159"/>
      <c r="C302" s="159"/>
      <c r="D302" s="159"/>
      <c r="E302" s="159"/>
      <c r="F302" s="159"/>
      <c r="G302" s="159"/>
      <c r="H302" s="159"/>
      <c r="I302" s="159"/>
      <c r="J302" s="224"/>
      <c r="K302" s="159"/>
      <c r="L302" s="159"/>
      <c r="M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row>
    <row r="303" spans="2:53" ht="17.399999999999999" customHeight="1">
      <c r="B303" s="159"/>
      <c r="C303" s="159"/>
      <c r="D303" s="159"/>
      <c r="E303" s="159"/>
      <c r="F303" s="159"/>
      <c r="G303" s="159"/>
      <c r="H303" s="159"/>
      <c r="I303" s="159"/>
      <c r="J303" s="224"/>
      <c r="K303" s="159"/>
      <c r="L303" s="159"/>
      <c r="M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row>
    <row r="304" spans="2:53" ht="17.399999999999999" customHeight="1">
      <c r="B304" s="159"/>
      <c r="C304" s="159"/>
      <c r="D304" s="159"/>
      <c r="E304" s="159"/>
      <c r="F304" s="159"/>
      <c r="G304" s="159"/>
      <c r="H304" s="159"/>
      <c r="I304" s="159"/>
      <c r="J304" s="224"/>
      <c r="K304" s="159"/>
      <c r="L304" s="159"/>
      <c r="M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row>
    <row r="305" spans="2:53" ht="17.399999999999999" customHeight="1">
      <c r="B305" s="159"/>
      <c r="C305" s="159"/>
      <c r="D305" s="159"/>
      <c r="E305" s="159"/>
      <c r="F305" s="159"/>
      <c r="G305" s="159"/>
      <c r="H305" s="159"/>
      <c r="I305" s="159"/>
      <c r="J305" s="224"/>
      <c r="K305" s="159"/>
      <c r="L305" s="159"/>
      <c r="M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row>
    <row r="306" spans="2:53" ht="17.399999999999999" customHeight="1">
      <c r="B306" s="159"/>
      <c r="C306" s="159"/>
      <c r="D306" s="159"/>
      <c r="E306" s="159"/>
      <c r="F306" s="159"/>
      <c r="G306" s="159"/>
      <c r="H306" s="159"/>
      <c r="I306" s="159"/>
      <c r="J306" s="224"/>
      <c r="K306" s="159"/>
      <c r="L306" s="159"/>
      <c r="M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row>
    <row r="307" spans="2:53" ht="17.399999999999999" customHeight="1">
      <c r="B307" s="159"/>
      <c r="C307" s="159"/>
      <c r="D307" s="159"/>
      <c r="E307" s="159"/>
      <c r="F307" s="159"/>
      <c r="G307" s="159"/>
      <c r="H307" s="159"/>
      <c r="I307" s="159"/>
      <c r="J307" s="224"/>
      <c r="K307" s="159"/>
      <c r="L307" s="159"/>
      <c r="M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row>
    <row r="308" spans="2:53" ht="17.399999999999999" customHeight="1">
      <c r="B308" s="159"/>
      <c r="C308" s="159"/>
      <c r="D308" s="159"/>
      <c r="E308" s="159"/>
      <c r="F308" s="159"/>
      <c r="G308" s="159"/>
      <c r="H308" s="159"/>
      <c r="I308" s="159"/>
      <c r="J308" s="224"/>
      <c r="K308" s="159"/>
      <c r="L308" s="159"/>
      <c r="M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row>
    <row r="309" spans="2:53" ht="17.399999999999999" customHeight="1">
      <c r="B309" s="159"/>
      <c r="C309" s="159"/>
      <c r="D309" s="159"/>
      <c r="E309" s="159"/>
      <c r="F309" s="159"/>
      <c r="G309" s="159"/>
      <c r="H309" s="159"/>
      <c r="I309" s="159"/>
      <c r="J309" s="224"/>
      <c r="K309" s="159"/>
      <c r="L309" s="159"/>
      <c r="M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row>
    <row r="310" spans="2:53" ht="17.399999999999999" customHeight="1">
      <c r="B310" s="159"/>
      <c r="C310" s="159"/>
      <c r="D310" s="159"/>
      <c r="E310" s="159"/>
      <c r="F310" s="159"/>
      <c r="G310" s="159"/>
      <c r="H310" s="159"/>
      <c r="I310" s="159"/>
      <c r="J310" s="224"/>
      <c r="K310" s="159"/>
      <c r="L310" s="159"/>
      <c r="M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row>
    <row r="311" spans="2:53" ht="17.399999999999999" customHeight="1">
      <c r="B311" s="159"/>
      <c r="C311" s="159"/>
      <c r="D311" s="159"/>
      <c r="E311" s="159"/>
      <c r="F311" s="159"/>
      <c r="G311" s="159"/>
      <c r="H311" s="159"/>
      <c r="I311" s="159"/>
      <c r="J311" s="224"/>
      <c r="K311" s="159"/>
      <c r="L311" s="159"/>
      <c r="M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row>
    <row r="312" spans="2:53" ht="17.399999999999999" customHeight="1">
      <c r="B312" s="159"/>
      <c r="C312" s="159"/>
      <c r="D312" s="159"/>
      <c r="E312" s="159"/>
      <c r="F312" s="159"/>
      <c r="G312" s="159"/>
      <c r="H312" s="159"/>
      <c r="I312" s="159"/>
      <c r="J312" s="224"/>
      <c r="K312" s="159"/>
      <c r="L312" s="159"/>
      <c r="M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row>
    <row r="313" spans="2:53" ht="17.399999999999999" customHeight="1">
      <c r="B313" s="159"/>
      <c r="C313" s="159"/>
      <c r="D313" s="159"/>
      <c r="E313" s="159"/>
      <c r="F313" s="159"/>
      <c r="G313" s="159"/>
      <c r="H313" s="159"/>
      <c r="I313" s="159"/>
      <c r="J313" s="224"/>
      <c r="K313" s="159"/>
      <c r="L313" s="159"/>
      <c r="M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row>
    <row r="314" spans="2:53" ht="17.399999999999999" customHeight="1">
      <c r="B314" s="159"/>
      <c r="C314" s="159"/>
      <c r="D314" s="159"/>
      <c r="E314" s="159"/>
      <c r="F314" s="159"/>
      <c r="G314" s="159"/>
      <c r="H314" s="159"/>
      <c r="I314" s="159"/>
      <c r="J314" s="224"/>
      <c r="K314" s="159"/>
      <c r="L314" s="159"/>
      <c r="M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row>
    <row r="315" spans="2:53" ht="17.399999999999999" customHeight="1">
      <c r="B315" s="159"/>
      <c r="C315" s="159"/>
      <c r="D315" s="159"/>
      <c r="E315" s="159"/>
      <c r="F315" s="159"/>
      <c r="G315" s="159"/>
      <c r="H315" s="159"/>
      <c r="I315" s="159"/>
      <c r="J315" s="224"/>
      <c r="K315" s="159"/>
      <c r="L315" s="159"/>
      <c r="M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row>
    <row r="316" spans="2:53" ht="17.399999999999999" customHeight="1">
      <c r="B316" s="159"/>
      <c r="C316" s="159"/>
      <c r="D316" s="159"/>
      <c r="E316" s="159"/>
      <c r="F316" s="159"/>
      <c r="G316" s="159"/>
      <c r="H316" s="159"/>
      <c r="I316" s="159"/>
      <c r="J316" s="224"/>
      <c r="K316" s="159"/>
      <c r="L316" s="159"/>
      <c r="M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row>
    <row r="317" spans="2:53" ht="17.399999999999999" customHeight="1">
      <c r="B317" s="159"/>
      <c r="C317" s="159"/>
      <c r="D317" s="159"/>
      <c r="E317" s="159"/>
      <c r="F317" s="159"/>
      <c r="G317" s="159"/>
      <c r="H317" s="159"/>
      <c r="I317" s="159"/>
      <c r="J317" s="224"/>
      <c r="K317" s="159"/>
      <c r="L317" s="159"/>
      <c r="M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row>
    <row r="318" spans="2:53" ht="17.399999999999999" customHeight="1">
      <c r="B318" s="159"/>
      <c r="C318" s="159"/>
      <c r="D318" s="159"/>
      <c r="E318" s="159"/>
      <c r="F318" s="159"/>
      <c r="G318" s="159"/>
      <c r="H318" s="159"/>
      <c r="I318" s="159"/>
      <c r="J318" s="224"/>
      <c r="K318" s="159"/>
      <c r="L318" s="159"/>
      <c r="M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row>
    <row r="319" spans="2:53" ht="17.399999999999999" customHeight="1">
      <c r="B319" s="159"/>
      <c r="C319" s="159"/>
      <c r="D319" s="159"/>
      <c r="E319" s="159"/>
      <c r="F319" s="159"/>
      <c r="G319" s="159"/>
      <c r="H319" s="159"/>
      <c r="I319" s="159"/>
      <c r="J319" s="224"/>
      <c r="K319" s="159"/>
      <c r="L319" s="159"/>
      <c r="M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row>
    <row r="320" spans="2:53" ht="17.399999999999999" customHeight="1">
      <c r="B320" s="159"/>
      <c r="C320" s="159"/>
      <c r="D320" s="159"/>
      <c r="E320" s="159"/>
      <c r="F320" s="159"/>
      <c r="G320" s="159"/>
      <c r="H320" s="159"/>
      <c r="I320" s="159"/>
      <c r="J320" s="224"/>
      <c r="K320" s="159"/>
      <c r="L320" s="159"/>
      <c r="M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row>
    <row r="321" spans="2:53" ht="17.399999999999999" customHeight="1">
      <c r="B321" s="159"/>
      <c r="C321" s="159"/>
      <c r="D321" s="159"/>
      <c r="E321" s="159"/>
      <c r="F321" s="159"/>
      <c r="G321" s="159"/>
      <c r="H321" s="159"/>
      <c r="I321" s="159"/>
      <c r="J321" s="224"/>
      <c r="K321" s="159"/>
      <c r="L321" s="159"/>
      <c r="M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row>
    <row r="322" spans="2:53" ht="17.399999999999999" customHeight="1">
      <c r="B322" s="159"/>
      <c r="C322" s="159"/>
      <c r="D322" s="159"/>
      <c r="E322" s="159"/>
      <c r="F322" s="159"/>
      <c r="G322" s="159"/>
      <c r="H322" s="159"/>
      <c r="I322" s="159"/>
      <c r="J322" s="224"/>
      <c r="K322" s="159"/>
      <c r="L322" s="159"/>
      <c r="M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row>
    <row r="323" spans="2:53" ht="17.399999999999999" customHeight="1">
      <c r="B323" s="159"/>
      <c r="C323" s="159"/>
      <c r="D323" s="159"/>
      <c r="E323" s="159"/>
      <c r="F323" s="159"/>
      <c r="G323" s="159"/>
      <c r="H323" s="159"/>
      <c r="I323" s="159"/>
      <c r="J323" s="224"/>
      <c r="K323" s="159"/>
      <c r="L323" s="159"/>
      <c r="M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row>
    <row r="324" spans="2:53" ht="17.399999999999999" customHeight="1">
      <c r="B324" s="159"/>
      <c r="C324" s="159"/>
      <c r="D324" s="159"/>
      <c r="E324" s="159"/>
      <c r="F324" s="159"/>
      <c r="G324" s="159"/>
      <c r="H324" s="159"/>
      <c r="I324" s="159"/>
      <c r="J324" s="224"/>
      <c r="K324" s="159"/>
      <c r="L324" s="159"/>
      <c r="M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row>
    <row r="325" spans="2:53" ht="17.399999999999999" customHeight="1">
      <c r="B325" s="159"/>
      <c r="C325" s="159"/>
      <c r="D325" s="159"/>
      <c r="E325" s="159"/>
      <c r="F325" s="159"/>
      <c r="G325" s="159"/>
      <c r="H325" s="159"/>
      <c r="I325" s="159"/>
      <c r="J325" s="224"/>
      <c r="K325" s="159"/>
      <c r="L325" s="159"/>
      <c r="M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row>
    <row r="326" spans="2:53" ht="17.399999999999999" customHeight="1">
      <c r="B326" s="159"/>
      <c r="C326" s="159"/>
      <c r="D326" s="159"/>
      <c r="E326" s="159"/>
      <c r="F326" s="159"/>
      <c r="G326" s="159"/>
      <c r="H326" s="159"/>
      <c r="I326" s="159"/>
      <c r="J326" s="224"/>
      <c r="K326" s="159"/>
      <c r="L326" s="159"/>
      <c r="M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row>
    <row r="327" spans="2:53" ht="17.399999999999999" customHeight="1">
      <c r="B327" s="159"/>
      <c r="C327" s="159"/>
      <c r="D327" s="159"/>
      <c r="E327" s="159"/>
      <c r="F327" s="159"/>
      <c r="G327" s="159"/>
      <c r="H327" s="159"/>
      <c r="I327" s="159"/>
      <c r="J327" s="224"/>
      <c r="K327" s="159"/>
      <c r="L327" s="159"/>
      <c r="M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row>
    <row r="328" spans="2:53" ht="17.399999999999999" customHeight="1">
      <c r="B328" s="159"/>
      <c r="C328" s="159"/>
      <c r="D328" s="159"/>
      <c r="E328" s="159"/>
      <c r="F328" s="159"/>
      <c r="G328" s="159"/>
      <c r="H328" s="159"/>
      <c r="I328" s="159"/>
      <c r="J328" s="224"/>
      <c r="K328" s="159"/>
      <c r="L328" s="159"/>
      <c r="M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row>
    <row r="329" spans="2:53" ht="17.399999999999999" customHeight="1">
      <c r="B329" s="159"/>
      <c r="C329" s="159"/>
      <c r="D329" s="159"/>
      <c r="E329" s="159"/>
      <c r="F329" s="159"/>
      <c r="G329" s="159"/>
      <c r="H329" s="159"/>
      <c r="I329" s="159"/>
      <c r="J329" s="224"/>
      <c r="K329" s="159"/>
      <c r="L329" s="159"/>
      <c r="M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row>
    <row r="330" spans="2:53" ht="17.399999999999999" customHeight="1">
      <c r="B330" s="159"/>
      <c r="C330" s="159"/>
      <c r="D330" s="159"/>
      <c r="E330" s="159"/>
      <c r="F330" s="159"/>
      <c r="G330" s="159"/>
      <c r="H330" s="159"/>
      <c r="I330" s="159"/>
      <c r="J330" s="224"/>
      <c r="K330" s="159"/>
      <c r="L330" s="159"/>
      <c r="M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row>
    <row r="331" spans="2:53" ht="17.399999999999999" customHeight="1">
      <c r="B331" s="159"/>
      <c r="C331" s="159"/>
      <c r="D331" s="159"/>
      <c r="E331" s="159"/>
      <c r="F331" s="159"/>
      <c r="G331" s="159"/>
      <c r="H331" s="159"/>
      <c r="I331" s="159"/>
      <c r="J331" s="224"/>
      <c r="K331" s="159"/>
      <c r="L331" s="159"/>
      <c r="M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row>
    <row r="332" spans="2:53" ht="17.399999999999999" customHeight="1">
      <c r="B332" s="159"/>
      <c r="C332" s="159"/>
      <c r="D332" s="159"/>
      <c r="E332" s="159"/>
      <c r="F332" s="159"/>
      <c r="G332" s="159"/>
      <c r="H332" s="159"/>
      <c r="I332" s="159"/>
      <c r="J332" s="224"/>
      <c r="K332" s="159"/>
      <c r="L332" s="159"/>
      <c r="M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row>
    <row r="333" spans="2:53" ht="17.399999999999999" customHeight="1">
      <c r="B333" s="159"/>
      <c r="C333" s="159"/>
      <c r="D333" s="159"/>
      <c r="E333" s="159"/>
      <c r="F333" s="159"/>
      <c r="G333" s="159"/>
      <c r="H333" s="159"/>
      <c r="I333" s="159"/>
      <c r="J333" s="224"/>
      <c r="K333" s="159"/>
      <c r="L333" s="159"/>
      <c r="M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row>
    <row r="334" spans="2:53" ht="17.399999999999999" customHeight="1">
      <c r="B334" s="159"/>
      <c r="C334" s="159"/>
      <c r="D334" s="159"/>
      <c r="E334" s="159"/>
      <c r="F334" s="159"/>
      <c r="G334" s="159"/>
      <c r="H334" s="159"/>
      <c r="I334" s="159"/>
      <c r="J334" s="224"/>
      <c r="K334" s="159"/>
      <c r="L334" s="159"/>
      <c r="M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row>
    <row r="335" spans="2:53" ht="17.399999999999999" customHeight="1">
      <c r="B335" s="159"/>
      <c r="C335" s="159"/>
      <c r="D335" s="159"/>
      <c r="E335" s="159"/>
      <c r="F335" s="159"/>
      <c r="G335" s="159"/>
      <c r="H335" s="159"/>
      <c r="I335" s="159"/>
      <c r="J335" s="224"/>
      <c r="K335" s="159"/>
      <c r="L335" s="159"/>
      <c r="M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row>
    <row r="336" spans="2:53" ht="17.399999999999999" customHeight="1">
      <c r="B336" s="159"/>
      <c r="C336" s="159"/>
      <c r="D336" s="159"/>
      <c r="E336" s="159"/>
      <c r="F336" s="159"/>
      <c r="G336" s="159"/>
      <c r="H336" s="159"/>
      <c r="I336" s="159"/>
      <c r="J336" s="224"/>
      <c r="K336" s="159"/>
      <c r="L336" s="159"/>
      <c r="M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row>
    <row r="337" spans="2:53" ht="17.399999999999999" customHeight="1">
      <c r="B337" s="159"/>
      <c r="C337" s="159"/>
      <c r="D337" s="159"/>
      <c r="E337" s="159"/>
      <c r="F337" s="159"/>
      <c r="G337" s="159"/>
      <c r="H337" s="159"/>
      <c r="I337" s="159"/>
      <c r="J337" s="224"/>
      <c r="K337" s="159"/>
      <c r="L337" s="159"/>
      <c r="M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row>
    <row r="338" spans="2:53" ht="17.399999999999999" customHeight="1">
      <c r="B338" s="159"/>
      <c r="C338" s="159"/>
      <c r="D338" s="159"/>
      <c r="E338" s="159"/>
      <c r="F338" s="159"/>
      <c r="G338" s="159"/>
      <c r="H338" s="159"/>
      <c r="I338" s="159"/>
      <c r="J338" s="224"/>
      <c r="K338" s="159"/>
      <c r="L338" s="159"/>
      <c r="M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row>
    <row r="339" spans="2:53" ht="17.399999999999999" customHeight="1">
      <c r="B339" s="159"/>
      <c r="C339" s="159"/>
      <c r="D339" s="159"/>
      <c r="E339" s="159"/>
      <c r="F339" s="159"/>
      <c r="G339" s="159"/>
      <c r="H339" s="159"/>
      <c r="I339" s="159"/>
      <c r="J339" s="224"/>
      <c r="K339" s="159"/>
      <c r="L339" s="159"/>
      <c r="M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row>
    <row r="340" spans="2:53" ht="17.399999999999999" customHeight="1">
      <c r="B340" s="159"/>
      <c r="C340" s="159"/>
      <c r="D340" s="159"/>
      <c r="E340" s="159"/>
      <c r="F340" s="159"/>
      <c r="G340" s="159"/>
      <c r="H340" s="159"/>
      <c r="I340" s="159"/>
      <c r="J340" s="224"/>
      <c r="K340" s="159"/>
      <c r="L340" s="159"/>
      <c r="M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row>
    <row r="341" spans="2:53" ht="17.399999999999999" customHeight="1">
      <c r="B341" s="159"/>
      <c r="C341" s="159"/>
      <c r="D341" s="159"/>
      <c r="E341" s="159"/>
      <c r="F341" s="159"/>
      <c r="G341" s="159"/>
      <c r="H341" s="159"/>
      <c r="I341" s="159"/>
      <c r="J341" s="224"/>
      <c r="K341" s="159"/>
      <c r="L341" s="159"/>
      <c r="M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row>
    <row r="342" spans="2:53" ht="17.399999999999999" customHeight="1">
      <c r="B342" s="159"/>
      <c r="C342" s="159"/>
      <c r="D342" s="159"/>
      <c r="E342" s="159"/>
      <c r="F342" s="159"/>
      <c r="G342" s="159"/>
      <c r="H342" s="159"/>
      <c r="I342" s="159"/>
      <c r="J342" s="224"/>
      <c r="K342" s="159"/>
      <c r="L342" s="159"/>
      <c r="M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row>
    <row r="343" spans="2:53" ht="17.399999999999999" customHeight="1">
      <c r="B343" s="159"/>
      <c r="C343" s="159"/>
      <c r="D343" s="159"/>
      <c r="E343" s="159"/>
      <c r="F343" s="159"/>
      <c r="G343" s="159"/>
      <c r="H343" s="159"/>
      <c r="I343" s="159"/>
      <c r="J343" s="224"/>
      <c r="K343" s="159"/>
      <c r="L343" s="159"/>
      <c r="M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row>
    <row r="344" spans="2:53" ht="17.399999999999999" customHeight="1">
      <c r="B344" s="159"/>
      <c r="C344" s="159"/>
      <c r="D344" s="159"/>
      <c r="E344" s="159"/>
      <c r="F344" s="159"/>
      <c r="G344" s="159"/>
      <c r="H344" s="159"/>
      <c r="I344" s="159"/>
      <c r="J344" s="224"/>
      <c r="K344" s="159"/>
      <c r="L344" s="159"/>
      <c r="M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row>
    <row r="345" spans="2:53" ht="17.399999999999999" customHeight="1">
      <c r="B345" s="159"/>
      <c r="C345" s="159"/>
      <c r="D345" s="159"/>
      <c r="E345" s="159"/>
      <c r="F345" s="159"/>
      <c r="G345" s="159"/>
      <c r="H345" s="159"/>
      <c r="I345" s="159"/>
      <c r="J345" s="224"/>
      <c r="K345" s="159"/>
      <c r="L345" s="159"/>
      <c r="M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c r="AT345" s="159"/>
      <c r="AU345" s="159"/>
      <c r="AV345" s="159"/>
      <c r="AW345" s="159"/>
      <c r="AX345" s="159"/>
      <c r="AY345" s="159"/>
      <c r="AZ345" s="159"/>
      <c r="BA345" s="159"/>
    </row>
    <row r="346" spans="2:53" ht="17.399999999999999" customHeight="1">
      <c r="B346" s="159"/>
      <c r="C346" s="159"/>
      <c r="D346" s="159"/>
      <c r="E346" s="159"/>
      <c r="F346" s="159"/>
      <c r="G346" s="159"/>
      <c r="H346" s="159"/>
      <c r="I346" s="159"/>
      <c r="J346" s="224"/>
      <c r="K346" s="159"/>
      <c r="L346" s="159"/>
      <c r="M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row>
    <row r="347" spans="2:53" ht="17.399999999999999" customHeight="1">
      <c r="B347" s="159"/>
      <c r="C347" s="159"/>
      <c r="D347" s="159"/>
      <c r="E347" s="159"/>
      <c r="F347" s="159"/>
      <c r="G347" s="159"/>
      <c r="H347" s="159"/>
      <c r="I347" s="159"/>
      <c r="J347" s="224"/>
      <c r="K347" s="159"/>
      <c r="L347" s="159"/>
      <c r="M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row>
    <row r="348" spans="2:53" ht="17.399999999999999" customHeight="1">
      <c r="B348" s="159"/>
      <c r="C348" s="159"/>
      <c r="D348" s="159"/>
      <c r="E348" s="159"/>
      <c r="F348" s="159"/>
      <c r="G348" s="159"/>
      <c r="H348" s="159"/>
      <c r="I348" s="159"/>
      <c r="J348" s="224"/>
      <c r="K348" s="159"/>
      <c r="L348" s="159"/>
      <c r="M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59"/>
      <c r="AY348" s="159"/>
      <c r="AZ348" s="159"/>
      <c r="BA348" s="159"/>
    </row>
    <row r="349" spans="2:53" ht="17.399999999999999" customHeight="1">
      <c r="B349" s="159"/>
      <c r="C349" s="159"/>
      <c r="D349" s="159"/>
      <c r="E349" s="159"/>
      <c r="F349" s="159"/>
      <c r="G349" s="159"/>
      <c r="H349" s="159"/>
      <c r="I349" s="159"/>
      <c r="J349" s="224"/>
      <c r="K349" s="159"/>
      <c r="L349" s="159"/>
      <c r="M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c r="AT349" s="159"/>
      <c r="AU349" s="159"/>
      <c r="AV349" s="159"/>
      <c r="AW349" s="159"/>
      <c r="AX349" s="159"/>
      <c r="AY349" s="159"/>
      <c r="AZ349" s="159"/>
      <c r="BA349" s="159"/>
    </row>
    <row r="350" spans="2:53" ht="17.399999999999999" customHeight="1">
      <c r="B350" s="159"/>
      <c r="C350" s="159"/>
      <c r="D350" s="159"/>
      <c r="E350" s="159"/>
      <c r="F350" s="159"/>
      <c r="G350" s="159"/>
      <c r="H350" s="159"/>
      <c r="I350" s="159"/>
      <c r="J350" s="224"/>
      <c r="K350" s="159"/>
      <c r="L350" s="159"/>
      <c r="M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c r="AT350" s="159"/>
      <c r="AU350" s="159"/>
      <c r="AV350" s="159"/>
      <c r="AW350" s="159"/>
      <c r="AX350" s="159"/>
      <c r="AY350" s="159"/>
      <c r="AZ350" s="159"/>
      <c r="BA350" s="159"/>
    </row>
    <row r="351" spans="2:53" ht="17.399999999999999" customHeight="1">
      <c r="B351" s="159"/>
      <c r="C351" s="159"/>
      <c r="D351" s="159"/>
      <c r="E351" s="159"/>
      <c r="F351" s="159"/>
      <c r="G351" s="159"/>
      <c r="H351" s="159"/>
      <c r="I351" s="159"/>
      <c r="J351" s="224"/>
      <c r="K351" s="159"/>
      <c r="L351" s="159"/>
      <c r="M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c r="AT351" s="159"/>
      <c r="AU351" s="159"/>
      <c r="AV351" s="159"/>
      <c r="AW351" s="159"/>
      <c r="AX351" s="159"/>
      <c r="AY351" s="159"/>
      <c r="AZ351" s="159"/>
      <c r="BA351" s="159"/>
    </row>
    <row r="352" spans="2:53" ht="17.399999999999999" customHeight="1">
      <c r="B352" s="159"/>
      <c r="C352" s="159"/>
      <c r="D352" s="159"/>
      <c r="E352" s="159"/>
      <c r="F352" s="159"/>
      <c r="G352" s="159"/>
      <c r="H352" s="159"/>
      <c r="I352" s="159"/>
      <c r="J352" s="224"/>
      <c r="K352" s="159"/>
      <c r="L352" s="159"/>
      <c r="M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row>
    <row r="353" spans="2:53" ht="17.399999999999999" customHeight="1">
      <c r="B353" s="159"/>
      <c r="C353" s="159"/>
      <c r="D353" s="159"/>
      <c r="E353" s="159"/>
      <c r="F353" s="159"/>
      <c r="G353" s="159"/>
      <c r="H353" s="159"/>
      <c r="I353" s="159"/>
      <c r="J353" s="224"/>
      <c r="K353" s="159"/>
      <c r="L353" s="159"/>
      <c r="M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row>
    <row r="354" spans="2:53" ht="17.399999999999999" customHeight="1">
      <c r="B354" s="159"/>
      <c r="C354" s="159"/>
      <c r="D354" s="159"/>
      <c r="E354" s="159"/>
      <c r="F354" s="159"/>
      <c r="G354" s="159"/>
      <c r="H354" s="159"/>
      <c r="I354" s="159"/>
      <c r="J354" s="224"/>
      <c r="K354" s="159"/>
      <c r="L354" s="159"/>
      <c r="M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row>
    <row r="355" spans="2:53" ht="17.399999999999999" customHeight="1">
      <c r="B355" s="159"/>
      <c r="C355" s="159"/>
      <c r="D355" s="159"/>
      <c r="E355" s="159"/>
      <c r="F355" s="159"/>
      <c r="G355" s="159"/>
      <c r="H355" s="159"/>
      <c r="I355" s="159"/>
      <c r="J355" s="224"/>
      <c r="K355" s="159"/>
      <c r="L355" s="159"/>
      <c r="M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row>
    <row r="356" spans="2:53" ht="17.399999999999999" customHeight="1">
      <c r="B356" s="159"/>
      <c r="C356" s="159"/>
      <c r="D356" s="159"/>
      <c r="E356" s="159"/>
      <c r="F356" s="159"/>
      <c r="G356" s="159"/>
      <c r="H356" s="159"/>
      <c r="I356" s="159"/>
      <c r="J356" s="224"/>
      <c r="K356" s="159"/>
      <c r="L356" s="159"/>
      <c r="M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row>
    <row r="357" spans="2:53" ht="17.399999999999999" customHeight="1">
      <c r="B357" s="159"/>
      <c r="C357" s="159"/>
      <c r="D357" s="159"/>
      <c r="E357" s="159"/>
      <c r="F357" s="159"/>
      <c r="G357" s="159"/>
      <c r="H357" s="159"/>
      <c r="I357" s="159"/>
      <c r="J357" s="224"/>
      <c r="K357" s="159"/>
      <c r="L357" s="159"/>
      <c r="M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row>
    <row r="358" spans="2:53" ht="17.399999999999999" customHeight="1">
      <c r="B358" s="159"/>
      <c r="C358" s="159"/>
      <c r="D358" s="159"/>
      <c r="E358" s="159"/>
      <c r="F358" s="159"/>
      <c r="G358" s="159"/>
      <c r="H358" s="159"/>
      <c r="I358" s="159"/>
      <c r="J358" s="224"/>
      <c r="K358" s="159"/>
      <c r="L358" s="159"/>
      <c r="M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row>
    <row r="359" spans="2:53" ht="17.399999999999999" customHeight="1">
      <c r="B359" s="159"/>
      <c r="C359" s="159"/>
      <c r="D359" s="159"/>
      <c r="E359" s="159"/>
      <c r="F359" s="159"/>
      <c r="G359" s="159"/>
      <c r="H359" s="159"/>
      <c r="I359" s="159"/>
      <c r="J359" s="224"/>
      <c r="K359" s="159"/>
      <c r="L359" s="159"/>
      <c r="M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row>
    <row r="360" spans="2:53" ht="17.399999999999999" customHeight="1">
      <c r="B360" s="159"/>
      <c r="C360" s="159"/>
      <c r="D360" s="159"/>
      <c r="E360" s="159"/>
      <c r="F360" s="159"/>
      <c r="G360" s="159"/>
      <c r="H360" s="159"/>
      <c r="I360" s="159"/>
      <c r="J360" s="224"/>
      <c r="K360" s="159"/>
      <c r="L360" s="159"/>
      <c r="M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row>
    <row r="361" spans="2:53" ht="17.399999999999999" customHeight="1">
      <c r="B361" s="159"/>
      <c r="C361" s="159"/>
      <c r="D361" s="159"/>
      <c r="E361" s="159"/>
      <c r="F361" s="159"/>
      <c r="G361" s="159"/>
      <c r="H361" s="159"/>
      <c r="I361" s="159"/>
      <c r="J361" s="224"/>
      <c r="K361" s="159"/>
      <c r="L361" s="159"/>
      <c r="M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row>
    <row r="362" spans="2:53" ht="17.399999999999999" customHeight="1">
      <c r="B362" s="159"/>
      <c r="C362" s="159"/>
      <c r="D362" s="159"/>
      <c r="E362" s="159"/>
      <c r="F362" s="159"/>
      <c r="G362" s="159"/>
      <c r="H362" s="159"/>
      <c r="I362" s="159"/>
      <c r="J362" s="224"/>
      <c r="K362" s="159"/>
      <c r="L362" s="159"/>
      <c r="M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row>
    <row r="363" spans="2:53" ht="17.399999999999999" customHeight="1">
      <c r="B363" s="159"/>
      <c r="C363" s="159"/>
      <c r="D363" s="159"/>
      <c r="E363" s="159"/>
      <c r="F363" s="159"/>
      <c r="G363" s="159"/>
      <c r="H363" s="159"/>
      <c r="I363" s="159"/>
      <c r="J363" s="224"/>
      <c r="K363" s="159"/>
      <c r="L363" s="159"/>
      <c r="M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c r="AT363" s="159"/>
      <c r="AU363" s="159"/>
      <c r="AV363" s="159"/>
      <c r="AW363" s="159"/>
      <c r="AX363" s="159"/>
      <c r="AY363" s="159"/>
      <c r="AZ363" s="159"/>
      <c r="BA363" s="159"/>
    </row>
    <row r="364" spans="2:53" ht="17.399999999999999" customHeight="1">
      <c r="B364" s="159"/>
      <c r="C364" s="159"/>
      <c r="D364" s="159"/>
      <c r="E364" s="159"/>
      <c r="F364" s="159"/>
      <c r="G364" s="159"/>
      <c r="H364" s="159"/>
      <c r="I364" s="159"/>
      <c r="J364" s="224"/>
      <c r="K364" s="159"/>
      <c r="L364" s="159"/>
      <c r="M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c r="AT364" s="159"/>
      <c r="AU364" s="159"/>
      <c r="AV364" s="159"/>
      <c r="AW364" s="159"/>
      <c r="AX364" s="159"/>
      <c r="AY364" s="159"/>
      <c r="AZ364" s="159"/>
      <c r="BA364" s="159"/>
    </row>
    <row r="365" spans="2:53" ht="17.399999999999999" customHeight="1">
      <c r="B365" s="159"/>
      <c r="C365" s="159"/>
      <c r="D365" s="159"/>
      <c r="E365" s="159"/>
      <c r="F365" s="159"/>
      <c r="G365" s="159"/>
      <c r="H365" s="159"/>
      <c r="I365" s="159"/>
      <c r="J365" s="224"/>
      <c r="K365" s="159"/>
      <c r="L365" s="159"/>
      <c r="M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c r="AT365" s="159"/>
      <c r="AU365" s="159"/>
      <c r="AV365" s="159"/>
      <c r="AW365" s="159"/>
      <c r="AX365" s="159"/>
      <c r="AY365" s="159"/>
      <c r="AZ365" s="159"/>
      <c r="BA365" s="159"/>
    </row>
    <row r="366" spans="2:53" ht="17.399999999999999" customHeight="1">
      <c r="B366" s="159"/>
      <c r="C366" s="159"/>
      <c r="D366" s="159"/>
      <c r="E366" s="159"/>
      <c r="F366" s="159"/>
      <c r="G366" s="159"/>
      <c r="H366" s="159"/>
      <c r="I366" s="159"/>
      <c r="J366" s="224"/>
      <c r="K366" s="159"/>
      <c r="L366" s="159"/>
      <c r="M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row>
    <row r="367" spans="2:53" ht="17.399999999999999" customHeight="1">
      <c r="B367" s="159"/>
      <c r="C367" s="159"/>
      <c r="D367" s="159"/>
      <c r="E367" s="159"/>
      <c r="F367" s="159"/>
      <c r="G367" s="159"/>
      <c r="H367" s="159"/>
      <c r="I367" s="159"/>
      <c r="J367" s="224"/>
      <c r="K367" s="159"/>
      <c r="L367" s="159"/>
      <c r="M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c r="AT367" s="159"/>
      <c r="AU367" s="159"/>
      <c r="AV367" s="159"/>
      <c r="AW367" s="159"/>
      <c r="AX367" s="159"/>
      <c r="AY367" s="159"/>
      <c r="AZ367" s="159"/>
      <c r="BA367" s="159"/>
    </row>
    <row r="368" spans="2:53" ht="17.399999999999999" customHeight="1">
      <c r="B368" s="159"/>
      <c r="C368" s="159"/>
      <c r="D368" s="159"/>
      <c r="E368" s="159"/>
      <c r="F368" s="159"/>
      <c r="G368" s="159"/>
      <c r="H368" s="159"/>
      <c r="I368" s="159"/>
      <c r="J368" s="224"/>
      <c r="K368" s="159"/>
      <c r="L368" s="159"/>
      <c r="M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59"/>
      <c r="AY368" s="159"/>
      <c r="AZ368" s="159"/>
      <c r="BA368" s="159"/>
    </row>
    <row r="369" spans="2:53" ht="17.399999999999999" customHeight="1">
      <c r="B369" s="159"/>
      <c r="C369" s="159"/>
      <c r="D369" s="159"/>
      <c r="E369" s="159"/>
      <c r="F369" s="159"/>
      <c r="G369" s="159"/>
      <c r="H369" s="159"/>
      <c r="I369" s="159"/>
      <c r="J369" s="224"/>
      <c r="K369" s="159"/>
      <c r="L369" s="159"/>
      <c r="M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c r="AT369" s="159"/>
      <c r="AU369" s="159"/>
      <c r="AV369" s="159"/>
      <c r="AW369" s="159"/>
      <c r="AX369" s="159"/>
      <c r="AY369" s="159"/>
      <c r="AZ369" s="159"/>
      <c r="BA369" s="159"/>
    </row>
    <row r="370" spans="2:53" ht="17.399999999999999" customHeight="1">
      <c r="B370" s="159"/>
      <c r="C370" s="159"/>
      <c r="D370" s="159"/>
      <c r="E370" s="159"/>
      <c r="F370" s="159"/>
      <c r="G370" s="159"/>
      <c r="H370" s="159"/>
      <c r="I370" s="159"/>
      <c r="J370" s="224"/>
      <c r="K370" s="159"/>
      <c r="L370" s="159"/>
      <c r="M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c r="AT370" s="159"/>
      <c r="AU370" s="159"/>
      <c r="AV370" s="159"/>
      <c r="AW370" s="159"/>
      <c r="AX370" s="159"/>
      <c r="AY370" s="159"/>
      <c r="AZ370" s="159"/>
      <c r="BA370" s="159"/>
    </row>
    <row r="371" spans="2:53" ht="17.399999999999999" customHeight="1">
      <c r="B371" s="159"/>
      <c r="C371" s="159"/>
      <c r="D371" s="159"/>
      <c r="E371" s="159"/>
      <c r="F371" s="159"/>
      <c r="G371" s="159"/>
      <c r="H371" s="159"/>
      <c r="I371" s="159"/>
      <c r="J371" s="224"/>
      <c r="K371" s="159"/>
      <c r="L371" s="159"/>
      <c r="M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c r="AT371" s="159"/>
      <c r="AU371" s="159"/>
      <c r="AV371" s="159"/>
      <c r="AW371" s="159"/>
      <c r="AX371" s="159"/>
      <c r="AY371" s="159"/>
      <c r="AZ371" s="159"/>
      <c r="BA371" s="159"/>
    </row>
    <row r="372" spans="2:53" ht="17.399999999999999" customHeight="1">
      <c r="B372" s="159"/>
      <c r="C372" s="159"/>
      <c r="D372" s="159"/>
      <c r="E372" s="159"/>
      <c r="F372" s="159"/>
      <c r="G372" s="159"/>
      <c r="H372" s="159"/>
      <c r="I372" s="159"/>
      <c r="J372" s="224"/>
      <c r="K372" s="159"/>
      <c r="L372" s="159"/>
      <c r="M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c r="AT372" s="159"/>
      <c r="AU372" s="159"/>
      <c r="AV372" s="159"/>
      <c r="AW372" s="159"/>
      <c r="AX372" s="159"/>
      <c r="AY372" s="159"/>
      <c r="AZ372" s="159"/>
      <c r="BA372" s="159"/>
    </row>
    <row r="373" spans="2:53" ht="17.399999999999999" customHeight="1">
      <c r="B373" s="159"/>
      <c r="C373" s="159"/>
      <c r="D373" s="159"/>
      <c r="E373" s="159"/>
      <c r="F373" s="159"/>
      <c r="G373" s="159"/>
      <c r="H373" s="159"/>
      <c r="I373" s="159"/>
      <c r="J373" s="224"/>
      <c r="K373" s="159"/>
      <c r="L373" s="159"/>
      <c r="M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c r="AT373" s="159"/>
      <c r="AU373" s="159"/>
      <c r="AV373" s="159"/>
      <c r="AW373" s="159"/>
      <c r="AX373" s="159"/>
      <c r="AY373" s="159"/>
      <c r="AZ373" s="159"/>
      <c r="BA373" s="159"/>
    </row>
    <row r="374" spans="2:53" ht="17.399999999999999" customHeight="1">
      <c r="B374" s="159"/>
      <c r="C374" s="159"/>
      <c r="D374" s="159"/>
      <c r="E374" s="159"/>
      <c r="F374" s="159"/>
      <c r="G374" s="159"/>
      <c r="H374" s="159"/>
      <c r="I374" s="159"/>
      <c r="J374" s="224"/>
      <c r="K374" s="159"/>
      <c r="L374" s="159"/>
      <c r="M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row>
    <row r="375" spans="2:53" ht="17.399999999999999" customHeight="1">
      <c r="B375" s="159"/>
      <c r="C375" s="159"/>
      <c r="D375" s="159"/>
      <c r="E375" s="159"/>
      <c r="F375" s="159"/>
      <c r="G375" s="159"/>
      <c r="H375" s="159"/>
      <c r="I375" s="159"/>
      <c r="J375" s="224"/>
      <c r="K375" s="159"/>
      <c r="L375" s="159"/>
      <c r="M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c r="AT375" s="159"/>
      <c r="AU375" s="159"/>
      <c r="AV375" s="159"/>
      <c r="AW375" s="159"/>
      <c r="AX375" s="159"/>
      <c r="AY375" s="159"/>
      <c r="AZ375" s="159"/>
      <c r="BA375" s="159"/>
    </row>
    <row r="376" spans="2:53" ht="17.399999999999999" customHeight="1">
      <c r="B376" s="159"/>
      <c r="C376" s="159"/>
      <c r="D376" s="159"/>
      <c r="E376" s="159"/>
      <c r="F376" s="159"/>
      <c r="G376" s="159"/>
      <c r="H376" s="159"/>
      <c r="I376" s="159"/>
      <c r="J376" s="224"/>
      <c r="K376" s="159"/>
      <c r="L376" s="159"/>
      <c r="M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c r="AT376" s="159"/>
      <c r="AU376" s="159"/>
      <c r="AV376" s="159"/>
      <c r="AW376" s="159"/>
      <c r="AX376" s="159"/>
      <c r="AY376" s="159"/>
      <c r="AZ376" s="159"/>
      <c r="BA376" s="159"/>
    </row>
    <row r="377" spans="2:53" ht="17.399999999999999" customHeight="1">
      <c r="B377" s="159"/>
      <c r="C377" s="159"/>
      <c r="D377" s="159"/>
      <c r="E377" s="159"/>
      <c r="F377" s="159"/>
      <c r="G377" s="159"/>
      <c r="H377" s="159"/>
      <c r="I377" s="159"/>
      <c r="J377" s="224"/>
      <c r="K377" s="159"/>
      <c r="L377" s="159"/>
      <c r="M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c r="AT377" s="159"/>
      <c r="AU377" s="159"/>
      <c r="AV377" s="159"/>
      <c r="AW377" s="159"/>
      <c r="AX377" s="159"/>
      <c r="AY377" s="159"/>
      <c r="AZ377" s="159"/>
      <c r="BA377" s="159"/>
    </row>
    <row r="378" spans="2:53" ht="17.399999999999999" customHeight="1">
      <c r="B378" s="159"/>
      <c r="C378" s="159"/>
      <c r="D378" s="159"/>
      <c r="E378" s="159"/>
      <c r="F378" s="159"/>
      <c r="G378" s="159"/>
      <c r="H378" s="159"/>
      <c r="I378" s="159"/>
      <c r="J378" s="224"/>
      <c r="K378" s="159"/>
      <c r="L378" s="159"/>
      <c r="M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c r="AT378" s="159"/>
      <c r="AU378" s="159"/>
      <c r="AV378" s="159"/>
      <c r="AW378" s="159"/>
      <c r="AX378" s="159"/>
      <c r="AY378" s="159"/>
      <c r="AZ378" s="159"/>
      <c r="BA378" s="159"/>
    </row>
    <row r="379" spans="2:53" ht="17.399999999999999" customHeight="1">
      <c r="B379" s="159"/>
      <c r="C379" s="159"/>
      <c r="D379" s="159"/>
      <c r="E379" s="159"/>
      <c r="F379" s="159"/>
      <c r="G379" s="159"/>
      <c r="H379" s="159"/>
      <c r="I379" s="159"/>
      <c r="J379" s="224"/>
      <c r="K379" s="159"/>
      <c r="L379" s="159"/>
      <c r="M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c r="AT379" s="159"/>
      <c r="AU379" s="159"/>
      <c r="AV379" s="159"/>
      <c r="AW379" s="159"/>
      <c r="AX379" s="159"/>
      <c r="AY379" s="159"/>
      <c r="AZ379" s="159"/>
      <c r="BA379" s="159"/>
    </row>
    <row r="380" spans="2:53" ht="17.399999999999999" customHeight="1">
      <c r="B380" s="159"/>
      <c r="C380" s="159"/>
      <c r="D380" s="159"/>
      <c r="E380" s="159"/>
      <c r="F380" s="159"/>
      <c r="G380" s="159"/>
      <c r="H380" s="159"/>
      <c r="I380" s="159"/>
      <c r="J380" s="224"/>
      <c r="K380" s="159"/>
      <c r="L380" s="159"/>
      <c r="M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c r="AT380" s="159"/>
      <c r="AU380" s="159"/>
      <c r="AV380" s="159"/>
      <c r="AW380" s="159"/>
      <c r="AX380" s="159"/>
      <c r="AY380" s="159"/>
      <c r="AZ380" s="159"/>
      <c r="BA380" s="159"/>
    </row>
    <row r="381" spans="2:53" ht="17.399999999999999" customHeight="1">
      <c r="B381" s="159"/>
      <c r="C381" s="159"/>
      <c r="D381" s="159"/>
      <c r="E381" s="159"/>
      <c r="F381" s="159"/>
      <c r="G381" s="159"/>
      <c r="H381" s="159"/>
      <c r="I381" s="159"/>
      <c r="J381" s="224"/>
      <c r="K381" s="159"/>
      <c r="L381" s="159"/>
      <c r="M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row>
    <row r="382" spans="2:53" ht="17.399999999999999" customHeight="1">
      <c r="B382" s="159"/>
      <c r="C382" s="159"/>
      <c r="D382" s="159"/>
      <c r="E382" s="159"/>
      <c r="F382" s="159"/>
      <c r="G382" s="159"/>
      <c r="H382" s="159"/>
      <c r="I382" s="159"/>
      <c r="J382" s="224"/>
      <c r="K382" s="159"/>
      <c r="L382" s="159"/>
      <c r="M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c r="AT382" s="159"/>
      <c r="AU382" s="159"/>
      <c r="AV382" s="159"/>
      <c r="AW382" s="159"/>
      <c r="AX382" s="159"/>
      <c r="AY382" s="159"/>
      <c r="AZ382" s="159"/>
      <c r="BA382" s="159"/>
    </row>
    <row r="383" spans="2:53" ht="17.399999999999999" customHeight="1">
      <c r="B383" s="159"/>
      <c r="C383" s="159"/>
      <c r="D383" s="159"/>
      <c r="E383" s="159"/>
      <c r="F383" s="159"/>
      <c r="G383" s="159"/>
      <c r="H383" s="159"/>
      <c r="I383" s="159"/>
      <c r="J383" s="224"/>
      <c r="K383" s="159"/>
      <c r="L383" s="159"/>
      <c r="M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row>
    <row r="384" spans="2:53" ht="17.399999999999999" customHeight="1">
      <c r="B384" s="159"/>
      <c r="C384" s="159"/>
      <c r="D384" s="159"/>
      <c r="E384" s="159"/>
      <c r="F384" s="159"/>
      <c r="G384" s="159"/>
      <c r="H384" s="159"/>
      <c r="I384" s="159"/>
      <c r="J384" s="224"/>
      <c r="K384" s="159"/>
      <c r="L384" s="159"/>
      <c r="M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c r="AT384" s="159"/>
      <c r="AU384" s="159"/>
      <c r="AV384" s="159"/>
      <c r="AW384" s="159"/>
      <c r="AX384" s="159"/>
      <c r="AY384" s="159"/>
      <c r="AZ384" s="159"/>
      <c r="BA384" s="159"/>
    </row>
    <row r="385" spans="2:53" ht="17.399999999999999" customHeight="1">
      <c r="B385" s="159"/>
      <c r="C385" s="159"/>
      <c r="D385" s="159"/>
      <c r="E385" s="159"/>
      <c r="F385" s="159"/>
      <c r="G385" s="159"/>
      <c r="H385" s="159"/>
      <c r="I385" s="159"/>
      <c r="J385" s="224"/>
      <c r="K385" s="159"/>
      <c r="L385" s="159"/>
      <c r="M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c r="AT385" s="159"/>
      <c r="AU385" s="159"/>
      <c r="AV385" s="159"/>
      <c r="AW385" s="159"/>
      <c r="AX385" s="159"/>
      <c r="AY385" s="159"/>
      <c r="AZ385" s="159"/>
      <c r="BA385" s="159"/>
    </row>
    <row r="386" spans="2:53" ht="17.399999999999999" customHeight="1">
      <c r="B386" s="159"/>
      <c r="C386" s="159"/>
      <c r="D386" s="159"/>
      <c r="E386" s="159"/>
      <c r="F386" s="159"/>
      <c r="G386" s="159"/>
      <c r="H386" s="159"/>
      <c r="I386" s="159"/>
      <c r="J386" s="224"/>
      <c r="K386" s="159"/>
      <c r="L386" s="159"/>
      <c r="M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c r="AT386" s="159"/>
      <c r="AU386" s="159"/>
      <c r="AV386" s="159"/>
      <c r="AW386" s="159"/>
      <c r="AX386" s="159"/>
      <c r="AY386" s="159"/>
      <c r="AZ386" s="159"/>
      <c r="BA386" s="159"/>
    </row>
    <row r="387" spans="2:53" ht="17.399999999999999" customHeight="1">
      <c r="B387" s="159"/>
      <c r="C387" s="159"/>
      <c r="D387" s="159"/>
      <c r="E387" s="159"/>
      <c r="F387" s="159"/>
      <c r="G387" s="159"/>
      <c r="H387" s="159"/>
      <c r="I387" s="159"/>
      <c r="J387" s="224"/>
      <c r="K387" s="159"/>
      <c r="L387" s="159"/>
      <c r="M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row>
    <row r="388" spans="2:53" ht="17.399999999999999" customHeight="1">
      <c r="B388" s="159"/>
      <c r="C388" s="159"/>
      <c r="D388" s="159"/>
      <c r="E388" s="159"/>
      <c r="F388" s="159"/>
      <c r="G388" s="159"/>
      <c r="H388" s="159"/>
      <c r="I388" s="159"/>
      <c r="J388" s="224"/>
      <c r="K388" s="159"/>
      <c r="L388" s="159"/>
      <c r="M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159"/>
      <c r="AU388" s="159"/>
      <c r="AV388" s="159"/>
      <c r="AW388" s="159"/>
      <c r="AX388" s="159"/>
      <c r="AY388" s="159"/>
      <c r="AZ388" s="159"/>
      <c r="BA388" s="159"/>
    </row>
    <row r="389" spans="2:53" ht="17.399999999999999" customHeight="1">
      <c r="B389" s="159"/>
      <c r="C389" s="159"/>
      <c r="D389" s="159"/>
      <c r="E389" s="159"/>
      <c r="F389" s="159"/>
      <c r="G389" s="159"/>
      <c r="H389" s="159"/>
      <c r="I389" s="159"/>
      <c r="J389" s="224"/>
      <c r="K389" s="159"/>
      <c r="L389" s="159"/>
      <c r="M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row>
    <row r="390" spans="2:53" ht="17.399999999999999" customHeight="1">
      <c r="B390" s="159"/>
      <c r="C390" s="159"/>
      <c r="D390" s="159"/>
      <c r="E390" s="159"/>
      <c r="F390" s="159"/>
      <c r="G390" s="159"/>
      <c r="H390" s="159"/>
      <c r="I390" s="159"/>
      <c r="J390" s="224"/>
      <c r="K390" s="159"/>
      <c r="L390" s="159"/>
      <c r="M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row>
    <row r="391" spans="2:53" ht="17.399999999999999" customHeight="1">
      <c r="B391" s="159"/>
      <c r="C391" s="159"/>
      <c r="D391" s="159"/>
      <c r="E391" s="159"/>
      <c r="F391" s="159"/>
      <c r="G391" s="159"/>
      <c r="H391" s="159"/>
      <c r="I391" s="159"/>
      <c r="J391" s="224"/>
      <c r="K391" s="159"/>
      <c r="L391" s="159"/>
      <c r="M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row>
    <row r="392" spans="2:53" ht="17.399999999999999" customHeight="1">
      <c r="B392" s="159"/>
      <c r="C392" s="159"/>
      <c r="D392" s="159"/>
      <c r="E392" s="159"/>
      <c r="F392" s="159"/>
      <c r="G392" s="159"/>
      <c r="H392" s="159"/>
      <c r="I392" s="159"/>
      <c r="J392" s="224"/>
      <c r="K392" s="159"/>
      <c r="L392" s="159"/>
      <c r="M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row>
    <row r="393" spans="2:53" ht="17.399999999999999" customHeight="1">
      <c r="B393" s="159"/>
      <c r="C393" s="159"/>
      <c r="D393" s="159"/>
      <c r="E393" s="159"/>
      <c r="F393" s="159"/>
      <c r="G393" s="159"/>
      <c r="H393" s="159"/>
      <c r="I393" s="159"/>
      <c r="J393" s="224"/>
      <c r="K393" s="159"/>
      <c r="L393" s="159"/>
      <c r="M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row>
    <row r="394" spans="2:53" ht="17.399999999999999" customHeight="1">
      <c r="B394" s="159"/>
      <c r="C394" s="159"/>
      <c r="D394" s="159"/>
      <c r="E394" s="159"/>
      <c r="F394" s="159"/>
      <c r="G394" s="159"/>
      <c r="H394" s="159"/>
      <c r="I394" s="159"/>
      <c r="J394" s="224"/>
      <c r="K394" s="159"/>
      <c r="L394" s="159"/>
      <c r="M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row>
    <row r="395" spans="2:53" ht="17.399999999999999" customHeight="1">
      <c r="B395" s="159"/>
      <c r="C395" s="159"/>
      <c r="D395" s="159"/>
      <c r="E395" s="159"/>
      <c r="F395" s="159"/>
      <c r="G395" s="159"/>
      <c r="H395" s="159"/>
      <c r="I395" s="159"/>
      <c r="J395" s="224"/>
      <c r="K395" s="159"/>
      <c r="L395" s="159"/>
      <c r="M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c r="AT395" s="159"/>
      <c r="AU395" s="159"/>
      <c r="AV395" s="159"/>
      <c r="AW395" s="159"/>
      <c r="AX395" s="159"/>
      <c r="AY395" s="159"/>
      <c r="AZ395" s="159"/>
      <c r="BA395" s="159"/>
    </row>
    <row r="396" spans="2:53" ht="17.399999999999999" customHeight="1">
      <c r="B396" s="159"/>
      <c r="C396" s="159"/>
      <c r="D396" s="159"/>
      <c r="E396" s="159"/>
      <c r="F396" s="159"/>
      <c r="G396" s="159"/>
      <c r="H396" s="159"/>
      <c r="I396" s="159"/>
      <c r="J396" s="224"/>
      <c r="K396" s="159"/>
      <c r="L396" s="159"/>
      <c r="M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c r="AT396" s="159"/>
      <c r="AU396" s="159"/>
      <c r="AV396" s="159"/>
      <c r="AW396" s="159"/>
      <c r="AX396" s="159"/>
      <c r="AY396" s="159"/>
      <c r="AZ396" s="159"/>
      <c r="BA396" s="159"/>
    </row>
    <row r="397" spans="2:53" ht="17.399999999999999" customHeight="1">
      <c r="B397" s="159"/>
      <c r="C397" s="159"/>
      <c r="D397" s="159"/>
      <c r="E397" s="159"/>
      <c r="F397" s="159"/>
      <c r="G397" s="159"/>
      <c r="H397" s="159"/>
      <c r="I397" s="159"/>
      <c r="J397" s="224"/>
      <c r="K397" s="159"/>
      <c r="L397" s="159"/>
      <c r="M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row>
    <row r="398" spans="2:53" ht="17.399999999999999" customHeight="1">
      <c r="B398" s="159"/>
      <c r="C398" s="159"/>
      <c r="D398" s="159"/>
      <c r="E398" s="159"/>
      <c r="F398" s="159"/>
      <c r="G398" s="159"/>
      <c r="H398" s="159"/>
      <c r="I398" s="159"/>
      <c r="J398" s="224"/>
      <c r="K398" s="159"/>
      <c r="L398" s="159"/>
      <c r="M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c r="AT398" s="159"/>
      <c r="AU398" s="159"/>
      <c r="AV398" s="159"/>
      <c r="AW398" s="159"/>
      <c r="AX398" s="159"/>
      <c r="AY398" s="159"/>
      <c r="AZ398" s="159"/>
      <c r="BA398" s="159"/>
    </row>
    <row r="399" spans="2:53" ht="17.399999999999999" customHeight="1">
      <c r="B399" s="159"/>
      <c r="C399" s="159"/>
      <c r="D399" s="159"/>
      <c r="E399" s="159"/>
      <c r="F399" s="159"/>
      <c r="G399" s="159"/>
      <c r="H399" s="159"/>
      <c r="I399" s="159"/>
      <c r="J399" s="224"/>
      <c r="K399" s="159"/>
      <c r="L399" s="159"/>
      <c r="M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c r="AT399" s="159"/>
      <c r="AU399" s="159"/>
      <c r="AV399" s="159"/>
      <c r="AW399" s="159"/>
      <c r="AX399" s="159"/>
      <c r="AY399" s="159"/>
      <c r="AZ399" s="159"/>
      <c r="BA399" s="159"/>
    </row>
    <row r="400" spans="2:53" ht="17.399999999999999" customHeight="1">
      <c r="B400" s="159"/>
      <c r="C400" s="159"/>
      <c r="D400" s="159"/>
      <c r="E400" s="159"/>
      <c r="F400" s="159"/>
      <c r="G400" s="159"/>
      <c r="H400" s="159"/>
      <c r="I400" s="159"/>
      <c r="J400" s="224"/>
      <c r="K400" s="159"/>
      <c r="L400" s="159"/>
      <c r="M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c r="AT400" s="159"/>
      <c r="AU400" s="159"/>
      <c r="AV400" s="159"/>
      <c r="AW400" s="159"/>
      <c r="AX400" s="159"/>
      <c r="AY400" s="159"/>
      <c r="AZ400" s="159"/>
      <c r="BA400" s="159"/>
    </row>
    <row r="401" spans="2:53" ht="17.399999999999999" customHeight="1">
      <c r="B401" s="159"/>
      <c r="C401" s="159"/>
      <c r="D401" s="159"/>
      <c r="E401" s="159"/>
      <c r="F401" s="159"/>
      <c r="G401" s="159"/>
      <c r="H401" s="159"/>
      <c r="I401" s="159"/>
      <c r="J401" s="224"/>
      <c r="K401" s="159"/>
      <c r="L401" s="159"/>
      <c r="M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c r="AT401" s="159"/>
      <c r="AU401" s="159"/>
      <c r="AV401" s="159"/>
      <c r="AW401" s="159"/>
      <c r="AX401" s="159"/>
      <c r="AY401" s="159"/>
      <c r="AZ401" s="159"/>
      <c r="BA401" s="159"/>
    </row>
    <row r="402" spans="2:53" ht="17.399999999999999" customHeight="1">
      <c r="B402" s="159"/>
      <c r="C402" s="159"/>
      <c r="D402" s="159"/>
      <c r="E402" s="159"/>
      <c r="F402" s="159"/>
      <c r="G402" s="159"/>
      <c r="H402" s="159"/>
      <c r="I402" s="159"/>
      <c r="J402" s="224"/>
      <c r="K402" s="159"/>
      <c r="L402" s="159"/>
      <c r="M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c r="AT402" s="159"/>
      <c r="AU402" s="159"/>
      <c r="AV402" s="159"/>
      <c r="AW402" s="159"/>
      <c r="AX402" s="159"/>
      <c r="AY402" s="159"/>
      <c r="AZ402" s="159"/>
      <c r="BA402" s="159"/>
    </row>
    <row r="403" spans="2:53" ht="17.399999999999999" customHeight="1">
      <c r="B403" s="159"/>
      <c r="C403" s="159"/>
      <c r="D403" s="159"/>
      <c r="E403" s="159"/>
      <c r="F403" s="159"/>
      <c r="G403" s="159"/>
      <c r="H403" s="159"/>
      <c r="I403" s="159"/>
      <c r="J403" s="224"/>
      <c r="K403" s="159"/>
      <c r="L403" s="159"/>
      <c r="M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c r="AT403" s="159"/>
      <c r="AU403" s="159"/>
      <c r="AV403" s="159"/>
      <c r="AW403" s="159"/>
      <c r="AX403" s="159"/>
      <c r="AY403" s="159"/>
      <c r="AZ403" s="159"/>
      <c r="BA403" s="159"/>
    </row>
    <row r="404" spans="2:53" ht="17.399999999999999" customHeight="1">
      <c r="B404" s="159"/>
      <c r="C404" s="159"/>
      <c r="D404" s="159"/>
      <c r="E404" s="159"/>
      <c r="F404" s="159"/>
      <c r="G404" s="159"/>
      <c r="H404" s="159"/>
      <c r="I404" s="159"/>
      <c r="J404" s="224"/>
      <c r="K404" s="159"/>
      <c r="L404" s="159"/>
      <c r="M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c r="AT404" s="159"/>
      <c r="AU404" s="159"/>
      <c r="AV404" s="159"/>
      <c r="AW404" s="159"/>
      <c r="AX404" s="159"/>
      <c r="AY404" s="159"/>
      <c r="AZ404" s="159"/>
      <c r="BA404" s="159"/>
    </row>
    <row r="405" spans="2:53" ht="17.399999999999999" customHeight="1">
      <c r="B405" s="159"/>
      <c r="C405" s="159"/>
      <c r="D405" s="159"/>
      <c r="E405" s="159"/>
      <c r="F405" s="159"/>
      <c r="G405" s="159"/>
      <c r="H405" s="159"/>
      <c r="I405" s="159"/>
      <c r="J405" s="224"/>
      <c r="K405" s="159"/>
      <c r="L405" s="159"/>
      <c r="M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c r="AT405" s="159"/>
      <c r="AU405" s="159"/>
      <c r="AV405" s="159"/>
      <c r="AW405" s="159"/>
      <c r="AX405" s="159"/>
      <c r="AY405" s="159"/>
      <c r="AZ405" s="159"/>
      <c r="BA405" s="159"/>
    </row>
    <row r="406" spans="2:53" ht="17.399999999999999" customHeight="1">
      <c r="B406" s="159"/>
      <c r="C406" s="159"/>
      <c r="D406" s="159"/>
      <c r="E406" s="159"/>
      <c r="F406" s="159"/>
      <c r="G406" s="159"/>
      <c r="H406" s="159"/>
      <c r="I406" s="159"/>
      <c r="J406" s="224"/>
      <c r="K406" s="159"/>
      <c r="L406" s="159"/>
      <c r="M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row>
    <row r="407" spans="2:53" ht="17.399999999999999" customHeight="1">
      <c r="B407" s="159"/>
      <c r="C407" s="159"/>
      <c r="D407" s="159"/>
      <c r="E407" s="159"/>
      <c r="F407" s="159"/>
      <c r="G407" s="159"/>
      <c r="H407" s="159"/>
      <c r="I407" s="159"/>
      <c r="J407" s="224"/>
      <c r="K407" s="159"/>
      <c r="L407" s="159"/>
      <c r="M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c r="AT407" s="159"/>
      <c r="AU407" s="159"/>
      <c r="AV407" s="159"/>
      <c r="AW407" s="159"/>
      <c r="AX407" s="159"/>
      <c r="AY407" s="159"/>
      <c r="AZ407" s="159"/>
      <c r="BA407" s="159"/>
    </row>
    <row r="408" spans="2:53" ht="17.399999999999999" customHeight="1">
      <c r="B408" s="159"/>
      <c r="C408" s="159"/>
      <c r="D408" s="159"/>
      <c r="E408" s="159"/>
      <c r="F408" s="159"/>
      <c r="G408" s="159"/>
      <c r="H408" s="159"/>
      <c r="I408" s="159"/>
      <c r="J408" s="224"/>
      <c r="K408" s="159"/>
      <c r="L408" s="159"/>
      <c r="M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c r="AT408" s="159"/>
      <c r="AU408" s="159"/>
      <c r="AV408" s="159"/>
      <c r="AW408" s="159"/>
      <c r="AX408" s="159"/>
      <c r="AY408" s="159"/>
      <c r="AZ408" s="159"/>
      <c r="BA408" s="159"/>
    </row>
    <row r="409" spans="2:53" ht="17.399999999999999" customHeight="1">
      <c r="B409" s="159"/>
      <c r="C409" s="159"/>
      <c r="D409" s="159"/>
      <c r="E409" s="159"/>
      <c r="F409" s="159"/>
      <c r="G409" s="159"/>
      <c r="H409" s="159"/>
      <c r="I409" s="159"/>
      <c r="J409" s="224"/>
      <c r="K409" s="159"/>
      <c r="L409" s="159"/>
      <c r="M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c r="AT409" s="159"/>
      <c r="AU409" s="159"/>
      <c r="AV409" s="159"/>
      <c r="AW409" s="159"/>
      <c r="AX409" s="159"/>
      <c r="AY409" s="159"/>
      <c r="AZ409" s="159"/>
      <c r="BA409" s="159"/>
    </row>
    <row r="410" spans="2:53" ht="17.399999999999999" customHeight="1">
      <c r="B410" s="159"/>
      <c r="C410" s="159"/>
      <c r="D410" s="159"/>
      <c r="E410" s="159"/>
      <c r="F410" s="159"/>
      <c r="G410" s="159"/>
      <c r="H410" s="159"/>
      <c r="I410" s="159"/>
      <c r="J410" s="224"/>
      <c r="K410" s="159"/>
      <c r="L410" s="159"/>
      <c r="M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c r="AT410" s="159"/>
      <c r="AU410" s="159"/>
      <c r="AV410" s="159"/>
      <c r="AW410" s="159"/>
      <c r="AX410" s="159"/>
      <c r="AY410" s="159"/>
      <c r="AZ410" s="159"/>
      <c r="BA410" s="159"/>
    </row>
    <row r="411" spans="2:53" ht="17.399999999999999" customHeight="1">
      <c r="B411" s="159"/>
      <c r="C411" s="159"/>
      <c r="D411" s="159"/>
      <c r="E411" s="159"/>
      <c r="F411" s="159"/>
      <c r="G411" s="159"/>
      <c r="H411" s="159"/>
      <c r="I411" s="159"/>
      <c r="J411" s="224"/>
      <c r="K411" s="159"/>
      <c r="L411" s="159"/>
      <c r="M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c r="AT411" s="159"/>
      <c r="AU411" s="159"/>
      <c r="AV411" s="159"/>
      <c r="AW411" s="159"/>
      <c r="AX411" s="159"/>
      <c r="AY411" s="159"/>
      <c r="AZ411" s="159"/>
      <c r="BA411" s="159"/>
    </row>
    <row r="412" spans="2:53" ht="17.399999999999999" customHeight="1">
      <c r="B412" s="159"/>
      <c r="C412" s="159"/>
      <c r="D412" s="159"/>
      <c r="E412" s="159"/>
      <c r="F412" s="159"/>
      <c r="G412" s="159"/>
      <c r="H412" s="159"/>
      <c r="I412" s="159"/>
      <c r="J412" s="224"/>
      <c r="K412" s="159"/>
      <c r="L412" s="159"/>
      <c r="M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c r="AT412" s="159"/>
      <c r="AU412" s="159"/>
      <c r="AV412" s="159"/>
      <c r="AW412" s="159"/>
      <c r="AX412" s="159"/>
      <c r="AY412" s="159"/>
      <c r="AZ412" s="159"/>
      <c r="BA412" s="159"/>
    </row>
    <row r="413" spans="2:53" ht="17.399999999999999" customHeight="1">
      <c r="B413" s="159"/>
      <c r="C413" s="159"/>
      <c r="D413" s="159"/>
      <c r="E413" s="159"/>
      <c r="F413" s="159"/>
      <c r="G413" s="159"/>
      <c r="H413" s="159"/>
      <c r="I413" s="159"/>
      <c r="J413" s="224"/>
      <c r="K413" s="159"/>
      <c r="L413" s="159"/>
      <c r="M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c r="AT413" s="159"/>
      <c r="AU413" s="159"/>
      <c r="AV413" s="159"/>
      <c r="AW413" s="159"/>
      <c r="AX413" s="159"/>
      <c r="AY413" s="159"/>
      <c r="AZ413" s="159"/>
      <c r="BA413" s="159"/>
    </row>
    <row r="414" spans="2:53" ht="17.399999999999999" customHeight="1">
      <c r="B414" s="159"/>
      <c r="C414" s="159"/>
      <c r="D414" s="159"/>
      <c r="E414" s="159"/>
      <c r="F414" s="159"/>
      <c r="G414" s="159"/>
      <c r="H414" s="159"/>
      <c r="I414" s="159"/>
      <c r="J414" s="224"/>
      <c r="K414" s="159"/>
      <c r="L414" s="159"/>
      <c r="M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c r="AT414" s="159"/>
      <c r="AU414" s="159"/>
      <c r="AV414" s="159"/>
      <c r="AW414" s="159"/>
      <c r="AX414" s="159"/>
      <c r="AY414" s="159"/>
      <c r="AZ414" s="159"/>
      <c r="BA414" s="159"/>
    </row>
    <row r="415" spans="2:53" ht="17.399999999999999" customHeight="1">
      <c r="B415" s="159"/>
      <c r="C415" s="159"/>
      <c r="D415" s="159"/>
      <c r="E415" s="159"/>
      <c r="F415" s="159"/>
      <c r="G415" s="159"/>
      <c r="H415" s="159"/>
      <c r="I415" s="159"/>
      <c r="J415" s="224"/>
      <c r="K415" s="159"/>
      <c r="L415" s="159"/>
      <c r="M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c r="AT415" s="159"/>
      <c r="AU415" s="159"/>
      <c r="AV415" s="159"/>
      <c r="AW415" s="159"/>
      <c r="AX415" s="159"/>
      <c r="AY415" s="159"/>
      <c r="AZ415" s="159"/>
      <c r="BA415" s="159"/>
    </row>
    <row r="416" spans="2:53" ht="17.399999999999999" customHeight="1">
      <c r="B416" s="159"/>
      <c r="C416" s="159"/>
      <c r="D416" s="159"/>
      <c r="E416" s="159"/>
      <c r="F416" s="159"/>
      <c r="G416" s="159"/>
      <c r="H416" s="159"/>
      <c r="I416" s="159"/>
      <c r="J416" s="224"/>
      <c r="K416" s="159"/>
      <c r="L416" s="159"/>
      <c r="M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c r="AT416" s="159"/>
      <c r="AU416" s="159"/>
      <c r="AV416" s="159"/>
      <c r="AW416" s="159"/>
      <c r="AX416" s="159"/>
      <c r="AY416" s="159"/>
      <c r="AZ416" s="159"/>
      <c r="BA416" s="159"/>
    </row>
    <row r="417" spans="2:53" ht="17.399999999999999" customHeight="1">
      <c r="B417" s="159"/>
      <c r="C417" s="159"/>
      <c r="D417" s="159"/>
      <c r="E417" s="159"/>
      <c r="F417" s="159"/>
      <c r="G417" s="159"/>
      <c r="H417" s="159"/>
      <c r="I417" s="159"/>
      <c r="J417" s="224"/>
      <c r="K417" s="159"/>
      <c r="L417" s="159"/>
      <c r="M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c r="AT417" s="159"/>
      <c r="AU417" s="159"/>
      <c r="AV417" s="159"/>
      <c r="AW417" s="159"/>
      <c r="AX417" s="159"/>
      <c r="AY417" s="159"/>
      <c r="AZ417" s="159"/>
      <c r="BA417" s="159"/>
    </row>
    <row r="418" spans="2:53" ht="17.399999999999999" customHeight="1">
      <c r="B418" s="159"/>
      <c r="C418" s="159"/>
      <c r="D418" s="159"/>
      <c r="E418" s="159"/>
      <c r="F418" s="159"/>
      <c r="G418" s="159"/>
      <c r="H418" s="159"/>
      <c r="I418" s="159"/>
      <c r="J418" s="224"/>
      <c r="K418" s="159"/>
      <c r="L418" s="159"/>
      <c r="M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c r="AT418" s="159"/>
      <c r="AU418" s="159"/>
      <c r="AV418" s="159"/>
      <c r="AW418" s="159"/>
      <c r="AX418" s="159"/>
      <c r="AY418" s="159"/>
      <c r="AZ418" s="159"/>
      <c r="BA418" s="159"/>
    </row>
    <row r="419" spans="2:53" ht="17.399999999999999" customHeight="1">
      <c r="B419" s="159"/>
      <c r="C419" s="159"/>
      <c r="D419" s="159"/>
      <c r="E419" s="159"/>
      <c r="F419" s="159"/>
      <c r="G419" s="159"/>
      <c r="H419" s="159"/>
      <c r="I419" s="159"/>
      <c r="J419" s="224"/>
      <c r="K419" s="159"/>
      <c r="L419" s="159"/>
      <c r="M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c r="AT419" s="159"/>
      <c r="AU419" s="159"/>
      <c r="AV419" s="159"/>
      <c r="AW419" s="159"/>
      <c r="AX419" s="159"/>
      <c r="AY419" s="159"/>
      <c r="AZ419" s="159"/>
      <c r="BA419" s="159"/>
    </row>
    <row r="420" spans="2:53" ht="17.399999999999999" customHeight="1">
      <c r="B420" s="159"/>
      <c r="C420" s="159"/>
      <c r="D420" s="159"/>
      <c r="E420" s="159"/>
      <c r="F420" s="159"/>
      <c r="G420" s="159"/>
      <c r="H420" s="159"/>
      <c r="I420" s="159"/>
      <c r="J420" s="224"/>
      <c r="K420" s="159"/>
      <c r="L420" s="159"/>
      <c r="M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c r="AT420" s="159"/>
      <c r="AU420" s="159"/>
      <c r="AV420" s="159"/>
      <c r="AW420" s="159"/>
      <c r="AX420" s="159"/>
      <c r="AY420" s="159"/>
      <c r="AZ420" s="159"/>
      <c r="BA420" s="159"/>
    </row>
    <row r="421" spans="2:53" ht="17.399999999999999" customHeight="1">
      <c r="B421" s="159"/>
      <c r="C421" s="159"/>
      <c r="D421" s="159"/>
      <c r="E421" s="159"/>
      <c r="F421" s="159"/>
      <c r="G421" s="159"/>
      <c r="H421" s="159"/>
      <c r="I421" s="159"/>
      <c r="J421" s="224"/>
      <c r="K421" s="159"/>
      <c r="L421" s="159"/>
      <c r="M421" s="159"/>
      <c r="O421" s="159"/>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c r="AT421" s="159"/>
      <c r="AU421" s="159"/>
      <c r="AV421" s="159"/>
      <c r="AW421" s="159"/>
      <c r="AX421" s="159"/>
      <c r="AY421" s="159"/>
      <c r="AZ421" s="159"/>
      <c r="BA421" s="159"/>
    </row>
    <row r="422" spans="2:53" ht="17.399999999999999" customHeight="1">
      <c r="B422" s="159"/>
      <c r="C422" s="159"/>
      <c r="D422" s="159"/>
      <c r="E422" s="159"/>
      <c r="F422" s="159"/>
      <c r="G422" s="159"/>
      <c r="H422" s="159"/>
      <c r="I422" s="159"/>
      <c r="J422" s="224"/>
      <c r="K422" s="159"/>
      <c r="L422" s="159"/>
      <c r="M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c r="AT422" s="159"/>
      <c r="AU422" s="159"/>
      <c r="AV422" s="159"/>
      <c r="AW422" s="159"/>
      <c r="AX422" s="159"/>
      <c r="AY422" s="159"/>
      <c r="AZ422" s="159"/>
      <c r="BA422" s="159"/>
    </row>
    <row r="423" spans="2:53" ht="17.399999999999999" customHeight="1">
      <c r="B423" s="159"/>
      <c r="C423" s="159"/>
      <c r="D423" s="159"/>
      <c r="E423" s="159"/>
      <c r="F423" s="159"/>
      <c r="G423" s="159"/>
      <c r="H423" s="159"/>
      <c r="I423" s="159"/>
      <c r="J423" s="224"/>
      <c r="K423" s="159"/>
      <c r="L423" s="159"/>
      <c r="M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c r="AT423" s="159"/>
      <c r="AU423" s="159"/>
      <c r="AV423" s="159"/>
      <c r="AW423" s="159"/>
      <c r="AX423" s="159"/>
      <c r="AY423" s="159"/>
      <c r="AZ423" s="159"/>
      <c r="BA423" s="159"/>
    </row>
    <row r="424" spans="2:53" ht="17.399999999999999" customHeight="1">
      <c r="B424" s="159"/>
      <c r="C424" s="159"/>
      <c r="D424" s="159"/>
      <c r="E424" s="159"/>
      <c r="F424" s="159"/>
      <c r="G424" s="159"/>
      <c r="H424" s="159"/>
      <c r="I424" s="159"/>
      <c r="J424" s="224"/>
      <c r="K424" s="159"/>
      <c r="L424" s="159"/>
      <c r="M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c r="AT424" s="159"/>
      <c r="AU424" s="159"/>
      <c r="AV424" s="159"/>
      <c r="AW424" s="159"/>
      <c r="AX424" s="159"/>
      <c r="AY424" s="159"/>
      <c r="AZ424" s="159"/>
      <c r="BA424" s="159"/>
    </row>
    <row r="425" spans="2:53" ht="17.399999999999999" customHeight="1">
      <c r="B425" s="159"/>
      <c r="C425" s="159"/>
      <c r="D425" s="159"/>
      <c r="E425" s="159"/>
      <c r="F425" s="159"/>
      <c r="G425" s="159"/>
      <c r="H425" s="159"/>
      <c r="I425" s="159"/>
      <c r="J425" s="224"/>
      <c r="K425" s="159"/>
      <c r="L425" s="159"/>
      <c r="M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c r="AT425" s="159"/>
      <c r="AU425" s="159"/>
      <c r="AV425" s="159"/>
      <c r="AW425" s="159"/>
      <c r="AX425" s="159"/>
      <c r="AY425" s="159"/>
      <c r="AZ425" s="159"/>
      <c r="BA425" s="159"/>
    </row>
    <row r="426" spans="2:53" ht="17.399999999999999" customHeight="1">
      <c r="B426" s="159"/>
      <c r="C426" s="159"/>
      <c r="D426" s="159"/>
      <c r="E426" s="159"/>
      <c r="F426" s="159"/>
      <c r="G426" s="159"/>
      <c r="H426" s="159"/>
      <c r="I426" s="159"/>
      <c r="J426" s="224"/>
      <c r="K426" s="159"/>
      <c r="L426" s="159"/>
      <c r="M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c r="AT426" s="159"/>
      <c r="AU426" s="159"/>
      <c r="AV426" s="159"/>
      <c r="AW426" s="159"/>
      <c r="AX426" s="159"/>
      <c r="AY426" s="159"/>
      <c r="AZ426" s="159"/>
      <c r="BA426" s="159"/>
    </row>
    <row r="427" spans="2:53" ht="17.399999999999999" customHeight="1">
      <c r="B427" s="159"/>
      <c r="C427" s="159"/>
      <c r="D427" s="159"/>
      <c r="E427" s="159"/>
      <c r="F427" s="159"/>
      <c r="G427" s="159"/>
      <c r="H427" s="159"/>
      <c r="I427" s="159"/>
      <c r="J427" s="224"/>
      <c r="K427" s="159"/>
      <c r="L427" s="159"/>
      <c r="M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c r="AT427" s="159"/>
      <c r="AU427" s="159"/>
      <c r="AV427" s="159"/>
      <c r="AW427" s="159"/>
      <c r="AX427" s="159"/>
      <c r="AY427" s="159"/>
      <c r="AZ427" s="159"/>
      <c r="BA427" s="159"/>
    </row>
    <row r="428" spans="2:53" ht="17.399999999999999" customHeight="1">
      <c r="B428" s="159"/>
      <c r="C428" s="159"/>
      <c r="D428" s="159"/>
      <c r="E428" s="159"/>
      <c r="F428" s="159"/>
      <c r="G428" s="159"/>
      <c r="H428" s="159"/>
      <c r="I428" s="159"/>
      <c r="J428" s="224"/>
      <c r="K428" s="159"/>
      <c r="L428" s="159"/>
      <c r="M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c r="AT428" s="159"/>
      <c r="AU428" s="159"/>
      <c r="AV428" s="159"/>
      <c r="AW428" s="159"/>
      <c r="AX428" s="159"/>
      <c r="AY428" s="159"/>
      <c r="AZ428" s="159"/>
      <c r="BA428" s="159"/>
    </row>
    <row r="429" spans="2:53" ht="17.399999999999999" customHeight="1">
      <c r="B429" s="159"/>
      <c r="C429" s="159"/>
      <c r="D429" s="159"/>
      <c r="E429" s="159"/>
      <c r="F429" s="159"/>
      <c r="G429" s="159"/>
      <c r="H429" s="159"/>
      <c r="I429" s="159"/>
      <c r="J429" s="224"/>
      <c r="K429" s="159"/>
      <c r="L429" s="159"/>
      <c r="M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c r="AT429" s="159"/>
      <c r="AU429" s="159"/>
      <c r="AV429" s="159"/>
      <c r="AW429" s="159"/>
      <c r="AX429" s="159"/>
      <c r="AY429" s="159"/>
      <c r="AZ429" s="159"/>
      <c r="BA429" s="159"/>
    </row>
    <row r="430" spans="2:53" ht="17.399999999999999" customHeight="1">
      <c r="B430" s="159"/>
      <c r="C430" s="159"/>
      <c r="D430" s="159"/>
      <c r="E430" s="159"/>
      <c r="F430" s="159"/>
      <c r="G430" s="159"/>
      <c r="H430" s="159"/>
      <c r="I430" s="159"/>
      <c r="J430" s="224"/>
      <c r="K430" s="159"/>
      <c r="L430" s="159"/>
      <c r="M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c r="AT430" s="159"/>
      <c r="AU430" s="159"/>
      <c r="AV430" s="159"/>
      <c r="AW430" s="159"/>
      <c r="AX430" s="159"/>
      <c r="AY430" s="159"/>
      <c r="AZ430" s="159"/>
      <c r="BA430" s="159"/>
    </row>
    <row r="431" spans="2:53" ht="17.399999999999999" customHeight="1">
      <c r="B431" s="159"/>
      <c r="C431" s="159"/>
      <c r="D431" s="159"/>
      <c r="E431" s="159"/>
      <c r="F431" s="159"/>
      <c r="G431" s="159"/>
      <c r="H431" s="159"/>
      <c r="I431" s="159"/>
      <c r="J431" s="224"/>
      <c r="K431" s="159"/>
      <c r="L431" s="159"/>
      <c r="M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c r="AT431" s="159"/>
      <c r="AU431" s="159"/>
      <c r="AV431" s="159"/>
      <c r="AW431" s="159"/>
      <c r="AX431" s="159"/>
      <c r="AY431" s="159"/>
      <c r="AZ431" s="159"/>
      <c r="BA431" s="159"/>
    </row>
    <row r="432" spans="2:53" ht="17.399999999999999" customHeight="1">
      <c r="B432" s="159"/>
      <c r="C432" s="159"/>
      <c r="D432" s="159"/>
      <c r="E432" s="159"/>
      <c r="F432" s="159"/>
      <c r="G432" s="159"/>
      <c r="H432" s="159"/>
      <c r="I432" s="159"/>
      <c r="J432" s="224"/>
      <c r="K432" s="159"/>
      <c r="L432" s="159"/>
      <c r="M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c r="AT432" s="159"/>
      <c r="AU432" s="159"/>
      <c r="AV432" s="159"/>
      <c r="AW432" s="159"/>
      <c r="AX432" s="159"/>
      <c r="AY432" s="159"/>
      <c r="AZ432" s="159"/>
      <c r="BA432" s="159"/>
    </row>
    <row r="433" spans="2:53" ht="17.399999999999999" customHeight="1">
      <c r="B433" s="159"/>
      <c r="C433" s="159"/>
      <c r="D433" s="159"/>
      <c r="E433" s="159"/>
      <c r="F433" s="159"/>
      <c r="G433" s="159"/>
      <c r="H433" s="159"/>
      <c r="I433" s="159"/>
      <c r="J433" s="224"/>
      <c r="K433" s="159"/>
      <c r="L433" s="159"/>
      <c r="M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c r="AT433" s="159"/>
      <c r="AU433" s="159"/>
      <c r="AV433" s="159"/>
      <c r="AW433" s="159"/>
      <c r="AX433" s="159"/>
      <c r="AY433" s="159"/>
      <c r="AZ433" s="159"/>
      <c r="BA433" s="159"/>
    </row>
    <row r="434" spans="2:53" ht="17.399999999999999" customHeight="1">
      <c r="B434" s="159"/>
      <c r="C434" s="159"/>
      <c r="D434" s="159"/>
      <c r="E434" s="159"/>
      <c r="F434" s="159"/>
      <c r="G434" s="159"/>
      <c r="H434" s="159"/>
      <c r="I434" s="159"/>
      <c r="J434" s="224"/>
      <c r="K434" s="159"/>
      <c r="L434" s="159"/>
      <c r="M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c r="AT434" s="159"/>
      <c r="AU434" s="159"/>
      <c r="AV434" s="159"/>
      <c r="AW434" s="159"/>
      <c r="AX434" s="159"/>
      <c r="AY434" s="159"/>
      <c r="AZ434" s="159"/>
      <c r="BA434" s="159"/>
    </row>
    <row r="435" spans="2:53" ht="17.399999999999999" customHeight="1">
      <c r="B435" s="159"/>
      <c r="C435" s="159"/>
      <c r="D435" s="159"/>
      <c r="E435" s="159"/>
      <c r="F435" s="159"/>
      <c r="G435" s="159"/>
      <c r="H435" s="159"/>
      <c r="I435" s="159"/>
      <c r="J435" s="224"/>
      <c r="K435" s="159"/>
      <c r="L435" s="159"/>
      <c r="M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c r="AT435" s="159"/>
      <c r="AU435" s="159"/>
      <c r="AV435" s="159"/>
      <c r="AW435" s="159"/>
      <c r="AX435" s="159"/>
      <c r="AY435" s="159"/>
      <c r="AZ435" s="159"/>
      <c r="BA435" s="159"/>
    </row>
    <row r="436" spans="2:53" ht="17.399999999999999" customHeight="1">
      <c r="B436" s="159"/>
      <c r="C436" s="159"/>
      <c r="D436" s="159"/>
      <c r="E436" s="159"/>
      <c r="F436" s="159"/>
      <c r="G436" s="159"/>
      <c r="H436" s="159"/>
      <c r="I436" s="159"/>
      <c r="J436" s="224"/>
      <c r="K436" s="159"/>
      <c r="L436" s="159"/>
      <c r="M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c r="AT436" s="159"/>
      <c r="AU436" s="159"/>
      <c r="AV436" s="159"/>
      <c r="AW436" s="159"/>
      <c r="AX436" s="159"/>
      <c r="AY436" s="159"/>
      <c r="AZ436" s="159"/>
      <c r="BA436" s="159"/>
    </row>
    <row r="437" spans="2:53" ht="17.399999999999999" customHeight="1">
      <c r="B437" s="159"/>
      <c r="C437" s="159"/>
      <c r="D437" s="159"/>
      <c r="E437" s="159"/>
      <c r="F437" s="159"/>
      <c r="G437" s="159"/>
      <c r="H437" s="159"/>
      <c r="I437" s="159"/>
      <c r="J437" s="224"/>
      <c r="K437" s="159"/>
      <c r="L437" s="159"/>
      <c r="M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c r="AT437" s="159"/>
      <c r="AU437" s="159"/>
      <c r="AV437" s="159"/>
      <c r="AW437" s="159"/>
      <c r="AX437" s="159"/>
      <c r="AY437" s="159"/>
      <c r="AZ437" s="159"/>
      <c r="BA437" s="159"/>
    </row>
    <row r="438" spans="2:53" ht="17.399999999999999" customHeight="1">
      <c r="B438" s="159"/>
      <c r="C438" s="159"/>
      <c r="D438" s="159"/>
      <c r="E438" s="159"/>
      <c r="F438" s="159"/>
      <c r="G438" s="159"/>
      <c r="H438" s="159"/>
      <c r="I438" s="159"/>
      <c r="J438" s="224"/>
      <c r="K438" s="159"/>
      <c r="L438" s="159"/>
      <c r="M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c r="AT438" s="159"/>
      <c r="AU438" s="159"/>
      <c r="AV438" s="159"/>
      <c r="AW438" s="159"/>
      <c r="AX438" s="159"/>
      <c r="AY438" s="159"/>
      <c r="AZ438" s="159"/>
      <c r="BA438" s="159"/>
    </row>
    <row r="439" spans="2:53" ht="17.399999999999999" customHeight="1">
      <c r="B439" s="159"/>
      <c r="C439" s="159"/>
      <c r="D439" s="159"/>
      <c r="E439" s="159"/>
      <c r="F439" s="159"/>
      <c r="G439" s="159"/>
      <c r="H439" s="159"/>
      <c r="I439" s="159"/>
      <c r="J439" s="224"/>
      <c r="K439" s="159"/>
      <c r="L439" s="159"/>
      <c r="M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c r="AT439" s="159"/>
      <c r="AU439" s="159"/>
      <c r="AV439" s="159"/>
      <c r="AW439" s="159"/>
      <c r="AX439" s="159"/>
      <c r="AY439" s="159"/>
      <c r="AZ439" s="159"/>
      <c r="BA439" s="159"/>
    </row>
    <row r="440" spans="2:53" ht="17.399999999999999" customHeight="1">
      <c r="B440" s="159"/>
      <c r="C440" s="159"/>
      <c r="D440" s="159"/>
      <c r="E440" s="159"/>
      <c r="F440" s="159"/>
      <c r="G440" s="159"/>
      <c r="H440" s="159"/>
      <c r="I440" s="159"/>
      <c r="J440" s="224"/>
      <c r="K440" s="159"/>
      <c r="L440" s="159"/>
      <c r="M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c r="AT440" s="159"/>
      <c r="AU440" s="159"/>
      <c r="AV440" s="159"/>
      <c r="AW440" s="159"/>
      <c r="AX440" s="159"/>
      <c r="AY440" s="159"/>
      <c r="AZ440" s="159"/>
      <c r="BA440" s="159"/>
    </row>
    <row r="441" spans="2:53" ht="17.399999999999999" customHeight="1">
      <c r="B441" s="159"/>
      <c r="C441" s="159"/>
      <c r="D441" s="159"/>
      <c r="E441" s="159"/>
      <c r="F441" s="159"/>
      <c r="G441" s="159"/>
      <c r="H441" s="159"/>
      <c r="I441" s="159"/>
      <c r="J441" s="224"/>
      <c r="K441" s="159"/>
      <c r="L441" s="159"/>
      <c r="M441" s="159"/>
      <c r="O441" s="159"/>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c r="AT441" s="159"/>
      <c r="AU441" s="159"/>
      <c r="AV441" s="159"/>
      <c r="AW441" s="159"/>
      <c r="AX441" s="159"/>
      <c r="AY441" s="159"/>
      <c r="AZ441" s="159"/>
      <c r="BA441" s="159"/>
    </row>
    <row r="442" spans="2:53" ht="17.399999999999999" customHeight="1">
      <c r="B442" s="159"/>
      <c r="C442" s="159"/>
      <c r="D442" s="159"/>
      <c r="E442" s="159"/>
      <c r="F442" s="159"/>
      <c r="G442" s="159"/>
      <c r="H442" s="159"/>
      <c r="I442" s="159"/>
      <c r="J442" s="224"/>
      <c r="K442" s="159"/>
      <c r="L442" s="159"/>
      <c r="M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c r="AT442" s="159"/>
      <c r="AU442" s="159"/>
      <c r="AV442" s="159"/>
      <c r="AW442" s="159"/>
      <c r="AX442" s="159"/>
      <c r="AY442" s="159"/>
      <c r="AZ442" s="159"/>
      <c r="BA442" s="159"/>
    </row>
    <row r="443" spans="2:53" ht="17.399999999999999" customHeight="1">
      <c r="B443" s="159"/>
      <c r="C443" s="159"/>
      <c r="D443" s="159"/>
      <c r="E443" s="159"/>
      <c r="F443" s="159"/>
      <c r="G443" s="159"/>
      <c r="H443" s="159"/>
      <c r="I443" s="159"/>
      <c r="J443" s="224"/>
      <c r="K443" s="159"/>
      <c r="L443" s="159"/>
      <c r="M443" s="159"/>
      <c r="O443" s="159"/>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c r="AT443" s="159"/>
      <c r="AU443" s="159"/>
      <c r="AV443" s="159"/>
      <c r="AW443" s="159"/>
      <c r="AX443" s="159"/>
      <c r="AY443" s="159"/>
      <c r="AZ443" s="159"/>
      <c r="BA443" s="159"/>
    </row>
    <row r="444" spans="2:53" ht="17.399999999999999" customHeight="1">
      <c r="B444" s="159"/>
      <c r="C444" s="159"/>
      <c r="D444" s="159"/>
      <c r="E444" s="159"/>
      <c r="F444" s="159"/>
      <c r="G444" s="159"/>
      <c r="H444" s="159"/>
      <c r="I444" s="159"/>
      <c r="J444" s="224"/>
      <c r="K444" s="159"/>
      <c r="L444" s="159"/>
      <c r="M444" s="159"/>
      <c r="O444" s="159"/>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c r="AT444" s="159"/>
      <c r="AU444" s="159"/>
      <c r="AV444" s="159"/>
      <c r="AW444" s="159"/>
      <c r="AX444" s="159"/>
      <c r="AY444" s="159"/>
      <c r="AZ444" s="159"/>
      <c r="BA444" s="159"/>
    </row>
    <row r="445" spans="2:53" ht="17.399999999999999" customHeight="1">
      <c r="B445" s="159"/>
      <c r="C445" s="159"/>
      <c r="D445" s="159"/>
      <c r="E445" s="159"/>
      <c r="F445" s="159"/>
      <c r="G445" s="159"/>
      <c r="H445" s="159"/>
      <c r="I445" s="159"/>
      <c r="J445" s="224"/>
      <c r="K445" s="159"/>
      <c r="L445" s="159"/>
      <c r="M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c r="AT445" s="159"/>
      <c r="AU445" s="159"/>
      <c r="AV445" s="159"/>
      <c r="AW445" s="159"/>
      <c r="AX445" s="159"/>
      <c r="AY445" s="159"/>
      <c r="AZ445" s="159"/>
      <c r="BA445" s="159"/>
    </row>
    <row r="446" spans="2:53" ht="17.399999999999999" customHeight="1">
      <c r="B446" s="159"/>
      <c r="C446" s="159"/>
      <c r="D446" s="159"/>
      <c r="E446" s="159"/>
      <c r="F446" s="159"/>
      <c r="G446" s="159"/>
      <c r="H446" s="159"/>
      <c r="I446" s="159"/>
      <c r="J446" s="224"/>
      <c r="K446" s="159"/>
      <c r="L446" s="159"/>
      <c r="M446" s="159"/>
      <c r="O446" s="159"/>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c r="AT446" s="159"/>
      <c r="AU446" s="159"/>
      <c r="AV446" s="159"/>
      <c r="AW446" s="159"/>
      <c r="AX446" s="159"/>
      <c r="AY446" s="159"/>
      <c r="AZ446" s="159"/>
      <c r="BA446" s="159"/>
    </row>
    <row r="447" spans="2:53" ht="17.399999999999999" customHeight="1">
      <c r="B447" s="159"/>
      <c r="C447" s="159"/>
      <c r="D447" s="159"/>
      <c r="E447" s="159"/>
      <c r="F447" s="159"/>
      <c r="G447" s="159"/>
      <c r="H447" s="159"/>
      <c r="I447" s="159"/>
      <c r="J447" s="224"/>
      <c r="K447" s="159"/>
      <c r="L447" s="159"/>
      <c r="M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c r="AT447" s="159"/>
      <c r="AU447" s="159"/>
      <c r="AV447" s="159"/>
      <c r="AW447" s="159"/>
      <c r="AX447" s="159"/>
      <c r="AY447" s="159"/>
      <c r="AZ447" s="159"/>
      <c r="BA447" s="159"/>
    </row>
    <row r="448" spans="2:53" ht="17.399999999999999" customHeight="1">
      <c r="B448" s="159"/>
      <c r="C448" s="159"/>
      <c r="D448" s="159"/>
      <c r="E448" s="159"/>
      <c r="F448" s="159"/>
      <c r="G448" s="159"/>
      <c r="H448" s="159"/>
      <c r="I448" s="159"/>
      <c r="J448" s="224"/>
      <c r="K448" s="159"/>
      <c r="L448" s="159"/>
      <c r="M448" s="159"/>
      <c r="O448" s="159"/>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c r="AT448" s="159"/>
      <c r="AU448" s="159"/>
      <c r="AV448" s="159"/>
      <c r="AW448" s="159"/>
      <c r="AX448" s="159"/>
      <c r="AY448" s="159"/>
      <c r="AZ448" s="159"/>
      <c r="BA448" s="159"/>
    </row>
    <row r="449" spans="2:53" ht="17.399999999999999" customHeight="1">
      <c r="B449" s="159"/>
      <c r="C449" s="159"/>
      <c r="D449" s="159"/>
      <c r="E449" s="159"/>
      <c r="F449" s="159"/>
      <c r="G449" s="159"/>
      <c r="H449" s="159"/>
      <c r="I449" s="159"/>
      <c r="J449" s="224"/>
      <c r="K449" s="159"/>
      <c r="L449" s="159"/>
      <c r="M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c r="AT449" s="159"/>
      <c r="AU449" s="159"/>
      <c r="AV449" s="159"/>
      <c r="AW449" s="159"/>
      <c r="AX449" s="159"/>
      <c r="AY449" s="159"/>
      <c r="AZ449" s="159"/>
      <c r="BA449" s="159"/>
    </row>
    <row r="450" spans="2:53" ht="17.399999999999999" customHeight="1">
      <c r="B450" s="159"/>
      <c r="C450" s="159"/>
      <c r="D450" s="159"/>
      <c r="E450" s="159"/>
      <c r="F450" s="159"/>
      <c r="G450" s="159"/>
      <c r="H450" s="159"/>
      <c r="I450" s="159"/>
      <c r="J450" s="224"/>
      <c r="K450" s="159"/>
      <c r="L450" s="159"/>
      <c r="M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c r="AT450" s="159"/>
      <c r="AU450" s="159"/>
      <c r="AV450" s="159"/>
      <c r="AW450" s="159"/>
      <c r="AX450" s="159"/>
      <c r="AY450" s="159"/>
      <c r="AZ450" s="159"/>
      <c r="BA450" s="159"/>
    </row>
    <row r="451" spans="2:53" ht="17.399999999999999" customHeight="1">
      <c r="B451" s="159"/>
      <c r="C451" s="159"/>
      <c r="D451" s="159"/>
      <c r="E451" s="159"/>
      <c r="F451" s="159"/>
      <c r="G451" s="159"/>
      <c r="H451" s="159"/>
      <c r="I451" s="159"/>
      <c r="J451" s="224"/>
      <c r="K451" s="159"/>
      <c r="L451" s="159"/>
      <c r="M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c r="AT451" s="159"/>
      <c r="AU451" s="159"/>
      <c r="AV451" s="159"/>
      <c r="AW451" s="159"/>
      <c r="AX451" s="159"/>
      <c r="AY451" s="159"/>
      <c r="AZ451" s="159"/>
      <c r="BA451" s="159"/>
    </row>
    <row r="452" spans="2:53" ht="17.399999999999999" customHeight="1">
      <c r="B452" s="159"/>
      <c r="C452" s="159"/>
      <c r="D452" s="159"/>
      <c r="E452" s="159"/>
      <c r="F452" s="159"/>
      <c r="G452" s="159"/>
      <c r="H452" s="159"/>
      <c r="I452" s="159"/>
      <c r="J452" s="224"/>
      <c r="K452" s="159"/>
      <c r="L452" s="159"/>
      <c r="M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c r="AT452" s="159"/>
      <c r="AU452" s="159"/>
      <c r="AV452" s="159"/>
      <c r="AW452" s="159"/>
      <c r="AX452" s="159"/>
      <c r="AY452" s="159"/>
      <c r="AZ452" s="159"/>
      <c r="BA452" s="159"/>
    </row>
    <row r="453" spans="2:53" ht="17.399999999999999" customHeight="1">
      <c r="B453" s="159"/>
      <c r="C453" s="159"/>
      <c r="D453" s="159"/>
      <c r="E453" s="159"/>
      <c r="F453" s="159"/>
      <c r="G453" s="159"/>
      <c r="H453" s="159"/>
      <c r="I453" s="159"/>
      <c r="J453" s="224"/>
      <c r="K453" s="159"/>
      <c r="L453" s="159"/>
      <c r="M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c r="AT453" s="159"/>
      <c r="AU453" s="159"/>
      <c r="AV453" s="159"/>
      <c r="AW453" s="159"/>
      <c r="AX453" s="159"/>
      <c r="AY453" s="159"/>
      <c r="AZ453" s="159"/>
      <c r="BA453" s="159"/>
    </row>
    <row r="454" spans="2:53" ht="17.399999999999999" customHeight="1">
      <c r="B454" s="159"/>
      <c r="C454" s="159"/>
      <c r="D454" s="159"/>
      <c r="E454" s="159"/>
      <c r="F454" s="159"/>
      <c r="G454" s="159"/>
      <c r="H454" s="159"/>
      <c r="I454" s="159"/>
      <c r="J454" s="224"/>
      <c r="K454" s="159"/>
      <c r="L454" s="159"/>
      <c r="M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c r="AT454" s="159"/>
      <c r="AU454" s="159"/>
      <c r="AV454" s="159"/>
      <c r="AW454" s="159"/>
      <c r="AX454" s="159"/>
      <c r="AY454" s="159"/>
      <c r="AZ454" s="159"/>
      <c r="BA454" s="159"/>
    </row>
    <row r="455" spans="2:53" ht="17.399999999999999" customHeight="1">
      <c r="B455" s="159"/>
      <c r="C455" s="159"/>
      <c r="D455" s="159"/>
      <c r="E455" s="159"/>
      <c r="F455" s="159"/>
      <c r="G455" s="159"/>
      <c r="H455" s="159"/>
      <c r="I455" s="159"/>
      <c r="J455" s="224"/>
      <c r="K455" s="159"/>
      <c r="L455" s="159"/>
      <c r="M455" s="159"/>
      <c r="O455" s="159"/>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c r="AR455" s="159"/>
      <c r="AS455" s="159"/>
      <c r="AT455" s="159"/>
      <c r="AU455" s="159"/>
      <c r="AV455" s="159"/>
      <c r="AW455" s="159"/>
      <c r="AX455" s="159"/>
      <c r="AY455" s="159"/>
      <c r="AZ455" s="159"/>
      <c r="BA455" s="159"/>
    </row>
    <row r="456" spans="2:53" ht="17.399999999999999" customHeight="1">
      <c r="B456" s="159"/>
      <c r="C456" s="159"/>
      <c r="D456" s="159"/>
      <c r="E456" s="159"/>
      <c r="F456" s="159"/>
      <c r="G456" s="159"/>
      <c r="H456" s="159"/>
      <c r="I456" s="159"/>
      <c r="J456" s="224"/>
      <c r="K456" s="159"/>
      <c r="L456" s="159"/>
      <c r="M456" s="159"/>
      <c r="O456" s="159"/>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c r="AT456" s="159"/>
      <c r="AU456" s="159"/>
      <c r="AV456" s="159"/>
      <c r="AW456" s="159"/>
      <c r="AX456" s="159"/>
      <c r="AY456" s="159"/>
      <c r="AZ456" s="159"/>
      <c r="BA456" s="159"/>
    </row>
    <row r="457" spans="2:53" ht="17.399999999999999" customHeight="1">
      <c r="B457" s="159"/>
      <c r="C457" s="159"/>
      <c r="D457" s="159"/>
      <c r="E457" s="159"/>
      <c r="F457" s="159"/>
      <c r="G457" s="159"/>
      <c r="H457" s="159"/>
      <c r="I457" s="159"/>
      <c r="J457" s="224"/>
      <c r="K457" s="159"/>
      <c r="L457" s="159"/>
      <c r="M457" s="159"/>
      <c r="O457" s="159"/>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c r="AT457" s="159"/>
      <c r="AU457" s="159"/>
      <c r="AV457" s="159"/>
      <c r="AW457" s="159"/>
      <c r="AX457" s="159"/>
      <c r="AY457" s="159"/>
      <c r="AZ457" s="159"/>
      <c r="BA457" s="159"/>
    </row>
    <row r="458" spans="2:53" ht="17.399999999999999" customHeight="1">
      <c r="B458" s="159"/>
      <c r="C458" s="159"/>
      <c r="D458" s="159"/>
      <c r="E458" s="159"/>
      <c r="F458" s="159"/>
      <c r="G458" s="159"/>
      <c r="H458" s="159"/>
      <c r="I458" s="159"/>
      <c r="J458" s="224"/>
      <c r="K458" s="159"/>
      <c r="L458" s="159"/>
      <c r="M458" s="159"/>
      <c r="O458" s="159"/>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c r="AT458" s="159"/>
      <c r="AU458" s="159"/>
      <c r="AV458" s="159"/>
      <c r="AW458" s="159"/>
      <c r="AX458" s="159"/>
      <c r="AY458" s="159"/>
      <c r="AZ458" s="159"/>
      <c r="BA458" s="159"/>
    </row>
    <row r="459" spans="2:53" ht="17.399999999999999" customHeight="1">
      <c r="B459" s="159"/>
      <c r="C459" s="159"/>
      <c r="D459" s="159"/>
      <c r="E459" s="159"/>
      <c r="F459" s="159"/>
      <c r="G459" s="159"/>
      <c r="H459" s="159"/>
      <c r="I459" s="159"/>
      <c r="J459" s="224"/>
      <c r="K459" s="159"/>
      <c r="L459" s="159"/>
      <c r="M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c r="AT459" s="159"/>
      <c r="AU459" s="159"/>
      <c r="AV459" s="159"/>
      <c r="AW459" s="159"/>
      <c r="AX459" s="159"/>
      <c r="AY459" s="159"/>
      <c r="AZ459" s="159"/>
      <c r="BA459" s="159"/>
    </row>
    <row r="460" spans="2:53" ht="17.399999999999999" customHeight="1">
      <c r="B460" s="159"/>
      <c r="C460" s="159"/>
      <c r="D460" s="159"/>
      <c r="E460" s="159"/>
      <c r="F460" s="159"/>
      <c r="G460" s="159"/>
      <c r="H460" s="159"/>
      <c r="I460" s="159"/>
      <c r="J460" s="224"/>
      <c r="K460" s="159"/>
      <c r="L460" s="159"/>
      <c r="M460" s="159"/>
      <c r="O460" s="159"/>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c r="AT460" s="159"/>
      <c r="AU460" s="159"/>
      <c r="AV460" s="159"/>
      <c r="AW460" s="159"/>
      <c r="AX460" s="159"/>
      <c r="AY460" s="159"/>
      <c r="AZ460" s="159"/>
      <c r="BA460" s="159"/>
    </row>
    <row r="461" spans="2:53" ht="17.399999999999999" customHeight="1">
      <c r="B461" s="159"/>
      <c r="C461" s="159"/>
      <c r="D461" s="159"/>
      <c r="E461" s="159"/>
      <c r="F461" s="159"/>
      <c r="G461" s="159"/>
      <c r="H461" s="159"/>
      <c r="I461" s="159"/>
      <c r="J461" s="224"/>
      <c r="K461" s="159"/>
      <c r="L461" s="159"/>
      <c r="M461" s="159"/>
      <c r="O461" s="159"/>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c r="AT461" s="159"/>
      <c r="AU461" s="159"/>
      <c r="AV461" s="159"/>
      <c r="AW461" s="159"/>
      <c r="AX461" s="159"/>
      <c r="AY461" s="159"/>
      <c r="AZ461" s="159"/>
      <c r="BA461" s="159"/>
    </row>
    <row r="462" spans="2:53" ht="17.399999999999999" customHeight="1">
      <c r="B462" s="159"/>
      <c r="C462" s="159"/>
      <c r="D462" s="159"/>
      <c r="E462" s="159"/>
      <c r="F462" s="159"/>
      <c r="G462" s="159"/>
      <c r="H462" s="159"/>
      <c r="I462" s="159"/>
      <c r="J462" s="224"/>
      <c r="K462" s="159"/>
      <c r="L462" s="159"/>
      <c r="M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c r="AT462" s="159"/>
      <c r="AU462" s="159"/>
      <c r="AV462" s="159"/>
      <c r="AW462" s="159"/>
      <c r="AX462" s="159"/>
      <c r="AY462" s="159"/>
      <c r="AZ462" s="159"/>
      <c r="BA462" s="159"/>
    </row>
    <row r="463" spans="2:53" ht="17.399999999999999" customHeight="1">
      <c r="B463" s="159"/>
      <c r="C463" s="159"/>
      <c r="D463" s="159"/>
      <c r="E463" s="159"/>
      <c r="F463" s="159"/>
      <c r="G463" s="159"/>
      <c r="H463" s="159"/>
      <c r="I463" s="159"/>
      <c r="J463" s="224"/>
      <c r="K463" s="159"/>
      <c r="L463" s="159"/>
      <c r="M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c r="AT463" s="159"/>
      <c r="AU463" s="159"/>
      <c r="AV463" s="159"/>
      <c r="AW463" s="159"/>
      <c r="AX463" s="159"/>
      <c r="AY463" s="159"/>
      <c r="AZ463" s="159"/>
      <c r="BA463" s="159"/>
    </row>
    <row r="464" spans="2:53" ht="17.399999999999999" customHeight="1">
      <c r="B464" s="159"/>
      <c r="C464" s="159"/>
      <c r="D464" s="159"/>
      <c r="E464" s="159"/>
      <c r="F464" s="159"/>
      <c r="G464" s="159"/>
      <c r="H464" s="159"/>
      <c r="I464" s="159"/>
      <c r="J464" s="224"/>
      <c r="K464" s="159"/>
      <c r="L464" s="159"/>
      <c r="M464" s="159"/>
      <c r="O464" s="159"/>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c r="AT464" s="159"/>
      <c r="AU464" s="159"/>
      <c r="AV464" s="159"/>
      <c r="AW464" s="159"/>
      <c r="AX464" s="159"/>
      <c r="AY464" s="159"/>
      <c r="AZ464" s="159"/>
      <c r="BA464" s="159"/>
    </row>
    <row r="465" spans="2:53" ht="17.399999999999999" customHeight="1">
      <c r="B465" s="159"/>
      <c r="C465" s="159"/>
      <c r="D465" s="159"/>
      <c r="E465" s="159"/>
      <c r="F465" s="159"/>
      <c r="G465" s="159"/>
      <c r="H465" s="159"/>
      <c r="I465" s="159"/>
      <c r="J465" s="224"/>
      <c r="K465" s="159"/>
      <c r="L465" s="159"/>
      <c r="M465" s="159"/>
      <c r="O465" s="159"/>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c r="AT465" s="159"/>
      <c r="AU465" s="159"/>
      <c r="AV465" s="159"/>
      <c r="AW465" s="159"/>
      <c r="AX465" s="159"/>
      <c r="AY465" s="159"/>
      <c r="AZ465" s="159"/>
      <c r="BA465" s="159"/>
    </row>
    <row r="466" spans="2:53" ht="17.399999999999999" customHeight="1">
      <c r="B466" s="159"/>
      <c r="C466" s="159"/>
      <c r="D466" s="159"/>
      <c r="E466" s="159"/>
      <c r="F466" s="159"/>
      <c r="G466" s="159"/>
      <c r="H466" s="159"/>
      <c r="I466" s="159"/>
      <c r="J466" s="224"/>
      <c r="K466" s="159"/>
      <c r="L466" s="159"/>
      <c r="M466" s="159"/>
      <c r="O466" s="159"/>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c r="AT466" s="159"/>
      <c r="AU466" s="159"/>
      <c r="AV466" s="159"/>
      <c r="AW466" s="159"/>
      <c r="AX466" s="159"/>
      <c r="AY466" s="159"/>
      <c r="AZ466" s="159"/>
      <c r="BA466" s="159"/>
    </row>
    <row r="467" spans="2:53" ht="17.399999999999999" customHeight="1">
      <c r="B467" s="159"/>
      <c r="C467" s="159"/>
      <c r="D467" s="159"/>
      <c r="E467" s="159"/>
      <c r="F467" s="159"/>
      <c r="G467" s="159"/>
      <c r="H467" s="159"/>
      <c r="I467" s="159"/>
      <c r="J467" s="224"/>
      <c r="K467" s="159"/>
      <c r="L467" s="159"/>
      <c r="M467" s="159"/>
      <c r="O467" s="159"/>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c r="AT467" s="159"/>
      <c r="AU467" s="159"/>
      <c r="AV467" s="159"/>
      <c r="AW467" s="159"/>
      <c r="AX467" s="159"/>
      <c r="AY467" s="159"/>
      <c r="AZ467" s="159"/>
      <c r="BA467" s="159"/>
    </row>
    <row r="468" spans="2:53" ht="17.399999999999999" customHeight="1">
      <c r="B468" s="159"/>
      <c r="C468" s="159"/>
      <c r="D468" s="159"/>
      <c r="E468" s="159"/>
      <c r="F468" s="159"/>
      <c r="G468" s="159"/>
      <c r="H468" s="159"/>
      <c r="I468" s="159"/>
      <c r="J468" s="224"/>
      <c r="K468" s="159"/>
      <c r="L468" s="159"/>
      <c r="M468" s="159"/>
      <c r="O468" s="159"/>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c r="AT468" s="159"/>
      <c r="AU468" s="159"/>
      <c r="AV468" s="159"/>
      <c r="AW468" s="159"/>
      <c r="AX468" s="159"/>
      <c r="AY468" s="159"/>
      <c r="AZ468" s="159"/>
      <c r="BA468" s="159"/>
    </row>
    <row r="469" spans="2:53" ht="17.399999999999999" customHeight="1">
      <c r="B469" s="159"/>
      <c r="C469" s="159"/>
      <c r="D469" s="159"/>
      <c r="E469" s="159"/>
      <c r="F469" s="159"/>
      <c r="G469" s="159"/>
      <c r="H469" s="159"/>
      <c r="I469" s="159"/>
      <c r="J469" s="224"/>
      <c r="K469" s="159"/>
      <c r="L469" s="159"/>
      <c r="M469" s="159"/>
      <c r="O469" s="159"/>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c r="AT469" s="159"/>
      <c r="AU469" s="159"/>
      <c r="AV469" s="159"/>
      <c r="AW469" s="159"/>
      <c r="AX469" s="159"/>
      <c r="AY469" s="159"/>
      <c r="AZ469" s="159"/>
      <c r="BA469" s="159"/>
    </row>
    <row r="470" spans="2:53" ht="17.399999999999999" customHeight="1">
      <c r="B470" s="159"/>
      <c r="C470" s="159"/>
      <c r="D470" s="159"/>
      <c r="E470" s="159"/>
      <c r="F470" s="159"/>
      <c r="G470" s="159"/>
      <c r="H470" s="159"/>
      <c r="I470" s="159"/>
      <c r="J470" s="224"/>
      <c r="K470" s="159"/>
      <c r="L470" s="159"/>
      <c r="M470" s="159"/>
      <c r="O470" s="159"/>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c r="AT470" s="159"/>
      <c r="AU470" s="159"/>
      <c r="AV470" s="159"/>
      <c r="AW470" s="159"/>
      <c r="AX470" s="159"/>
      <c r="AY470" s="159"/>
      <c r="AZ470" s="159"/>
      <c r="BA470" s="159"/>
    </row>
    <row r="471" spans="2:53" ht="17.399999999999999" customHeight="1">
      <c r="B471" s="159"/>
      <c r="C471" s="159"/>
      <c r="D471" s="159"/>
      <c r="E471" s="159"/>
      <c r="F471" s="159"/>
      <c r="G471" s="159"/>
      <c r="H471" s="159"/>
      <c r="I471" s="159"/>
      <c r="J471" s="224"/>
      <c r="K471" s="159"/>
      <c r="L471" s="159"/>
      <c r="M471" s="159"/>
      <c r="O471" s="159"/>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c r="AT471" s="159"/>
      <c r="AU471" s="159"/>
      <c r="AV471" s="159"/>
      <c r="AW471" s="159"/>
      <c r="AX471" s="159"/>
      <c r="AY471" s="159"/>
      <c r="AZ471" s="159"/>
      <c r="BA471" s="159"/>
    </row>
    <row r="472" spans="2:53" ht="17.399999999999999" customHeight="1">
      <c r="B472" s="159"/>
      <c r="C472" s="159"/>
      <c r="D472" s="159"/>
      <c r="E472" s="159"/>
      <c r="F472" s="159"/>
      <c r="G472" s="159"/>
      <c r="H472" s="159"/>
      <c r="I472" s="159"/>
      <c r="J472" s="224"/>
      <c r="K472" s="159"/>
      <c r="L472" s="159"/>
      <c r="M472" s="159"/>
      <c r="O472" s="159"/>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c r="AT472" s="159"/>
      <c r="AU472" s="159"/>
      <c r="AV472" s="159"/>
      <c r="AW472" s="159"/>
      <c r="AX472" s="159"/>
      <c r="AY472" s="159"/>
      <c r="AZ472" s="159"/>
      <c r="BA472" s="159"/>
    </row>
    <row r="473" spans="2:53" ht="17.399999999999999" customHeight="1">
      <c r="B473" s="159"/>
      <c r="C473" s="159"/>
      <c r="D473" s="159"/>
      <c r="E473" s="159"/>
      <c r="F473" s="159"/>
      <c r="G473" s="159"/>
      <c r="H473" s="159"/>
      <c r="I473" s="159"/>
      <c r="J473" s="224"/>
      <c r="K473" s="159"/>
      <c r="L473" s="159"/>
      <c r="M473" s="159"/>
      <c r="O473" s="159"/>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c r="AT473" s="159"/>
      <c r="AU473" s="159"/>
      <c r="AV473" s="159"/>
      <c r="AW473" s="159"/>
      <c r="AX473" s="159"/>
      <c r="AY473" s="159"/>
      <c r="AZ473" s="159"/>
      <c r="BA473" s="159"/>
    </row>
    <row r="474" spans="2:53" ht="17.399999999999999" customHeight="1">
      <c r="B474" s="159"/>
      <c r="C474" s="159"/>
      <c r="D474" s="159"/>
      <c r="E474" s="159"/>
      <c r="F474" s="159"/>
      <c r="G474" s="159"/>
      <c r="H474" s="159"/>
      <c r="I474" s="159"/>
      <c r="J474" s="224"/>
      <c r="K474" s="159"/>
      <c r="L474" s="159"/>
      <c r="M474" s="159"/>
      <c r="O474" s="159"/>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c r="AT474" s="159"/>
      <c r="AU474" s="159"/>
      <c r="AV474" s="159"/>
      <c r="AW474" s="159"/>
      <c r="AX474" s="159"/>
      <c r="AY474" s="159"/>
      <c r="AZ474" s="159"/>
      <c r="BA474" s="159"/>
    </row>
    <row r="475" spans="2:53" ht="17.399999999999999" customHeight="1">
      <c r="B475" s="159"/>
      <c r="C475" s="159"/>
      <c r="D475" s="159"/>
      <c r="E475" s="159"/>
      <c r="F475" s="159"/>
      <c r="G475" s="159"/>
      <c r="H475" s="159"/>
      <c r="I475" s="159"/>
      <c r="J475" s="224"/>
      <c r="K475" s="159"/>
      <c r="L475" s="159"/>
      <c r="M475" s="159"/>
      <c r="O475" s="159"/>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c r="AT475" s="159"/>
      <c r="AU475" s="159"/>
      <c r="AV475" s="159"/>
      <c r="AW475" s="159"/>
      <c r="AX475" s="159"/>
      <c r="AY475" s="159"/>
      <c r="AZ475" s="159"/>
      <c r="BA475" s="159"/>
    </row>
    <row r="476" spans="2:53" ht="17.399999999999999" customHeight="1">
      <c r="B476" s="159"/>
      <c r="C476" s="159"/>
      <c r="D476" s="159"/>
      <c r="E476" s="159"/>
      <c r="F476" s="159"/>
      <c r="G476" s="159"/>
      <c r="H476" s="159"/>
      <c r="I476" s="159"/>
      <c r="J476" s="224"/>
      <c r="K476" s="159"/>
      <c r="L476" s="159"/>
      <c r="M476" s="159"/>
      <c r="O476" s="159"/>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c r="AT476" s="159"/>
      <c r="AU476" s="159"/>
      <c r="AV476" s="159"/>
      <c r="AW476" s="159"/>
      <c r="AX476" s="159"/>
      <c r="AY476" s="159"/>
      <c r="AZ476" s="159"/>
      <c r="BA476" s="159"/>
    </row>
    <row r="477" spans="2:53" ht="17.399999999999999" customHeight="1">
      <c r="B477" s="159"/>
      <c r="C477" s="159"/>
      <c r="D477" s="159"/>
      <c r="E477" s="159"/>
      <c r="F477" s="159"/>
      <c r="G477" s="159"/>
      <c r="H477" s="159"/>
      <c r="I477" s="159"/>
      <c r="J477" s="224"/>
      <c r="K477" s="159"/>
      <c r="L477" s="159"/>
      <c r="M477" s="159"/>
      <c r="O477" s="159"/>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c r="AT477" s="159"/>
      <c r="AU477" s="159"/>
      <c r="AV477" s="159"/>
      <c r="AW477" s="159"/>
      <c r="AX477" s="159"/>
      <c r="AY477" s="159"/>
      <c r="AZ477" s="159"/>
      <c r="BA477" s="159"/>
    </row>
    <row r="478" spans="2:53" ht="17.399999999999999" customHeight="1">
      <c r="B478" s="159"/>
      <c r="C478" s="159"/>
      <c r="D478" s="159"/>
      <c r="E478" s="159"/>
      <c r="F478" s="159"/>
      <c r="G478" s="159"/>
      <c r="H478" s="159"/>
      <c r="I478" s="159"/>
      <c r="J478" s="224"/>
      <c r="K478" s="159"/>
      <c r="L478" s="159"/>
      <c r="M478" s="159"/>
      <c r="O478" s="159"/>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c r="AT478" s="159"/>
      <c r="AU478" s="159"/>
      <c r="AV478" s="159"/>
      <c r="AW478" s="159"/>
      <c r="AX478" s="159"/>
      <c r="AY478" s="159"/>
      <c r="AZ478" s="159"/>
      <c r="BA478" s="159"/>
    </row>
    <row r="479" spans="2:53" ht="17.399999999999999" customHeight="1">
      <c r="B479" s="159"/>
      <c r="C479" s="159"/>
      <c r="D479" s="159"/>
      <c r="E479" s="159"/>
      <c r="F479" s="159"/>
      <c r="G479" s="159"/>
      <c r="H479" s="159"/>
      <c r="I479" s="159"/>
      <c r="J479" s="224"/>
      <c r="K479" s="159"/>
      <c r="L479" s="159"/>
      <c r="M479" s="159"/>
      <c r="O479" s="159"/>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c r="AT479" s="159"/>
      <c r="AU479" s="159"/>
      <c r="AV479" s="159"/>
      <c r="AW479" s="159"/>
      <c r="AX479" s="159"/>
      <c r="AY479" s="159"/>
      <c r="AZ479" s="159"/>
      <c r="BA479" s="159"/>
    </row>
    <row r="480" spans="2:53" ht="17.399999999999999" customHeight="1">
      <c r="B480" s="159"/>
      <c r="C480" s="159"/>
      <c r="D480" s="159"/>
      <c r="E480" s="159"/>
      <c r="F480" s="159"/>
      <c r="G480" s="159"/>
      <c r="H480" s="159"/>
      <c r="I480" s="159"/>
      <c r="J480" s="224"/>
      <c r="K480" s="159"/>
      <c r="L480" s="159"/>
      <c r="M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c r="AT480" s="159"/>
      <c r="AU480" s="159"/>
      <c r="AV480" s="159"/>
      <c r="AW480" s="159"/>
      <c r="AX480" s="159"/>
      <c r="AY480" s="159"/>
      <c r="AZ480" s="159"/>
      <c r="BA480" s="159"/>
    </row>
    <row r="481" spans="2:53" ht="17.399999999999999" customHeight="1">
      <c r="B481" s="159"/>
      <c r="C481" s="159"/>
      <c r="D481" s="159"/>
      <c r="E481" s="159"/>
      <c r="F481" s="159"/>
      <c r="G481" s="159"/>
      <c r="H481" s="159"/>
      <c r="I481" s="159"/>
      <c r="J481" s="224"/>
      <c r="K481" s="159"/>
      <c r="L481" s="159"/>
      <c r="M481" s="159"/>
      <c r="O481" s="159"/>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c r="AR481" s="159"/>
      <c r="AS481" s="159"/>
      <c r="AT481" s="159"/>
      <c r="AU481" s="159"/>
      <c r="AV481" s="159"/>
      <c r="AW481" s="159"/>
      <c r="AX481" s="159"/>
      <c r="AY481" s="159"/>
      <c r="AZ481" s="159"/>
      <c r="BA481" s="159"/>
    </row>
    <row r="482" spans="2:53" ht="17.399999999999999" customHeight="1">
      <c r="B482" s="159"/>
      <c r="C482" s="159"/>
      <c r="D482" s="159"/>
      <c r="E482" s="159"/>
      <c r="F482" s="159"/>
      <c r="G482" s="159"/>
      <c r="H482" s="159"/>
      <c r="I482" s="159"/>
      <c r="J482" s="224"/>
      <c r="K482" s="159"/>
      <c r="L482" s="159"/>
      <c r="M482" s="159"/>
      <c r="O482" s="159"/>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c r="AT482" s="159"/>
      <c r="AU482" s="159"/>
      <c r="AV482" s="159"/>
      <c r="AW482" s="159"/>
      <c r="AX482" s="159"/>
      <c r="AY482" s="159"/>
      <c r="AZ482" s="159"/>
      <c r="BA482" s="159"/>
    </row>
    <row r="483" spans="2:53" ht="17.399999999999999" customHeight="1">
      <c r="B483" s="159"/>
      <c r="C483" s="159"/>
      <c r="D483" s="159"/>
      <c r="E483" s="159"/>
      <c r="F483" s="159"/>
      <c r="G483" s="159"/>
      <c r="H483" s="159"/>
      <c r="I483" s="159"/>
      <c r="J483" s="224"/>
      <c r="K483" s="159"/>
      <c r="L483" s="159"/>
      <c r="M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c r="AT483" s="159"/>
      <c r="AU483" s="159"/>
      <c r="AV483" s="159"/>
      <c r="AW483" s="159"/>
      <c r="AX483" s="159"/>
      <c r="AY483" s="159"/>
      <c r="AZ483" s="159"/>
      <c r="BA483" s="159"/>
    </row>
    <row r="484" spans="2:53" ht="17.399999999999999" customHeight="1">
      <c r="B484" s="159"/>
      <c r="C484" s="159"/>
      <c r="D484" s="159"/>
      <c r="E484" s="159"/>
      <c r="F484" s="159"/>
      <c r="G484" s="159"/>
      <c r="H484" s="159"/>
      <c r="I484" s="159"/>
      <c r="J484" s="224"/>
      <c r="K484" s="159"/>
      <c r="L484" s="159"/>
      <c r="M484" s="159"/>
      <c r="O484" s="159"/>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c r="AT484" s="159"/>
      <c r="AU484" s="159"/>
      <c r="AV484" s="159"/>
      <c r="AW484" s="159"/>
      <c r="AX484" s="159"/>
      <c r="AY484" s="159"/>
      <c r="AZ484" s="159"/>
      <c r="BA484" s="159"/>
    </row>
    <row r="485" spans="2:53" ht="17.399999999999999" customHeight="1">
      <c r="B485" s="159"/>
      <c r="C485" s="159"/>
      <c r="D485" s="159"/>
      <c r="E485" s="159"/>
      <c r="F485" s="159"/>
      <c r="G485" s="159"/>
      <c r="H485" s="159"/>
      <c r="I485" s="159"/>
      <c r="J485" s="224"/>
      <c r="K485" s="159"/>
      <c r="L485" s="159"/>
      <c r="M485" s="159"/>
      <c r="O485" s="159"/>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c r="AT485" s="159"/>
      <c r="AU485" s="159"/>
      <c r="AV485" s="159"/>
      <c r="AW485" s="159"/>
      <c r="AX485" s="159"/>
      <c r="AY485" s="159"/>
      <c r="AZ485" s="159"/>
      <c r="BA485" s="159"/>
    </row>
    <row r="486" spans="2:53" ht="17.399999999999999" customHeight="1">
      <c r="B486" s="159"/>
      <c r="C486" s="159"/>
      <c r="D486" s="159"/>
      <c r="E486" s="159"/>
      <c r="F486" s="159"/>
      <c r="G486" s="159"/>
      <c r="H486" s="159"/>
      <c r="I486" s="159"/>
      <c r="J486" s="224"/>
      <c r="K486" s="159"/>
      <c r="L486" s="159"/>
      <c r="M486" s="159"/>
      <c r="O486" s="159"/>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c r="AT486" s="159"/>
      <c r="AU486" s="159"/>
      <c r="AV486" s="159"/>
      <c r="AW486" s="159"/>
      <c r="AX486" s="159"/>
      <c r="AY486" s="159"/>
      <c r="AZ486" s="159"/>
      <c r="BA486" s="159"/>
    </row>
    <row r="487" spans="2:53" ht="17.399999999999999" customHeight="1">
      <c r="B487" s="159"/>
      <c r="C487" s="159"/>
      <c r="D487" s="159"/>
      <c r="E487" s="159"/>
      <c r="F487" s="159"/>
      <c r="G487" s="159"/>
      <c r="H487" s="159"/>
      <c r="I487" s="159"/>
      <c r="J487" s="224"/>
      <c r="K487" s="159"/>
      <c r="L487" s="159"/>
      <c r="M487" s="159"/>
      <c r="O487" s="159"/>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c r="AT487" s="159"/>
      <c r="AU487" s="159"/>
      <c r="AV487" s="159"/>
      <c r="AW487" s="159"/>
      <c r="AX487" s="159"/>
      <c r="AY487" s="159"/>
      <c r="AZ487" s="159"/>
      <c r="BA487" s="159"/>
    </row>
    <row r="488" spans="2:53" ht="17.399999999999999" customHeight="1">
      <c r="B488" s="159"/>
      <c r="C488" s="159"/>
      <c r="D488" s="159"/>
      <c r="E488" s="159"/>
      <c r="F488" s="159"/>
      <c r="G488" s="159"/>
      <c r="H488" s="159"/>
      <c r="I488" s="159"/>
      <c r="J488" s="224"/>
      <c r="K488" s="159"/>
      <c r="L488" s="159"/>
      <c r="M488" s="159"/>
      <c r="O488" s="159"/>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c r="AT488" s="159"/>
      <c r="AU488" s="159"/>
      <c r="AV488" s="159"/>
      <c r="AW488" s="159"/>
      <c r="AX488" s="159"/>
      <c r="AY488" s="159"/>
      <c r="AZ488" s="159"/>
      <c r="BA488" s="159"/>
    </row>
    <row r="489" spans="2:53" ht="17.399999999999999" customHeight="1">
      <c r="B489" s="159"/>
      <c r="C489" s="159"/>
      <c r="D489" s="159"/>
      <c r="E489" s="159"/>
      <c r="F489" s="159"/>
      <c r="G489" s="159"/>
      <c r="H489" s="159"/>
      <c r="I489" s="159"/>
      <c r="J489" s="224"/>
      <c r="K489" s="159"/>
      <c r="L489" s="159"/>
      <c r="M489" s="159"/>
      <c r="O489" s="159"/>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c r="AT489" s="159"/>
      <c r="AU489" s="159"/>
      <c r="AV489" s="159"/>
      <c r="AW489" s="159"/>
      <c r="AX489" s="159"/>
      <c r="AY489" s="159"/>
      <c r="AZ489" s="159"/>
      <c r="BA489" s="159"/>
    </row>
    <row r="490" spans="2:53" ht="17.399999999999999" customHeight="1">
      <c r="B490" s="159"/>
      <c r="C490" s="159"/>
      <c r="D490" s="159"/>
      <c r="E490" s="159"/>
      <c r="F490" s="159"/>
      <c r="G490" s="159"/>
      <c r="H490" s="159"/>
      <c r="I490" s="159"/>
      <c r="J490" s="224"/>
      <c r="K490" s="159"/>
      <c r="L490" s="159"/>
      <c r="M490" s="159"/>
      <c r="O490" s="159"/>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c r="AT490" s="159"/>
      <c r="AU490" s="159"/>
      <c r="AV490" s="159"/>
      <c r="AW490" s="159"/>
      <c r="AX490" s="159"/>
      <c r="AY490" s="159"/>
      <c r="AZ490" s="159"/>
      <c r="BA490" s="159"/>
    </row>
    <row r="491" spans="2:53" ht="17.399999999999999" customHeight="1">
      <c r="B491" s="159"/>
      <c r="C491" s="159"/>
      <c r="D491" s="159"/>
      <c r="E491" s="159"/>
      <c r="F491" s="159"/>
      <c r="G491" s="159"/>
      <c r="H491" s="159"/>
      <c r="I491" s="159"/>
      <c r="J491" s="224"/>
      <c r="K491" s="159"/>
      <c r="L491" s="159"/>
      <c r="M491" s="159"/>
      <c r="O491" s="159"/>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c r="AT491" s="159"/>
      <c r="AU491" s="159"/>
      <c r="AV491" s="159"/>
      <c r="AW491" s="159"/>
      <c r="AX491" s="159"/>
      <c r="AY491" s="159"/>
      <c r="AZ491" s="159"/>
      <c r="BA491" s="159"/>
    </row>
    <row r="492" spans="2:53" ht="17.399999999999999" customHeight="1">
      <c r="B492" s="159"/>
      <c r="C492" s="159"/>
      <c r="D492" s="159"/>
      <c r="E492" s="159"/>
      <c r="F492" s="159"/>
      <c r="G492" s="159"/>
      <c r="H492" s="159"/>
      <c r="I492" s="159"/>
      <c r="J492" s="224"/>
      <c r="K492" s="159"/>
      <c r="L492" s="159"/>
      <c r="M492" s="159"/>
      <c r="O492" s="159"/>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c r="AT492" s="159"/>
      <c r="AU492" s="159"/>
      <c r="AV492" s="159"/>
      <c r="AW492" s="159"/>
      <c r="AX492" s="159"/>
      <c r="AY492" s="159"/>
      <c r="AZ492" s="159"/>
      <c r="BA492" s="159"/>
    </row>
    <row r="493" spans="2:53" ht="17.399999999999999" customHeight="1">
      <c r="B493" s="159"/>
      <c r="C493" s="159"/>
      <c r="D493" s="159"/>
      <c r="E493" s="159"/>
      <c r="F493" s="159"/>
      <c r="G493" s="159"/>
      <c r="H493" s="159"/>
      <c r="I493" s="159"/>
      <c r="J493" s="224"/>
      <c r="K493" s="159"/>
      <c r="L493" s="159"/>
      <c r="M493" s="159"/>
      <c r="O493" s="159"/>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c r="AT493" s="159"/>
      <c r="AU493" s="159"/>
      <c r="AV493" s="159"/>
      <c r="AW493" s="159"/>
      <c r="AX493" s="159"/>
      <c r="AY493" s="159"/>
      <c r="AZ493" s="159"/>
      <c r="BA493" s="159"/>
    </row>
    <row r="494" spans="2:53" ht="17.399999999999999" customHeight="1">
      <c r="B494" s="159"/>
      <c r="C494" s="159"/>
      <c r="D494" s="159"/>
      <c r="E494" s="159"/>
      <c r="F494" s="159"/>
      <c r="G494" s="159"/>
      <c r="H494" s="159"/>
      <c r="I494" s="159"/>
      <c r="J494" s="224"/>
      <c r="K494" s="159"/>
      <c r="L494" s="159"/>
      <c r="M494" s="159"/>
      <c r="O494" s="159"/>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c r="AR494" s="159"/>
      <c r="AS494" s="159"/>
      <c r="AT494" s="159"/>
      <c r="AU494" s="159"/>
      <c r="AV494" s="159"/>
      <c r="AW494" s="159"/>
      <c r="AX494" s="159"/>
      <c r="AY494" s="159"/>
      <c r="AZ494" s="159"/>
      <c r="BA494" s="159"/>
    </row>
    <row r="495" spans="2:53" ht="17.399999999999999" customHeight="1">
      <c r="B495" s="159"/>
      <c r="C495" s="159"/>
      <c r="D495" s="159"/>
      <c r="E495" s="159"/>
      <c r="F495" s="159"/>
      <c r="G495" s="159"/>
      <c r="H495" s="159"/>
      <c r="I495" s="159"/>
      <c r="J495" s="224"/>
      <c r="K495" s="159"/>
      <c r="L495" s="159"/>
      <c r="M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c r="AT495" s="159"/>
      <c r="AU495" s="159"/>
      <c r="AV495" s="159"/>
      <c r="AW495" s="159"/>
      <c r="AX495" s="159"/>
      <c r="AY495" s="159"/>
      <c r="AZ495" s="159"/>
      <c r="BA495" s="159"/>
    </row>
    <row r="496" spans="2:53" ht="17.399999999999999" customHeight="1">
      <c r="B496" s="159"/>
      <c r="C496" s="159"/>
      <c r="D496" s="159"/>
      <c r="E496" s="159"/>
      <c r="F496" s="159"/>
      <c r="G496" s="159"/>
      <c r="H496" s="159"/>
      <c r="I496" s="159"/>
      <c r="J496" s="224"/>
      <c r="K496" s="159"/>
      <c r="L496" s="159"/>
      <c r="M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c r="AT496" s="159"/>
      <c r="AU496" s="159"/>
      <c r="AV496" s="159"/>
      <c r="AW496" s="159"/>
      <c r="AX496" s="159"/>
      <c r="AY496" s="159"/>
      <c r="AZ496" s="159"/>
      <c r="BA496" s="159"/>
    </row>
    <row r="497" spans="2:53" ht="17.399999999999999" customHeight="1">
      <c r="B497" s="159"/>
      <c r="C497" s="159"/>
      <c r="D497" s="159"/>
      <c r="E497" s="159"/>
      <c r="F497" s="159"/>
      <c r="G497" s="159"/>
      <c r="H497" s="159"/>
      <c r="I497" s="159"/>
      <c r="J497" s="224"/>
      <c r="K497" s="159"/>
      <c r="L497" s="159"/>
      <c r="M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c r="AT497" s="159"/>
      <c r="AU497" s="159"/>
      <c r="AV497" s="159"/>
      <c r="AW497" s="159"/>
      <c r="AX497" s="159"/>
      <c r="AY497" s="159"/>
      <c r="AZ497" s="159"/>
      <c r="BA497" s="159"/>
    </row>
    <row r="498" spans="2:53" ht="17.399999999999999" customHeight="1">
      <c r="B498" s="159"/>
      <c r="C498" s="159"/>
      <c r="D498" s="159"/>
      <c r="E498" s="159"/>
      <c r="F498" s="159"/>
      <c r="G498" s="159"/>
      <c r="H498" s="159"/>
      <c r="I498" s="159"/>
      <c r="J498" s="224"/>
      <c r="K498" s="159"/>
      <c r="L498" s="159"/>
      <c r="M498" s="159"/>
      <c r="O498" s="159"/>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c r="AT498" s="159"/>
      <c r="AU498" s="159"/>
      <c r="AV498" s="159"/>
      <c r="AW498" s="159"/>
      <c r="AX498" s="159"/>
      <c r="AY498" s="159"/>
      <c r="AZ498" s="159"/>
      <c r="BA498" s="159"/>
    </row>
    <row r="499" spans="2:53" ht="17.399999999999999" customHeight="1">
      <c r="B499" s="159"/>
      <c r="C499" s="159"/>
      <c r="D499" s="159"/>
      <c r="E499" s="159"/>
      <c r="F499" s="159"/>
      <c r="G499" s="159"/>
      <c r="H499" s="159"/>
      <c r="I499" s="159"/>
      <c r="J499" s="224"/>
      <c r="K499" s="159"/>
      <c r="L499" s="159"/>
      <c r="M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c r="AT499" s="159"/>
      <c r="AU499" s="159"/>
      <c r="AV499" s="159"/>
      <c r="AW499" s="159"/>
      <c r="AX499" s="159"/>
      <c r="AY499" s="159"/>
      <c r="AZ499" s="159"/>
      <c r="BA499" s="159"/>
    </row>
    <row r="500" spans="2:53" ht="17.399999999999999" customHeight="1">
      <c r="B500" s="159"/>
      <c r="C500" s="159"/>
      <c r="D500" s="159"/>
      <c r="E500" s="159"/>
      <c r="F500" s="159"/>
      <c r="G500" s="159"/>
      <c r="H500" s="159"/>
      <c r="I500" s="159"/>
      <c r="J500" s="224"/>
      <c r="K500" s="159"/>
      <c r="L500" s="159"/>
      <c r="M500" s="159"/>
      <c r="O500" s="159"/>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c r="AP500" s="159"/>
      <c r="AQ500" s="159"/>
      <c r="AR500" s="159"/>
      <c r="AS500" s="159"/>
      <c r="AT500" s="159"/>
      <c r="AU500" s="159"/>
      <c r="AV500" s="159"/>
      <c r="AW500" s="159"/>
      <c r="AX500" s="159"/>
      <c r="AY500" s="159"/>
      <c r="AZ500" s="159"/>
      <c r="BA500" s="159"/>
    </row>
    <row r="501" spans="2:53" ht="17.399999999999999" customHeight="1">
      <c r="B501" s="159"/>
      <c r="C501" s="159"/>
      <c r="D501" s="159"/>
      <c r="E501" s="159"/>
      <c r="F501" s="159"/>
      <c r="G501" s="159"/>
      <c r="H501" s="159"/>
      <c r="I501" s="159"/>
      <c r="J501" s="224"/>
      <c r="K501" s="159"/>
      <c r="L501" s="159"/>
      <c r="M501" s="159"/>
      <c r="O501" s="159"/>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c r="AR501" s="159"/>
      <c r="AS501" s="159"/>
      <c r="AT501" s="159"/>
      <c r="AU501" s="159"/>
      <c r="AV501" s="159"/>
      <c r="AW501" s="159"/>
      <c r="AX501" s="159"/>
      <c r="AY501" s="159"/>
      <c r="AZ501" s="159"/>
      <c r="BA501" s="159"/>
    </row>
    <row r="502" spans="2:53" ht="17.399999999999999" customHeight="1">
      <c r="B502" s="159"/>
      <c r="C502" s="159"/>
      <c r="D502" s="159"/>
      <c r="E502" s="159"/>
      <c r="F502" s="159"/>
      <c r="G502" s="159"/>
      <c r="H502" s="159"/>
      <c r="I502" s="159"/>
      <c r="J502" s="224"/>
      <c r="K502" s="159"/>
      <c r="L502" s="159"/>
      <c r="M502" s="159"/>
      <c r="O502" s="159"/>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c r="AR502" s="159"/>
      <c r="AS502" s="159"/>
      <c r="AT502" s="159"/>
      <c r="AU502" s="159"/>
      <c r="AV502" s="159"/>
      <c r="AW502" s="159"/>
      <c r="AX502" s="159"/>
      <c r="AY502" s="159"/>
      <c r="AZ502" s="159"/>
      <c r="BA502" s="159"/>
    </row>
    <row r="503" spans="2:53" ht="17.399999999999999" customHeight="1">
      <c r="B503" s="159"/>
      <c r="C503" s="159"/>
      <c r="D503" s="159"/>
      <c r="E503" s="159"/>
      <c r="F503" s="159"/>
      <c r="G503" s="159"/>
      <c r="H503" s="159"/>
      <c r="I503" s="159"/>
      <c r="J503" s="224"/>
      <c r="K503" s="159"/>
      <c r="L503" s="159"/>
      <c r="M503" s="159"/>
      <c r="O503" s="159"/>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c r="AR503" s="159"/>
      <c r="AS503" s="159"/>
      <c r="AT503" s="159"/>
      <c r="AU503" s="159"/>
      <c r="AV503" s="159"/>
      <c r="AW503" s="159"/>
      <c r="AX503" s="159"/>
      <c r="AY503" s="159"/>
      <c r="AZ503" s="159"/>
      <c r="BA503" s="159"/>
    </row>
    <row r="504" spans="2:53" ht="17.399999999999999" customHeight="1">
      <c r="B504" s="159"/>
      <c r="C504" s="159"/>
      <c r="D504" s="159"/>
      <c r="E504" s="159"/>
      <c r="F504" s="159"/>
      <c r="G504" s="159"/>
      <c r="H504" s="159"/>
      <c r="I504" s="159"/>
      <c r="J504" s="224"/>
      <c r="K504" s="159"/>
      <c r="L504" s="159"/>
      <c r="M504" s="159"/>
      <c r="O504" s="159"/>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c r="AR504" s="159"/>
      <c r="AS504" s="159"/>
      <c r="AT504" s="159"/>
      <c r="AU504" s="159"/>
      <c r="AV504" s="159"/>
      <c r="AW504" s="159"/>
      <c r="AX504" s="159"/>
      <c r="AY504" s="159"/>
      <c r="AZ504" s="159"/>
      <c r="BA504" s="159"/>
    </row>
    <row r="505" spans="2:53" ht="17.399999999999999" customHeight="1">
      <c r="B505" s="159"/>
      <c r="C505" s="159"/>
      <c r="D505" s="159"/>
      <c r="E505" s="159"/>
      <c r="F505" s="159"/>
      <c r="G505" s="159"/>
      <c r="H505" s="159"/>
      <c r="I505" s="159"/>
      <c r="J505" s="224"/>
      <c r="K505" s="159"/>
      <c r="L505" s="159"/>
      <c r="M505" s="159"/>
      <c r="O505" s="159"/>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c r="AR505" s="159"/>
      <c r="AS505" s="159"/>
      <c r="AT505" s="159"/>
      <c r="AU505" s="159"/>
      <c r="AV505" s="159"/>
      <c r="AW505" s="159"/>
      <c r="AX505" s="159"/>
      <c r="AY505" s="159"/>
      <c r="AZ505" s="159"/>
      <c r="BA505" s="159"/>
    </row>
    <row r="506" spans="2:53" ht="17.399999999999999" customHeight="1">
      <c r="B506" s="159"/>
      <c r="C506" s="159"/>
      <c r="D506" s="159"/>
      <c r="E506" s="159"/>
      <c r="F506" s="159"/>
      <c r="G506" s="159"/>
      <c r="H506" s="159"/>
      <c r="I506" s="159"/>
      <c r="J506" s="224"/>
      <c r="K506" s="159"/>
      <c r="L506" s="159"/>
      <c r="M506" s="159"/>
      <c r="O506" s="159"/>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c r="AT506" s="159"/>
      <c r="AU506" s="159"/>
      <c r="AV506" s="159"/>
      <c r="AW506" s="159"/>
      <c r="AX506" s="159"/>
      <c r="AY506" s="159"/>
      <c r="AZ506" s="159"/>
      <c r="BA506" s="159"/>
    </row>
    <row r="507" spans="2:53" ht="17.399999999999999" customHeight="1">
      <c r="B507" s="159"/>
      <c r="C507" s="159"/>
      <c r="D507" s="159"/>
      <c r="E507" s="159"/>
      <c r="F507" s="159"/>
      <c r="G507" s="159"/>
      <c r="H507" s="159"/>
      <c r="I507" s="159"/>
      <c r="J507" s="224"/>
      <c r="K507" s="159"/>
      <c r="L507" s="159"/>
      <c r="M507" s="159"/>
      <c r="O507" s="159"/>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c r="AR507" s="159"/>
      <c r="AS507" s="159"/>
      <c r="AT507" s="159"/>
      <c r="AU507" s="159"/>
      <c r="AV507" s="159"/>
      <c r="AW507" s="159"/>
      <c r="AX507" s="159"/>
      <c r="AY507" s="159"/>
      <c r="AZ507" s="159"/>
      <c r="BA507" s="159"/>
    </row>
    <row r="508" spans="2:53" ht="17.399999999999999" customHeight="1">
      <c r="B508" s="159"/>
      <c r="C508" s="159"/>
      <c r="D508" s="159"/>
      <c r="E508" s="159"/>
      <c r="F508" s="159"/>
      <c r="G508" s="159"/>
      <c r="H508" s="159"/>
      <c r="I508" s="159"/>
      <c r="J508" s="224"/>
      <c r="K508" s="159"/>
      <c r="L508" s="159"/>
      <c r="M508" s="159"/>
      <c r="O508" s="159"/>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c r="AR508" s="159"/>
      <c r="AS508" s="159"/>
      <c r="AT508" s="159"/>
      <c r="AU508" s="159"/>
      <c r="AV508" s="159"/>
      <c r="AW508" s="159"/>
      <c r="AX508" s="159"/>
      <c r="AY508" s="159"/>
      <c r="AZ508" s="159"/>
      <c r="BA508" s="159"/>
    </row>
    <row r="509" spans="2:53" ht="17.399999999999999" customHeight="1">
      <c r="B509" s="159"/>
      <c r="C509" s="159"/>
      <c r="D509" s="159"/>
      <c r="E509" s="159"/>
      <c r="F509" s="159"/>
      <c r="G509" s="159"/>
      <c r="H509" s="159"/>
      <c r="I509" s="159"/>
      <c r="J509" s="224"/>
      <c r="K509" s="159"/>
      <c r="L509" s="159"/>
      <c r="M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c r="AR509" s="159"/>
      <c r="AS509" s="159"/>
      <c r="AT509" s="159"/>
      <c r="AU509" s="159"/>
      <c r="AV509" s="159"/>
      <c r="AW509" s="159"/>
      <c r="AX509" s="159"/>
      <c r="AY509" s="159"/>
      <c r="AZ509" s="159"/>
      <c r="BA509" s="159"/>
    </row>
    <row r="510" spans="2:53" ht="17.399999999999999" customHeight="1">
      <c r="B510" s="159"/>
      <c r="C510" s="159"/>
      <c r="D510" s="159"/>
      <c r="E510" s="159"/>
      <c r="F510" s="159"/>
      <c r="G510" s="159"/>
      <c r="H510" s="159"/>
      <c r="I510" s="159"/>
      <c r="J510" s="224"/>
      <c r="K510" s="159"/>
      <c r="L510" s="159"/>
      <c r="M510" s="159"/>
      <c r="O510" s="159"/>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c r="AR510" s="159"/>
      <c r="AS510" s="159"/>
      <c r="AT510" s="159"/>
      <c r="AU510" s="159"/>
      <c r="AV510" s="159"/>
      <c r="AW510" s="159"/>
      <c r="AX510" s="159"/>
      <c r="AY510" s="159"/>
      <c r="AZ510" s="159"/>
      <c r="BA510" s="159"/>
    </row>
    <row r="511" spans="2:53" ht="17.399999999999999" customHeight="1">
      <c r="B511" s="159"/>
      <c r="C511" s="159"/>
      <c r="D511" s="159"/>
      <c r="E511" s="159"/>
      <c r="F511" s="159"/>
      <c r="G511" s="159"/>
      <c r="H511" s="159"/>
      <c r="I511" s="159"/>
      <c r="J511" s="224"/>
      <c r="K511" s="159"/>
      <c r="L511" s="159"/>
      <c r="M511" s="159"/>
      <c r="O511" s="159"/>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c r="AT511" s="159"/>
      <c r="AU511" s="159"/>
      <c r="AV511" s="159"/>
      <c r="AW511" s="159"/>
      <c r="AX511" s="159"/>
      <c r="AY511" s="159"/>
      <c r="AZ511" s="159"/>
      <c r="BA511" s="159"/>
    </row>
    <row r="512" spans="2:53" ht="17.399999999999999" customHeight="1">
      <c r="B512" s="159"/>
      <c r="C512" s="159"/>
      <c r="D512" s="159"/>
      <c r="E512" s="159"/>
      <c r="F512" s="159"/>
      <c r="G512" s="159"/>
      <c r="H512" s="159"/>
      <c r="I512" s="159"/>
      <c r="J512" s="224"/>
      <c r="K512" s="159"/>
      <c r="L512" s="159"/>
      <c r="M512" s="159"/>
      <c r="O512" s="159"/>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c r="AT512" s="159"/>
      <c r="AU512" s="159"/>
      <c r="AV512" s="159"/>
      <c r="AW512" s="159"/>
      <c r="AX512" s="159"/>
      <c r="AY512" s="159"/>
      <c r="AZ512" s="159"/>
      <c r="BA512" s="159"/>
    </row>
    <row r="513" spans="2:53" ht="17.399999999999999" customHeight="1">
      <c r="B513" s="159"/>
      <c r="C513" s="159"/>
      <c r="D513" s="159"/>
      <c r="E513" s="159"/>
      <c r="F513" s="159"/>
      <c r="G513" s="159"/>
      <c r="H513" s="159"/>
      <c r="I513" s="159"/>
      <c r="J513" s="224"/>
      <c r="K513" s="159"/>
      <c r="L513" s="159"/>
      <c r="M513" s="159"/>
      <c r="O513" s="159"/>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c r="AT513" s="159"/>
      <c r="AU513" s="159"/>
      <c r="AV513" s="159"/>
      <c r="AW513" s="159"/>
      <c r="AX513" s="159"/>
      <c r="AY513" s="159"/>
      <c r="AZ513" s="159"/>
      <c r="BA513" s="159"/>
    </row>
    <row r="514" spans="2:53" ht="17.399999999999999" customHeight="1">
      <c r="B514" s="159"/>
      <c r="C514" s="159"/>
      <c r="D514" s="159"/>
      <c r="E514" s="159"/>
      <c r="F514" s="159"/>
      <c r="G514" s="159"/>
      <c r="H514" s="159"/>
      <c r="I514" s="159"/>
      <c r="J514" s="224"/>
      <c r="K514" s="159"/>
      <c r="L514" s="159"/>
      <c r="M514" s="159"/>
      <c r="O514" s="159"/>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c r="AR514" s="159"/>
      <c r="AS514" s="159"/>
      <c r="AT514" s="159"/>
      <c r="AU514" s="159"/>
      <c r="AV514" s="159"/>
      <c r="AW514" s="159"/>
      <c r="AX514" s="159"/>
      <c r="AY514" s="159"/>
      <c r="AZ514" s="159"/>
      <c r="BA514" s="159"/>
    </row>
    <row r="515" spans="2:53" ht="17.399999999999999" customHeight="1">
      <c r="B515" s="159"/>
      <c r="C515" s="159"/>
      <c r="D515" s="159"/>
      <c r="E515" s="159"/>
      <c r="F515" s="159"/>
      <c r="G515" s="159"/>
      <c r="H515" s="159"/>
      <c r="I515" s="159"/>
      <c r="J515" s="224"/>
      <c r="K515" s="159"/>
      <c r="L515" s="159"/>
      <c r="M515" s="159"/>
      <c r="O515" s="159"/>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c r="AR515" s="159"/>
      <c r="AS515" s="159"/>
      <c r="AT515" s="159"/>
      <c r="AU515" s="159"/>
      <c r="AV515" s="159"/>
      <c r="AW515" s="159"/>
      <c r="AX515" s="159"/>
      <c r="AY515" s="159"/>
      <c r="AZ515" s="159"/>
      <c r="BA515" s="159"/>
    </row>
    <row r="516" spans="2:53" ht="17.399999999999999" customHeight="1">
      <c r="B516" s="159"/>
      <c r="C516" s="159"/>
      <c r="D516" s="159"/>
      <c r="E516" s="159"/>
      <c r="F516" s="159"/>
      <c r="G516" s="159"/>
      <c r="H516" s="159"/>
      <c r="I516" s="159"/>
      <c r="J516" s="224"/>
      <c r="K516" s="159"/>
      <c r="L516" s="159"/>
      <c r="M516" s="159"/>
      <c r="O516" s="159"/>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c r="AT516" s="159"/>
      <c r="AU516" s="159"/>
      <c r="AV516" s="159"/>
      <c r="AW516" s="159"/>
      <c r="AX516" s="159"/>
      <c r="AY516" s="159"/>
      <c r="AZ516" s="159"/>
      <c r="BA516" s="159"/>
    </row>
    <row r="517" spans="2:53" ht="17.399999999999999" customHeight="1">
      <c r="B517" s="159"/>
      <c r="C517" s="159"/>
      <c r="D517" s="159"/>
      <c r="E517" s="159"/>
      <c r="F517" s="159"/>
      <c r="G517" s="159"/>
      <c r="H517" s="159"/>
      <c r="I517" s="159"/>
      <c r="J517" s="224"/>
      <c r="K517" s="159"/>
      <c r="L517" s="159"/>
      <c r="M517" s="159"/>
      <c r="O517" s="159"/>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c r="AR517" s="159"/>
      <c r="AS517" s="159"/>
      <c r="AT517" s="159"/>
      <c r="AU517" s="159"/>
      <c r="AV517" s="159"/>
      <c r="AW517" s="159"/>
      <c r="AX517" s="159"/>
      <c r="AY517" s="159"/>
      <c r="AZ517" s="159"/>
      <c r="BA517" s="159"/>
    </row>
    <row r="518" spans="2:53" ht="17.399999999999999" customHeight="1">
      <c r="B518" s="159"/>
      <c r="C518" s="159"/>
      <c r="D518" s="159"/>
      <c r="E518" s="159"/>
      <c r="F518" s="159"/>
      <c r="G518" s="159"/>
      <c r="H518" s="159"/>
      <c r="I518" s="159"/>
      <c r="J518" s="224"/>
      <c r="K518" s="159"/>
      <c r="L518" s="159"/>
      <c r="M518" s="159"/>
      <c r="O518" s="159"/>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c r="AR518" s="159"/>
      <c r="AS518" s="159"/>
      <c r="AT518" s="159"/>
      <c r="AU518" s="159"/>
      <c r="AV518" s="159"/>
      <c r="AW518" s="159"/>
      <c r="AX518" s="159"/>
      <c r="AY518" s="159"/>
      <c r="AZ518" s="159"/>
      <c r="BA518" s="159"/>
    </row>
    <row r="519" spans="2:53" ht="17.399999999999999" customHeight="1">
      <c r="B519" s="159"/>
      <c r="C519" s="159"/>
      <c r="D519" s="159"/>
      <c r="E519" s="159"/>
      <c r="F519" s="159"/>
      <c r="G519" s="159"/>
      <c r="H519" s="159"/>
      <c r="I519" s="159"/>
      <c r="J519" s="224"/>
      <c r="K519" s="159"/>
      <c r="L519" s="159"/>
      <c r="M519" s="159"/>
      <c r="O519" s="159"/>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c r="AR519" s="159"/>
      <c r="AS519" s="159"/>
      <c r="AT519" s="159"/>
      <c r="AU519" s="159"/>
      <c r="AV519" s="159"/>
      <c r="AW519" s="159"/>
      <c r="AX519" s="159"/>
      <c r="AY519" s="159"/>
      <c r="AZ519" s="159"/>
      <c r="BA519" s="159"/>
    </row>
    <row r="520" spans="2:53" ht="17.399999999999999" customHeight="1">
      <c r="B520" s="159"/>
      <c r="C520" s="159"/>
      <c r="D520" s="159"/>
      <c r="E520" s="159"/>
      <c r="F520" s="159"/>
      <c r="G520" s="159"/>
      <c r="H520" s="159"/>
      <c r="I520" s="159"/>
      <c r="J520" s="224"/>
      <c r="K520" s="159"/>
      <c r="L520" s="159"/>
      <c r="M520" s="159"/>
      <c r="O520" s="159"/>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c r="AR520" s="159"/>
      <c r="AS520" s="159"/>
      <c r="AT520" s="159"/>
      <c r="AU520" s="159"/>
      <c r="AV520" s="159"/>
      <c r="AW520" s="159"/>
      <c r="AX520" s="159"/>
      <c r="AY520" s="159"/>
      <c r="AZ520" s="159"/>
      <c r="BA520" s="159"/>
    </row>
    <row r="521" spans="2:53" ht="17.399999999999999" customHeight="1">
      <c r="B521" s="159"/>
      <c r="C521" s="159"/>
      <c r="D521" s="159"/>
      <c r="E521" s="159"/>
      <c r="F521" s="159"/>
      <c r="G521" s="159"/>
      <c r="H521" s="159"/>
      <c r="I521" s="159"/>
      <c r="J521" s="224"/>
      <c r="K521" s="159"/>
      <c r="L521" s="159"/>
      <c r="M521" s="159"/>
      <c r="O521" s="159"/>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c r="AR521" s="159"/>
      <c r="AS521" s="159"/>
      <c r="AT521" s="159"/>
      <c r="AU521" s="159"/>
      <c r="AV521" s="159"/>
      <c r="AW521" s="159"/>
      <c r="AX521" s="159"/>
      <c r="AY521" s="159"/>
      <c r="AZ521" s="159"/>
      <c r="BA521" s="159"/>
    </row>
    <row r="522" spans="2:53" ht="17.399999999999999" customHeight="1">
      <c r="B522" s="159"/>
      <c r="C522" s="159"/>
      <c r="D522" s="159"/>
      <c r="E522" s="159"/>
      <c r="F522" s="159"/>
      <c r="G522" s="159"/>
      <c r="H522" s="159"/>
      <c r="I522" s="159"/>
      <c r="J522" s="224"/>
      <c r="K522" s="159"/>
      <c r="L522" s="159"/>
      <c r="M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c r="AT522" s="159"/>
      <c r="AU522" s="159"/>
      <c r="AV522" s="159"/>
      <c r="AW522" s="159"/>
      <c r="AX522" s="159"/>
      <c r="AY522" s="159"/>
      <c r="AZ522" s="159"/>
      <c r="BA522" s="159"/>
    </row>
    <row r="523" spans="2:53" ht="17.399999999999999" customHeight="1">
      <c r="B523" s="159"/>
      <c r="C523" s="159"/>
      <c r="D523" s="159"/>
      <c r="E523" s="159"/>
      <c r="F523" s="159"/>
      <c r="G523" s="159"/>
      <c r="H523" s="159"/>
      <c r="I523" s="159"/>
      <c r="J523" s="224"/>
      <c r="K523" s="159"/>
      <c r="L523" s="159"/>
      <c r="M523" s="159"/>
      <c r="O523" s="159"/>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c r="AP523" s="159"/>
      <c r="AQ523" s="159"/>
      <c r="AR523" s="159"/>
      <c r="AS523" s="159"/>
      <c r="AT523" s="159"/>
      <c r="AU523" s="159"/>
      <c r="AV523" s="159"/>
      <c r="AW523" s="159"/>
      <c r="AX523" s="159"/>
      <c r="AY523" s="159"/>
      <c r="AZ523" s="159"/>
      <c r="BA523" s="159"/>
    </row>
    <row r="524" spans="2:53" ht="17.399999999999999" customHeight="1">
      <c r="B524" s="159"/>
      <c r="C524" s="159"/>
      <c r="D524" s="159"/>
      <c r="E524" s="159"/>
      <c r="F524" s="159"/>
      <c r="G524" s="159"/>
      <c r="H524" s="159"/>
      <c r="I524" s="159"/>
      <c r="J524" s="224"/>
      <c r="K524" s="159"/>
      <c r="L524" s="159"/>
      <c r="M524" s="159"/>
      <c r="O524" s="159"/>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c r="AR524" s="159"/>
      <c r="AS524" s="159"/>
      <c r="AT524" s="159"/>
      <c r="AU524" s="159"/>
      <c r="AV524" s="159"/>
      <c r="AW524" s="159"/>
      <c r="AX524" s="159"/>
      <c r="AY524" s="159"/>
      <c r="AZ524" s="159"/>
      <c r="BA524" s="159"/>
    </row>
    <row r="525" spans="2:53" ht="17.399999999999999" customHeight="1">
      <c r="B525" s="159"/>
      <c r="C525" s="159"/>
      <c r="D525" s="159"/>
      <c r="E525" s="159"/>
      <c r="F525" s="159"/>
      <c r="G525" s="159"/>
      <c r="H525" s="159"/>
      <c r="I525" s="159"/>
      <c r="J525" s="224"/>
      <c r="K525" s="159"/>
      <c r="L525" s="159"/>
      <c r="M525" s="159"/>
      <c r="O525" s="159"/>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c r="AR525" s="159"/>
      <c r="AS525" s="159"/>
      <c r="AT525" s="159"/>
      <c r="AU525" s="159"/>
      <c r="AV525" s="159"/>
      <c r="AW525" s="159"/>
      <c r="AX525" s="159"/>
      <c r="AY525" s="159"/>
      <c r="AZ525" s="159"/>
      <c r="BA525" s="159"/>
    </row>
    <row r="526" spans="2:53" ht="17.399999999999999" customHeight="1">
      <c r="B526" s="159"/>
      <c r="C526" s="159"/>
      <c r="D526" s="159"/>
      <c r="E526" s="159"/>
      <c r="F526" s="159"/>
      <c r="G526" s="159"/>
      <c r="H526" s="159"/>
      <c r="I526" s="159"/>
      <c r="J526" s="224"/>
      <c r="K526" s="159"/>
      <c r="L526" s="159"/>
      <c r="M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c r="AR526" s="159"/>
      <c r="AS526" s="159"/>
      <c r="AT526" s="159"/>
      <c r="AU526" s="159"/>
      <c r="AV526" s="159"/>
      <c r="AW526" s="159"/>
      <c r="AX526" s="159"/>
      <c r="AY526" s="159"/>
      <c r="AZ526" s="159"/>
      <c r="BA526" s="159"/>
    </row>
    <row r="527" spans="2:53" ht="17.399999999999999" customHeight="1">
      <c r="B527" s="159"/>
      <c r="C527" s="159"/>
      <c r="D527" s="159"/>
      <c r="E527" s="159"/>
      <c r="F527" s="159"/>
      <c r="G527" s="159"/>
      <c r="H527" s="159"/>
      <c r="I527" s="159"/>
      <c r="J527" s="224"/>
      <c r="K527" s="159"/>
      <c r="L527" s="159"/>
      <c r="M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c r="AR527" s="159"/>
      <c r="AS527" s="159"/>
      <c r="AT527" s="159"/>
      <c r="AU527" s="159"/>
      <c r="AV527" s="159"/>
      <c r="AW527" s="159"/>
      <c r="AX527" s="159"/>
      <c r="AY527" s="159"/>
      <c r="AZ527" s="159"/>
      <c r="BA527" s="159"/>
    </row>
    <row r="528" spans="2:53" ht="17.399999999999999" customHeight="1">
      <c r="B528" s="159"/>
      <c r="C528" s="159"/>
      <c r="D528" s="159"/>
      <c r="E528" s="159"/>
      <c r="F528" s="159"/>
      <c r="G528" s="159"/>
      <c r="H528" s="159"/>
      <c r="I528" s="159"/>
      <c r="J528" s="224"/>
      <c r="K528" s="159"/>
      <c r="L528" s="159"/>
      <c r="M528" s="159"/>
      <c r="O528" s="159"/>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c r="AP528" s="159"/>
      <c r="AQ528" s="159"/>
      <c r="AR528" s="159"/>
      <c r="AS528" s="159"/>
      <c r="AT528" s="159"/>
      <c r="AU528" s="159"/>
      <c r="AV528" s="159"/>
      <c r="AW528" s="159"/>
      <c r="AX528" s="159"/>
      <c r="AY528" s="159"/>
      <c r="AZ528" s="159"/>
      <c r="BA528" s="159"/>
    </row>
    <row r="529" spans="2:53" ht="17.399999999999999" customHeight="1">
      <c r="B529" s="159"/>
      <c r="C529" s="159"/>
      <c r="D529" s="159"/>
      <c r="E529" s="159"/>
      <c r="F529" s="159"/>
      <c r="G529" s="159"/>
      <c r="H529" s="159"/>
      <c r="I529" s="159"/>
      <c r="J529" s="224"/>
      <c r="K529" s="159"/>
      <c r="L529" s="159"/>
      <c r="M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c r="AR529" s="159"/>
      <c r="AS529" s="159"/>
      <c r="AT529" s="159"/>
      <c r="AU529" s="159"/>
      <c r="AV529" s="159"/>
      <c r="AW529" s="159"/>
      <c r="AX529" s="159"/>
      <c r="AY529" s="159"/>
      <c r="AZ529" s="159"/>
      <c r="BA529" s="159"/>
    </row>
    <row r="530" spans="2:53" ht="17.399999999999999" customHeight="1">
      <c r="B530" s="159"/>
      <c r="C530" s="159"/>
      <c r="D530" s="159"/>
      <c r="E530" s="159"/>
      <c r="F530" s="159"/>
      <c r="G530" s="159"/>
      <c r="H530" s="159"/>
      <c r="I530" s="159"/>
      <c r="J530" s="224"/>
      <c r="K530" s="159"/>
      <c r="L530" s="159"/>
      <c r="M530" s="159"/>
      <c r="O530" s="159"/>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c r="AR530" s="159"/>
      <c r="AS530" s="159"/>
      <c r="AT530" s="159"/>
      <c r="AU530" s="159"/>
      <c r="AV530" s="159"/>
      <c r="AW530" s="159"/>
      <c r="AX530" s="159"/>
      <c r="AY530" s="159"/>
      <c r="AZ530" s="159"/>
      <c r="BA530" s="159"/>
    </row>
    <row r="531" spans="2:53" ht="17.399999999999999" customHeight="1">
      <c r="B531" s="159"/>
      <c r="C531" s="159"/>
      <c r="D531" s="159"/>
      <c r="E531" s="159"/>
      <c r="F531" s="159"/>
      <c r="G531" s="159"/>
      <c r="H531" s="159"/>
      <c r="I531" s="159"/>
      <c r="J531" s="224"/>
      <c r="K531" s="159"/>
      <c r="L531" s="159"/>
      <c r="M531" s="159"/>
      <c r="O531" s="159"/>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c r="AT531" s="159"/>
      <c r="AU531" s="159"/>
      <c r="AV531" s="159"/>
      <c r="AW531" s="159"/>
      <c r="AX531" s="159"/>
      <c r="AY531" s="159"/>
      <c r="AZ531" s="159"/>
      <c r="BA531" s="159"/>
    </row>
    <row r="532" spans="2:53" ht="17.399999999999999" customHeight="1">
      <c r="B532" s="159"/>
      <c r="C532" s="159"/>
      <c r="D532" s="159"/>
      <c r="E532" s="159"/>
      <c r="F532" s="159"/>
      <c r="G532" s="159"/>
      <c r="H532" s="159"/>
      <c r="I532" s="159"/>
      <c r="J532" s="224"/>
      <c r="K532" s="159"/>
      <c r="L532" s="159"/>
      <c r="M532" s="159"/>
      <c r="O532" s="159"/>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c r="AT532" s="159"/>
      <c r="AU532" s="159"/>
      <c r="AV532" s="159"/>
      <c r="AW532" s="159"/>
      <c r="AX532" s="159"/>
      <c r="AY532" s="159"/>
      <c r="AZ532" s="159"/>
      <c r="BA532" s="159"/>
    </row>
    <row r="533" spans="2:53" ht="17.399999999999999" customHeight="1">
      <c r="B533" s="159"/>
      <c r="C533" s="159"/>
      <c r="D533" s="159"/>
      <c r="E533" s="159"/>
      <c r="F533" s="159"/>
      <c r="G533" s="159"/>
      <c r="H533" s="159"/>
      <c r="I533" s="159"/>
      <c r="J533" s="224"/>
      <c r="K533" s="159"/>
      <c r="L533" s="159"/>
      <c r="M533" s="159"/>
      <c r="O533" s="159"/>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c r="AT533" s="159"/>
      <c r="AU533" s="159"/>
      <c r="AV533" s="159"/>
      <c r="AW533" s="159"/>
      <c r="AX533" s="159"/>
      <c r="AY533" s="159"/>
      <c r="AZ533" s="159"/>
      <c r="BA533" s="159"/>
    </row>
    <row r="534" spans="2:53" ht="17.399999999999999" customHeight="1">
      <c r="B534" s="159"/>
      <c r="C534" s="159"/>
      <c r="D534" s="159"/>
      <c r="E534" s="159"/>
      <c r="F534" s="159"/>
      <c r="G534" s="159"/>
      <c r="H534" s="159"/>
      <c r="I534" s="159"/>
      <c r="J534" s="224"/>
      <c r="K534" s="159"/>
      <c r="L534" s="159"/>
      <c r="M534" s="159"/>
      <c r="O534" s="159"/>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c r="AT534" s="159"/>
      <c r="AU534" s="159"/>
      <c r="AV534" s="159"/>
      <c r="AW534" s="159"/>
      <c r="AX534" s="159"/>
      <c r="AY534" s="159"/>
      <c r="AZ534" s="159"/>
      <c r="BA534" s="159"/>
    </row>
    <row r="535" spans="2:53" ht="17.399999999999999" customHeight="1">
      <c r="B535" s="159"/>
      <c r="C535" s="159"/>
      <c r="D535" s="159"/>
      <c r="E535" s="159"/>
      <c r="F535" s="159"/>
      <c r="G535" s="159"/>
      <c r="H535" s="159"/>
      <c r="I535" s="159"/>
      <c r="J535" s="224"/>
      <c r="K535" s="159"/>
      <c r="L535" s="159"/>
      <c r="M535" s="159"/>
      <c r="O535" s="159"/>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c r="AR535" s="159"/>
      <c r="AS535" s="159"/>
      <c r="AT535" s="159"/>
      <c r="AU535" s="159"/>
      <c r="AV535" s="159"/>
      <c r="AW535" s="159"/>
      <c r="AX535" s="159"/>
      <c r="AY535" s="159"/>
      <c r="AZ535" s="159"/>
      <c r="BA535" s="159"/>
    </row>
    <row r="536" spans="2:53" ht="17.399999999999999" customHeight="1">
      <c r="B536" s="159"/>
      <c r="C536" s="159"/>
      <c r="D536" s="159"/>
      <c r="E536" s="159"/>
      <c r="F536" s="159"/>
      <c r="G536" s="159"/>
      <c r="H536" s="159"/>
      <c r="I536" s="159"/>
      <c r="J536" s="224"/>
      <c r="K536" s="159"/>
      <c r="L536" s="159"/>
      <c r="M536" s="159"/>
      <c r="O536" s="159"/>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c r="AR536" s="159"/>
      <c r="AS536" s="159"/>
      <c r="AT536" s="159"/>
      <c r="AU536" s="159"/>
      <c r="AV536" s="159"/>
      <c r="AW536" s="159"/>
      <c r="AX536" s="159"/>
      <c r="AY536" s="159"/>
      <c r="AZ536" s="159"/>
      <c r="BA536" s="159"/>
    </row>
    <row r="537" spans="2:53" ht="17.399999999999999" customHeight="1">
      <c r="B537" s="159"/>
      <c r="C537" s="159"/>
      <c r="D537" s="159"/>
      <c r="E537" s="159"/>
      <c r="F537" s="159"/>
      <c r="G537" s="159"/>
      <c r="H537" s="159"/>
      <c r="I537" s="159"/>
      <c r="J537" s="224"/>
      <c r="K537" s="159"/>
      <c r="L537" s="159"/>
      <c r="M537" s="159"/>
      <c r="O537" s="159"/>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c r="AR537" s="159"/>
      <c r="AS537" s="159"/>
      <c r="AT537" s="159"/>
      <c r="AU537" s="159"/>
      <c r="AV537" s="159"/>
      <c r="AW537" s="159"/>
      <c r="AX537" s="159"/>
      <c r="AY537" s="159"/>
      <c r="AZ537" s="159"/>
      <c r="BA537" s="159"/>
    </row>
    <row r="538" spans="2:53" ht="17.399999999999999" customHeight="1">
      <c r="B538" s="159"/>
      <c r="C538" s="159"/>
      <c r="D538" s="159"/>
      <c r="E538" s="159"/>
      <c r="F538" s="159"/>
      <c r="G538" s="159"/>
      <c r="H538" s="159"/>
      <c r="I538" s="159"/>
      <c r="J538" s="224"/>
      <c r="K538" s="159"/>
      <c r="L538" s="159"/>
      <c r="M538" s="159"/>
      <c r="O538" s="159"/>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c r="AR538" s="159"/>
      <c r="AS538" s="159"/>
      <c r="AT538" s="159"/>
      <c r="AU538" s="159"/>
      <c r="AV538" s="159"/>
      <c r="AW538" s="159"/>
      <c r="AX538" s="159"/>
      <c r="AY538" s="159"/>
      <c r="AZ538" s="159"/>
      <c r="BA538" s="159"/>
    </row>
    <row r="539" spans="2:53" ht="17.399999999999999" customHeight="1">
      <c r="B539" s="159"/>
      <c r="C539" s="159"/>
      <c r="D539" s="159"/>
      <c r="E539" s="159"/>
      <c r="F539" s="159"/>
      <c r="G539" s="159"/>
      <c r="H539" s="159"/>
      <c r="I539" s="159"/>
      <c r="J539" s="224"/>
      <c r="K539" s="159"/>
      <c r="L539" s="159"/>
      <c r="M539" s="159"/>
      <c r="O539" s="159"/>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c r="AR539" s="159"/>
      <c r="AS539" s="159"/>
      <c r="AT539" s="159"/>
      <c r="AU539" s="159"/>
      <c r="AV539" s="159"/>
      <c r="AW539" s="159"/>
      <c r="AX539" s="159"/>
      <c r="AY539" s="159"/>
      <c r="AZ539" s="159"/>
      <c r="BA539" s="159"/>
    </row>
    <row r="540" spans="2:53" ht="17.399999999999999" customHeight="1">
      <c r="B540" s="159"/>
      <c r="C540" s="159"/>
      <c r="D540" s="159"/>
      <c r="E540" s="159"/>
      <c r="F540" s="159"/>
      <c r="G540" s="159"/>
      <c r="H540" s="159"/>
      <c r="I540" s="159"/>
      <c r="J540" s="224"/>
      <c r="K540" s="159"/>
      <c r="L540" s="159"/>
      <c r="M540" s="159"/>
      <c r="O540" s="159"/>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c r="AR540" s="159"/>
      <c r="AS540" s="159"/>
      <c r="AT540" s="159"/>
      <c r="AU540" s="159"/>
      <c r="AV540" s="159"/>
      <c r="AW540" s="159"/>
      <c r="AX540" s="159"/>
      <c r="AY540" s="159"/>
      <c r="AZ540" s="159"/>
      <c r="BA540" s="159"/>
    </row>
    <row r="541" spans="2:53" ht="17.399999999999999" customHeight="1">
      <c r="B541" s="159"/>
      <c r="C541" s="159"/>
      <c r="D541" s="159"/>
      <c r="E541" s="159"/>
      <c r="F541" s="159"/>
      <c r="G541" s="159"/>
      <c r="H541" s="159"/>
      <c r="I541" s="159"/>
      <c r="J541" s="224"/>
      <c r="K541" s="159"/>
      <c r="L541" s="159"/>
      <c r="M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c r="AR541" s="159"/>
      <c r="AS541" s="159"/>
      <c r="AT541" s="159"/>
      <c r="AU541" s="159"/>
      <c r="AV541" s="159"/>
      <c r="AW541" s="159"/>
      <c r="AX541" s="159"/>
      <c r="AY541" s="159"/>
      <c r="AZ541" s="159"/>
      <c r="BA541" s="159"/>
    </row>
    <row r="542" spans="2:53" ht="17.399999999999999" customHeight="1">
      <c r="B542" s="159"/>
      <c r="C542" s="159"/>
      <c r="D542" s="159"/>
      <c r="E542" s="159"/>
      <c r="F542" s="159"/>
      <c r="G542" s="159"/>
      <c r="H542" s="159"/>
      <c r="I542" s="159"/>
      <c r="J542" s="224"/>
      <c r="K542" s="159"/>
      <c r="L542" s="159"/>
      <c r="M542" s="159"/>
      <c r="O542" s="159"/>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c r="AP542" s="159"/>
      <c r="AQ542" s="159"/>
      <c r="AR542" s="159"/>
      <c r="AS542" s="159"/>
      <c r="AT542" s="159"/>
      <c r="AU542" s="159"/>
      <c r="AV542" s="159"/>
      <c r="AW542" s="159"/>
      <c r="AX542" s="159"/>
      <c r="AY542" s="159"/>
      <c r="AZ542" s="159"/>
      <c r="BA542" s="159"/>
    </row>
    <row r="543" spans="2:53" ht="17.399999999999999" customHeight="1">
      <c r="B543" s="159"/>
      <c r="C543" s="159"/>
      <c r="D543" s="159"/>
      <c r="E543" s="159"/>
      <c r="F543" s="159"/>
      <c r="G543" s="159"/>
      <c r="H543" s="159"/>
      <c r="I543" s="159"/>
      <c r="J543" s="224"/>
      <c r="K543" s="159"/>
      <c r="L543" s="159"/>
      <c r="M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c r="AT543" s="159"/>
      <c r="AU543" s="159"/>
      <c r="AV543" s="159"/>
      <c r="AW543" s="159"/>
      <c r="AX543" s="159"/>
      <c r="AY543" s="159"/>
      <c r="AZ543" s="159"/>
      <c r="BA543" s="159"/>
    </row>
    <row r="544" spans="2:53" ht="17.399999999999999" customHeight="1">
      <c r="B544" s="159"/>
      <c r="C544" s="159"/>
      <c r="D544" s="159"/>
      <c r="E544" s="159"/>
      <c r="F544" s="159"/>
      <c r="G544" s="159"/>
      <c r="H544" s="159"/>
      <c r="I544" s="159"/>
      <c r="J544" s="224"/>
      <c r="K544" s="159"/>
      <c r="L544" s="159"/>
      <c r="M544" s="159"/>
      <c r="O544" s="159"/>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c r="AR544" s="159"/>
      <c r="AS544" s="159"/>
      <c r="AT544" s="159"/>
      <c r="AU544" s="159"/>
      <c r="AV544" s="159"/>
      <c r="AW544" s="159"/>
      <c r="AX544" s="159"/>
      <c r="AY544" s="159"/>
      <c r="AZ544" s="159"/>
      <c r="BA544" s="159"/>
    </row>
    <row r="545" spans="2:53" ht="17.399999999999999" customHeight="1">
      <c r="B545" s="159"/>
      <c r="C545" s="159"/>
      <c r="D545" s="159"/>
      <c r="E545" s="159"/>
      <c r="F545" s="159"/>
      <c r="G545" s="159"/>
      <c r="H545" s="159"/>
      <c r="I545" s="159"/>
      <c r="J545" s="224"/>
      <c r="K545" s="159"/>
      <c r="L545" s="159"/>
      <c r="M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c r="AT545" s="159"/>
      <c r="AU545" s="159"/>
      <c r="AV545" s="159"/>
      <c r="AW545" s="159"/>
      <c r="AX545" s="159"/>
      <c r="AY545" s="159"/>
      <c r="AZ545" s="159"/>
      <c r="BA545" s="159"/>
    </row>
    <row r="546" spans="2:53" ht="17.399999999999999" customHeight="1">
      <c r="B546" s="159"/>
      <c r="C546" s="159"/>
      <c r="D546" s="159"/>
      <c r="E546" s="159"/>
      <c r="F546" s="159"/>
      <c r="G546" s="159"/>
      <c r="H546" s="159"/>
      <c r="I546" s="159"/>
      <c r="J546" s="224"/>
      <c r="K546" s="159"/>
      <c r="L546" s="159"/>
      <c r="M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c r="AR546" s="159"/>
      <c r="AS546" s="159"/>
      <c r="AT546" s="159"/>
      <c r="AU546" s="159"/>
      <c r="AV546" s="159"/>
      <c r="AW546" s="159"/>
      <c r="AX546" s="159"/>
      <c r="AY546" s="159"/>
      <c r="AZ546" s="159"/>
      <c r="BA546" s="159"/>
    </row>
    <row r="547" spans="2:53" ht="17.399999999999999" customHeight="1">
      <c r="B547" s="159"/>
      <c r="C547" s="159"/>
      <c r="D547" s="159"/>
      <c r="E547" s="159"/>
      <c r="F547" s="159"/>
      <c r="G547" s="159"/>
      <c r="H547" s="159"/>
      <c r="I547" s="159"/>
      <c r="J547" s="224"/>
      <c r="K547" s="159"/>
      <c r="L547" s="159"/>
      <c r="M547" s="159"/>
      <c r="O547" s="159"/>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c r="AR547" s="159"/>
      <c r="AS547" s="159"/>
      <c r="AT547" s="159"/>
      <c r="AU547" s="159"/>
      <c r="AV547" s="159"/>
      <c r="AW547" s="159"/>
      <c r="AX547" s="159"/>
      <c r="AY547" s="159"/>
      <c r="AZ547" s="159"/>
      <c r="BA547" s="159"/>
    </row>
    <row r="548" spans="2:53" ht="17.399999999999999" customHeight="1">
      <c r="B548" s="159"/>
      <c r="C548" s="159"/>
      <c r="D548" s="159"/>
      <c r="E548" s="159"/>
      <c r="F548" s="159"/>
      <c r="G548" s="159"/>
      <c r="H548" s="159"/>
      <c r="I548" s="159"/>
      <c r="J548" s="224"/>
      <c r="K548" s="159"/>
      <c r="L548" s="159"/>
      <c r="M548" s="159"/>
      <c r="O548" s="159"/>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c r="AR548" s="159"/>
      <c r="AS548" s="159"/>
      <c r="AT548" s="159"/>
      <c r="AU548" s="159"/>
      <c r="AV548" s="159"/>
      <c r="AW548" s="159"/>
      <c r="AX548" s="159"/>
      <c r="AY548" s="159"/>
      <c r="AZ548" s="159"/>
      <c r="BA548" s="159"/>
    </row>
    <row r="549" spans="2:53" ht="17.399999999999999" customHeight="1">
      <c r="B549" s="159"/>
      <c r="C549" s="159"/>
      <c r="D549" s="159"/>
      <c r="E549" s="159"/>
      <c r="F549" s="159"/>
      <c r="G549" s="159"/>
      <c r="H549" s="159"/>
      <c r="I549" s="159"/>
      <c r="J549" s="224"/>
      <c r="K549" s="159"/>
      <c r="L549" s="159"/>
      <c r="M549" s="159"/>
      <c r="O549" s="159"/>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c r="AR549" s="159"/>
      <c r="AS549" s="159"/>
      <c r="AT549" s="159"/>
      <c r="AU549" s="159"/>
      <c r="AV549" s="159"/>
      <c r="AW549" s="159"/>
      <c r="AX549" s="159"/>
      <c r="AY549" s="159"/>
      <c r="AZ549" s="159"/>
      <c r="BA549" s="159"/>
    </row>
    <row r="550" spans="2:53" ht="17.399999999999999" customHeight="1">
      <c r="B550" s="159"/>
      <c r="C550" s="159"/>
      <c r="D550" s="159"/>
      <c r="E550" s="159"/>
      <c r="F550" s="159"/>
      <c r="G550" s="159"/>
      <c r="H550" s="159"/>
      <c r="I550" s="159"/>
      <c r="J550" s="224"/>
      <c r="K550" s="159"/>
      <c r="L550" s="159"/>
      <c r="M550" s="159"/>
      <c r="O550" s="159"/>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c r="AR550" s="159"/>
      <c r="AS550" s="159"/>
      <c r="AT550" s="159"/>
      <c r="AU550" s="159"/>
      <c r="AV550" s="159"/>
      <c r="AW550" s="159"/>
      <c r="AX550" s="159"/>
      <c r="AY550" s="159"/>
      <c r="AZ550" s="159"/>
      <c r="BA550" s="159"/>
    </row>
    <row r="551" spans="2:53" ht="17.399999999999999" customHeight="1">
      <c r="B551" s="159"/>
      <c r="C551" s="159"/>
      <c r="D551" s="159"/>
      <c r="E551" s="159"/>
      <c r="F551" s="159"/>
      <c r="G551" s="159"/>
      <c r="H551" s="159"/>
      <c r="I551" s="159"/>
      <c r="J551" s="224"/>
      <c r="K551" s="159"/>
      <c r="L551" s="159"/>
      <c r="M551" s="159"/>
      <c r="O551" s="159"/>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c r="AR551" s="159"/>
      <c r="AS551" s="159"/>
      <c r="AT551" s="159"/>
      <c r="AU551" s="159"/>
      <c r="AV551" s="159"/>
      <c r="AW551" s="159"/>
      <c r="AX551" s="159"/>
      <c r="AY551" s="159"/>
      <c r="AZ551" s="159"/>
      <c r="BA551" s="159"/>
    </row>
    <row r="552" spans="2:53" ht="17.399999999999999" customHeight="1">
      <c r="B552" s="159"/>
      <c r="C552" s="159"/>
      <c r="D552" s="159"/>
      <c r="E552" s="159"/>
      <c r="F552" s="159"/>
      <c r="G552" s="159"/>
      <c r="H552" s="159"/>
      <c r="I552" s="159"/>
      <c r="J552" s="224"/>
      <c r="K552" s="159"/>
      <c r="L552" s="159"/>
      <c r="M552" s="15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c r="AR552" s="159"/>
      <c r="AS552" s="159"/>
      <c r="AT552" s="159"/>
      <c r="AU552" s="159"/>
      <c r="AV552" s="159"/>
      <c r="AW552" s="159"/>
      <c r="AX552" s="159"/>
      <c r="AY552" s="159"/>
      <c r="AZ552" s="159"/>
      <c r="BA552" s="159"/>
    </row>
    <row r="553" spans="2:53" ht="17.399999999999999" customHeight="1">
      <c r="B553" s="159"/>
      <c r="C553" s="159"/>
      <c r="D553" s="159"/>
      <c r="E553" s="159"/>
      <c r="F553" s="159"/>
      <c r="G553" s="159"/>
      <c r="H553" s="159"/>
      <c r="I553" s="159"/>
      <c r="J553" s="224"/>
      <c r="K553" s="159"/>
      <c r="L553" s="159"/>
      <c r="M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c r="AR553" s="159"/>
      <c r="AS553" s="159"/>
      <c r="AT553" s="159"/>
      <c r="AU553" s="159"/>
      <c r="AV553" s="159"/>
      <c r="AW553" s="159"/>
      <c r="AX553" s="159"/>
      <c r="AY553" s="159"/>
      <c r="AZ553" s="159"/>
      <c r="BA553" s="159"/>
    </row>
    <row r="554" spans="2:53" ht="17.399999999999999" customHeight="1">
      <c r="B554" s="159"/>
      <c r="C554" s="159"/>
      <c r="D554" s="159"/>
      <c r="E554" s="159"/>
      <c r="F554" s="159"/>
      <c r="G554" s="159"/>
      <c r="H554" s="159"/>
      <c r="I554" s="159"/>
      <c r="J554" s="224"/>
      <c r="K554" s="159"/>
      <c r="L554" s="159"/>
      <c r="M554" s="159"/>
      <c r="O554" s="159"/>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c r="AR554" s="159"/>
      <c r="AS554" s="159"/>
      <c r="AT554" s="159"/>
      <c r="AU554" s="159"/>
      <c r="AV554" s="159"/>
      <c r="AW554" s="159"/>
      <c r="AX554" s="159"/>
      <c r="AY554" s="159"/>
      <c r="AZ554" s="159"/>
      <c r="BA554" s="159"/>
    </row>
    <row r="555" spans="2:53" ht="17.399999999999999" customHeight="1">
      <c r="B555" s="159"/>
      <c r="C555" s="159"/>
      <c r="D555" s="159"/>
      <c r="E555" s="159"/>
      <c r="F555" s="159"/>
      <c r="G555" s="159"/>
      <c r="H555" s="159"/>
      <c r="I555" s="159"/>
      <c r="J555" s="224"/>
      <c r="K555" s="159"/>
      <c r="L555" s="159"/>
      <c r="M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c r="AR555" s="159"/>
      <c r="AS555" s="159"/>
      <c r="AT555" s="159"/>
      <c r="AU555" s="159"/>
      <c r="AV555" s="159"/>
      <c r="AW555" s="159"/>
      <c r="AX555" s="159"/>
      <c r="AY555" s="159"/>
      <c r="AZ555" s="159"/>
      <c r="BA555" s="159"/>
    </row>
    <row r="556" spans="2:53" ht="17.399999999999999" customHeight="1">
      <c r="B556" s="159"/>
      <c r="C556" s="159"/>
      <c r="D556" s="159"/>
      <c r="E556" s="159"/>
      <c r="F556" s="159"/>
      <c r="G556" s="159"/>
      <c r="H556" s="159"/>
      <c r="I556" s="159"/>
      <c r="J556" s="224"/>
      <c r="K556" s="159"/>
      <c r="L556" s="159"/>
      <c r="M556" s="159"/>
      <c r="O556" s="159"/>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c r="AR556" s="159"/>
      <c r="AS556" s="159"/>
      <c r="AT556" s="159"/>
      <c r="AU556" s="159"/>
      <c r="AV556" s="159"/>
      <c r="AW556" s="159"/>
      <c r="AX556" s="159"/>
      <c r="AY556" s="159"/>
      <c r="AZ556" s="159"/>
      <c r="BA556" s="159"/>
    </row>
    <row r="557" spans="2:53" ht="17.399999999999999" customHeight="1">
      <c r="B557" s="159"/>
      <c r="C557" s="159"/>
      <c r="D557" s="159"/>
      <c r="E557" s="159"/>
      <c r="F557" s="159"/>
      <c r="G557" s="159"/>
      <c r="H557" s="159"/>
      <c r="I557" s="159"/>
      <c r="J557" s="224"/>
      <c r="K557" s="159"/>
      <c r="L557" s="159"/>
      <c r="M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c r="AT557" s="159"/>
      <c r="AU557" s="159"/>
      <c r="AV557" s="159"/>
      <c r="AW557" s="159"/>
      <c r="AX557" s="159"/>
      <c r="AY557" s="159"/>
      <c r="AZ557" s="159"/>
      <c r="BA557" s="159"/>
    </row>
    <row r="558" spans="2:53" ht="17.399999999999999" customHeight="1">
      <c r="B558" s="159"/>
      <c r="C558" s="159"/>
      <c r="D558" s="159"/>
      <c r="E558" s="159"/>
      <c r="F558" s="159"/>
      <c r="G558" s="159"/>
      <c r="H558" s="159"/>
      <c r="I558" s="159"/>
      <c r="J558" s="224"/>
      <c r="K558" s="159"/>
      <c r="L558" s="159"/>
      <c r="M558" s="159"/>
      <c r="O558" s="159"/>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c r="AR558" s="159"/>
      <c r="AS558" s="159"/>
      <c r="AT558" s="159"/>
      <c r="AU558" s="159"/>
      <c r="AV558" s="159"/>
      <c r="AW558" s="159"/>
      <c r="AX558" s="159"/>
      <c r="AY558" s="159"/>
      <c r="AZ558" s="159"/>
      <c r="BA558" s="159"/>
    </row>
    <row r="559" spans="2:53" ht="17.399999999999999" customHeight="1">
      <c r="B559" s="159"/>
      <c r="C559" s="159"/>
      <c r="D559" s="159"/>
      <c r="E559" s="159"/>
      <c r="F559" s="159"/>
      <c r="G559" s="159"/>
      <c r="H559" s="159"/>
      <c r="I559" s="159"/>
      <c r="J559" s="224"/>
      <c r="K559" s="159"/>
      <c r="L559" s="159"/>
      <c r="M559" s="159"/>
      <c r="O559" s="159"/>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c r="AR559" s="159"/>
      <c r="AS559" s="159"/>
      <c r="AT559" s="159"/>
      <c r="AU559" s="159"/>
      <c r="AV559" s="159"/>
      <c r="AW559" s="159"/>
      <c r="AX559" s="159"/>
      <c r="AY559" s="159"/>
      <c r="AZ559" s="159"/>
      <c r="BA559" s="159"/>
    </row>
    <row r="560" spans="2:53" ht="17.399999999999999" customHeight="1">
      <c r="B560" s="159"/>
      <c r="C560" s="159"/>
      <c r="D560" s="159"/>
      <c r="E560" s="159"/>
      <c r="F560" s="159"/>
      <c r="G560" s="159"/>
      <c r="H560" s="159"/>
      <c r="I560" s="159"/>
      <c r="J560" s="224"/>
      <c r="K560" s="159"/>
      <c r="L560" s="159"/>
      <c r="M560" s="159"/>
      <c r="O560" s="159"/>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c r="AR560" s="159"/>
      <c r="AS560" s="159"/>
      <c r="AT560" s="159"/>
      <c r="AU560" s="159"/>
      <c r="AV560" s="159"/>
      <c r="AW560" s="159"/>
      <c r="AX560" s="159"/>
      <c r="AY560" s="159"/>
      <c r="AZ560" s="159"/>
      <c r="BA560" s="159"/>
    </row>
    <row r="561" spans="2:53" ht="17.399999999999999" customHeight="1">
      <c r="B561" s="159"/>
      <c r="C561" s="159"/>
      <c r="D561" s="159"/>
      <c r="E561" s="159"/>
      <c r="F561" s="159"/>
      <c r="G561" s="159"/>
      <c r="H561" s="159"/>
      <c r="I561" s="159"/>
      <c r="J561" s="224"/>
      <c r="K561" s="159"/>
      <c r="L561" s="159"/>
      <c r="M561" s="159"/>
      <c r="O561" s="159"/>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c r="AR561" s="159"/>
      <c r="AS561" s="159"/>
      <c r="AT561" s="159"/>
      <c r="AU561" s="159"/>
      <c r="AV561" s="159"/>
      <c r="AW561" s="159"/>
      <c r="AX561" s="159"/>
      <c r="AY561" s="159"/>
      <c r="AZ561" s="159"/>
      <c r="BA561" s="159"/>
    </row>
    <row r="562" spans="2:53" ht="17.399999999999999" customHeight="1">
      <c r="B562" s="159"/>
      <c r="C562" s="159"/>
      <c r="D562" s="159"/>
      <c r="E562" s="159"/>
      <c r="F562" s="159"/>
      <c r="G562" s="159"/>
      <c r="H562" s="159"/>
      <c r="I562" s="159"/>
      <c r="J562" s="224"/>
      <c r="K562" s="159"/>
      <c r="L562" s="159"/>
      <c r="M562" s="159"/>
      <c r="O562" s="159"/>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c r="AR562" s="159"/>
      <c r="AS562" s="159"/>
      <c r="AT562" s="159"/>
      <c r="AU562" s="159"/>
      <c r="AV562" s="159"/>
      <c r="AW562" s="159"/>
      <c r="AX562" s="159"/>
      <c r="AY562" s="159"/>
      <c r="AZ562" s="159"/>
      <c r="BA562" s="159"/>
    </row>
    <row r="563" spans="2:53" ht="17.399999999999999" customHeight="1">
      <c r="B563" s="159"/>
      <c r="C563" s="159"/>
      <c r="D563" s="159"/>
      <c r="E563" s="159"/>
      <c r="F563" s="159"/>
      <c r="G563" s="159"/>
      <c r="H563" s="159"/>
      <c r="I563" s="159"/>
      <c r="J563" s="224"/>
      <c r="K563" s="159"/>
      <c r="L563" s="159"/>
      <c r="M563" s="159"/>
      <c r="O563" s="159"/>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c r="AR563" s="159"/>
      <c r="AS563" s="159"/>
      <c r="AT563" s="159"/>
      <c r="AU563" s="159"/>
      <c r="AV563" s="159"/>
      <c r="AW563" s="159"/>
      <c r="AX563" s="159"/>
      <c r="AY563" s="159"/>
      <c r="AZ563" s="159"/>
      <c r="BA563" s="159"/>
    </row>
    <row r="564" spans="2:53" ht="17.399999999999999" customHeight="1">
      <c r="B564" s="159"/>
      <c r="C564" s="159"/>
      <c r="D564" s="159"/>
      <c r="E564" s="159"/>
      <c r="F564" s="159"/>
      <c r="G564" s="159"/>
      <c r="H564" s="159"/>
      <c r="I564" s="159"/>
      <c r="J564" s="224"/>
      <c r="K564" s="159"/>
      <c r="L564" s="159"/>
      <c r="M564" s="159"/>
      <c r="O564" s="159"/>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c r="AR564" s="159"/>
      <c r="AS564" s="159"/>
      <c r="AT564" s="159"/>
      <c r="AU564" s="159"/>
      <c r="AV564" s="159"/>
      <c r="AW564" s="159"/>
      <c r="AX564" s="159"/>
      <c r="AY564" s="159"/>
      <c r="AZ564" s="159"/>
      <c r="BA564" s="159"/>
    </row>
    <row r="565" spans="2:53" ht="17.399999999999999" customHeight="1">
      <c r="B565" s="159"/>
      <c r="C565" s="159"/>
      <c r="D565" s="159"/>
      <c r="E565" s="159"/>
      <c r="F565" s="159"/>
      <c r="G565" s="159"/>
      <c r="H565" s="159"/>
      <c r="I565" s="159"/>
      <c r="J565" s="224"/>
      <c r="K565" s="159"/>
      <c r="L565" s="159"/>
      <c r="M565" s="159"/>
      <c r="O565" s="159"/>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c r="AP565" s="159"/>
      <c r="AQ565" s="159"/>
      <c r="AR565" s="159"/>
      <c r="AS565" s="159"/>
      <c r="AT565" s="159"/>
      <c r="AU565" s="159"/>
      <c r="AV565" s="159"/>
      <c r="AW565" s="159"/>
      <c r="AX565" s="159"/>
      <c r="AY565" s="159"/>
      <c r="AZ565" s="159"/>
      <c r="BA565" s="159"/>
    </row>
    <row r="566" spans="2:53" ht="17.399999999999999" customHeight="1">
      <c r="B566" s="159"/>
      <c r="C566" s="159"/>
      <c r="D566" s="159"/>
      <c r="E566" s="159"/>
      <c r="F566" s="159"/>
      <c r="G566" s="159"/>
      <c r="H566" s="159"/>
      <c r="I566" s="159"/>
      <c r="J566" s="224"/>
      <c r="K566" s="159"/>
      <c r="L566" s="159"/>
      <c r="M566" s="159"/>
      <c r="O566" s="159"/>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c r="AR566" s="159"/>
      <c r="AS566" s="159"/>
      <c r="AT566" s="159"/>
      <c r="AU566" s="159"/>
      <c r="AV566" s="159"/>
      <c r="AW566" s="159"/>
      <c r="AX566" s="159"/>
      <c r="AY566" s="159"/>
      <c r="AZ566" s="159"/>
      <c r="BA566" s="159"/>
    </row>
    <row r="567" spans="2:53" ht="17.399999999999999" customHeight="1">
      <c r="B567" s="159"/>
      <c r="C567" s="159"/>
      <c r="D567" s="159"/>
      <c r="E567" s="159"/>
      <c r="F567" s="159"/>
      <c r="G567" s="159"/>
      <c r="H567" s="159"/>
      <c r="I567" s="159"/>
      <c r="J567" s="224"/>
      <c r="K567" s="159"/>
      <c r="L567" s="159"/>
      <c r="M567" s="159"/>
      <c r="O567" s="159"/>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c r="AR567" s="159"/>
      <c r="AS567" s="159"/>
      <c r="AT567" s="159"/>
      <c r="AU567" s="159"/>
      <c r="AV567" s="159"/>
      <c r="AW567" s="159"/>
      <c r="AX567" s="159"/>
      <c r="AY567" s="159"/>
      <c r="AZ567" s="159"/>
      <c r="BA567" s="159"/>
    </row>
    <row r="568" spans="2:53" ht="17.399999999999999" customHeight="1">
      <c r="B568" s="159"/>
      <c r="C568" s="159"/>
      <c r="D568" s="159"/>
      <c r="E568" s="159"/>
      <c r="F568" s="159"/>
      <c r="G568" s="159"/>
      <c r="H568" s="159"/>
      <c r="I568" s="159"/>
      <c r="J568" s="224"/>
      <c r="K568" s="159"/>
      <c r="L568" s="159"/>
      <c r="M568" s="159"/>
      <c r="O568" s="159"/>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c r="AR568" s="159"/>
      <c r="AS568" s="159"/>
      <c r="AT568" s="159"/>
      <c r="AU568" s="159"/>
      <c r="AV568" s="159"/>
      <c r="AW568" s="159"/>
      <c r="AX568" s="159"/>
      <c r="AY568" s="159"/>
      <c r="AZ568" s="159"/>
      <c r="BA568" s="159"/>
    </row>
    <row r="569" spans="2:53" ht="17.399999999999999" customHeight="1">
      <c r="B569" s="159"/>
      <c r="C569" s="159"/>
      <c r="D569" s="159"/>
      <c r="E569" s="159"/>
      <c r="F569" s="159"/>
      <c r="G569" s="159"/>
      <c r="H569" s="159"/>
      <c r="I569" s="159"/>
      <c r="J569" s="224"/>
      <c r="K569" s="159"/>
      <c r="L569" s="159"/>
      <c r="M569" s="159"/>
      <c r="O569" s="159"/>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c r="AR569" s="159"/>
      <c r="AS569" s="159"/>
      <c r="AT569" s="159"/>
      <c r="AU569" s="159"/>
      <c r="AV569" s="159"/>
      <c r="AW569" s="159"/>
      <c r="AX569" s="159"/>
      <c r="AY569" s="159"/>
      <c r="AZ569" s="159"/>
      <c r="BA569" s="159"/>
    </row>
    <row r="570" spans="2:53" ht="17.399999999999999" customHeight="1">
      <c r="B570" s="159"/>
      <c r="C570" s="159"/>
      <c r="D570" s="159"/>
      <c r="E570" s="159"/>
      <c r="F570" s="159"/>
      <c r="G570" s="159"/>
      <c r="H570" s="159"/>
      <c r="I570" s="159"/>
      <c r="J570" s="224"/>
      <c r="K570" s="159"/>
      <c r="L570" s="159"/>
      <c r="M570" s="159"/>
      <c r="O570" s="159"/>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c r="AR570" s="159"/>
      <c r="AS570" s="159"/>
      <c r="AT570" s="159"/>
      <c r="AU570" s="159"/>
      <c r="AV570" s="159"/>
      <c r="AW570" s="159"/>
      <c r="AX570" s="159"/>
      <c r="AY570" s="159"/>
      <c r="AZ570" s="159"/>
      <c r="BA570" s="159"/>
    </row>
    <row r="571" spans="2:53" ht="17.399999999999999" customHeight="1">
      <c r="B571" s="159"/>
      <c r="C571" s="159"/>
      <c r="D571" s="159"/>
      <c r="E571" s="159"/>
      <c r="F571" s="159"/>
      <c r="G571" s="159"/>
      <c r="H571" s="159"/>
      <c r="I571" s="159"/>
      <c r="J571" s="224"/>
      <c r="K571" s="159"/>
      <c r="L571" s="159"/>
      <c r="M571" s="159"/>
      <c r="O571" s="159"/>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c r="AR571" s="159"/>
      <c r="AS571" s="159"/>
      <c r="AT571" s="159"/>
      <c r="AU571" s="159"/>
      <c r="AV571" s="159"/>
      <c r="AW571" s="159"/>
      <c r="AX571" s="159"/>
      <c r="AY571" s="159"/>
      <c r="AZ571" s="159"/>
      <c r="BA571" s="159"/>
    </row>
    <row r="572" spans="2:53" ht="17.399999999999999" customHeight="1">
      <c r="B572" s="159"/>
      <c r="C572" s="159"/>
      <c r="D572" s="159"/>
      <c r="E572" s="159"/>
      <c r="F572" s="159"/>
      <c r="G572" s="159"/>
      <c r="H572" s="159"/>
      <c r="I572" s="159"/>
      <c r="J572" s="224"/>
      <c r="K572" s="159"/>
      <c r="L572" s="159"/>
      <c r="M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c r="AR572" s="159"/>
      <c r="AS572" s="159"/>
      <c r="AT572" s="159"/>
      <c r="AU572" s="159"/>
      <c r="AV572" s="159"/>
      <c r="AW572" s="159"/>
      <c r="AX572" s="159"/>
      <c r="AY572" s="159"/>
      <c r="AZ572" s="159"/>
      <c r="BA572" s="159"/>
    </row>
    <row r="573" spans="2:53" ht="17.399999999999999" customHeight="1">
      <c r="B573" s="159"/>
      <c r="C573" s="159"/>
      <c r="D573" s="159"/>
      <c r="E573" s="159"/>
      <c r="F573" s="159"/>
      <c r="G573" s="159"/>
      <c r="H573" s="159"/>
      <c r="I573" s="159"/>
      <c r="J573" s="224"/>
      <c r="K573" s="159"/>
      <c r="L573" s="159"/>
      <c r="M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c r="AR573" s="159"/>
      <c r="AS573" s="159"/>
      <c r="AT573" s="159"/>
      <c r="AU573" s="159"/>
      <c r="AV573" s="159"/>
      <c r="AW573" s="159"/>
      <c r="AX573" s="159"/>
      <c r="AY573" s="159"/>
      <c r="AZ573" s="159"/>
      <c r="BA573" s="159"/>
    </row>
    <row r="574" spans="2:53" ht="17.399999999999999" customHeight="1">
      <c r="B574" s="159"/>
      <c r="C574" s="159"/>
      <c r="D574" s="159"/>
      <c r="E574" s="159"/>
      <c r="F574" s="159"/>
      <c r="G574" s="159"/>
      <c r="H574" s="159"/>
      <c r="I574" s="159"/>
      <c r="J574" s="224"/>
      <c r="K574" s="159"/>
      <c r="L574" s="159"/>
      <c r="M574" s="159"/>
      <c r="O574" s="159"/>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c r="AR574" s="159"/>
      <c r="AS574" s="159"/>
      <c r="AT574" s="159"/>
      <c r="AU574" s="159"/>
      <c r="AV574" s="159"/>
      <c r="AW574" s="159"/>
      <c r="AX574" s="159"/>
      <c r="AY574" s="159"/>
      <c r="AZ574" s="159"/>
      <c r="BA574" s="159"/>
    </row>
    <row r="575" spans="2:53" ht="17.399999999999999" customHeight="1">
      <c r="B575" s="159"/>
      <c r="C575" s="159"/>
      <c r="D575" s="159"/>
      <c r="E575" s="159"/>
      <c r="F575" s="159"/>
      <c r="G575" s="159"/>
      <c r="H575" s="159"/>
      <c r="I575" s="159"/>
      <c r="J575" s="224"/>
      <c r="K575" s="159"/>
      <c r="L575" s="159"/>
      <c r="M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c r="AR575" s="159"/>
      <c r="AS575" s="159"/>
      <c r="AT575" s="159"/>
      <c r="AU575" s="159"/>
      <c r="AV575" s="159"/>
      <c r="AW575" s="159"/>
      <c r="AX575" s="159"/>
      <c r="AY575" s="159"/>
      <c r="AZ575" s="159"/>
      <c r="BA575" s="159"/>
    </row>
    <row r="576" spans="2:53" ht="17.399999999999999" customHeight="1">
      <c r="B576" s="159"/>
      <c r="C576" s="159"/>
      <c r="D576" s="159"/>
      <c r="E576" s="159"/>
      <c r="F576" s="159"/>
      <c r="G576" s="159"/>
      <c r="H576" s="159"/>
      <c r="I576" s="159"/>
      <c r="J576" s="224"/>
      <c r="K576" s="159"/>
      <c r="L576" s="159"/>
      <c r="M576" s="159"/>
      <c r="O576" s="159"/>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c r="AR576" s="159"/>
      <c r="AS576" s="159"/>
      <c r="AT576" s="159"/>
      <c r="AU576" s="159"/>
      <c r="AV576" s="159"/>
      <c r="AW576" s="159"/>
      <c r="AX576" s="159"/>
      <c r="AY576" s="159"/>
      <c r="AZ576" s="159"/>
      <c r="BA576" s="159"/>
    </row>
    <row r="577" spans="2:53" ht="17.399999999999999" customHeight="1">
      <c r="B577" s="159"/>
      <c r="C577" s="159"/>
      <c r="D577" s="159"/>
      <c r="E577" s="159"/>
      <c r="F577" s="159"/>
      <c r="G577" s="159"/>
      <c r="H577" s="159"/>
      <c r="I577" s="159"/>
      <c r="J577" s="224"/>
      <c r="K577" s="159"/>
      <c r="L577" s="159"/>
      <c r="M577" s="159"/>
      <c r="O577" s="159"/>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c r="AR577" s="159"/>
      <c r="AS577" s="159"/>
      <c r="AT577" s="159"/>
      <c r="AU577" s="159"/>
      <c r="AV577" s="159"/>
      <c r="AW577" s="159"/>
      <c r="AX577" s="159"/>
      <c r="AY577" s="159"/>
      <c r="AZ577" s="159"/>
      <c r="BA577" s="159"/>
    </row>
    <row r="578" spans="2:53" ht="17.399999999999999" customHeight="1">
      <c r="B578" s="159"/>
      <c r="C578" s="159"/>
      <c r="D578" s="159"/>
      <c r="E578" s="159"/>
      <c r="F578" s="159"/>
      <c r="G578" s="159"/>
      <c r="H578" s="159"/>
      <c r="I578" s="159"/>
      <c r="J578" s="224"/>
      <c r="K578" s="159"/>
      <c r="L578" s="159"/>
      <c r="M578" s="159"/>
      <c r="O578" s="159"/>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c r="AP578" s="159"/>
      <c r="AQ578" s="159"/>
      <c r="AR578" s="159"/>
      <c r="AS578" s="159"/>
      <c r="AT578" s="159"/>
      <c r="AU578" s="159"/>
      <c r="AV578" s="159"/>
      <c r="AW578" s="159"/>
      <c r="AX578" s="159"/>
      <c r="AY578" s="159"/>
      <c r="AZ578" s="159"/>
      <c r="BA578" s="159"/>
    </row>
    <row r="579" spans="2:53" ht="17.399999999999999" customHeight="1">
      <c r="B579" s="159"/>
      <c r="C579" s="159"/>
      <c r="D579" s="159"/>
      <c r="E579" s="159"/>
      <c r="F579" s="159"/>
      <c r="G579" s="159"/>
      <c r="H579" s="159"/>
      <c r="I579" s="159"/>
      <c r="J579" s="224"/>
      <c r="K579" s="159"/>
      <c r="L579" s="159"/>
      <c r="M579" s="159"/>
      <c r="O579" s="159"/>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c r="AR579" s="159"/>
      <c r="AS579" s="159"/>
      <c r="AT579" s="159"/>
      <c r="AU579" s="159"/>
      <c r="AV579" s="159"/>
      <c r="AW579" s="159"/>
      <c r="AX579" s="159"/>
      <c r="AY579" s="159"/>
      <c r="AZ579" s="159"/>
      <c r="BA579" s="159"/>
    </row>
    <row r="580" spans="2:53" ht="17.399999999999999" customHeight="1">
      <c r="B580" s="159"/>
      <c r="C580" s="159"/>
      <c r="D580" s="159"/>
      <c r="E580" s="159"/>
      <c r="F580" s="159"/>
      <c r="G580" s="159"/>
      <c r="H580" s="159"/>
      <c r="I580" s="159"/>
      <c r="J580" s="224"/>
      <c r="K580" s="159"/>
      <c r="L580" s="159"/>
      <c r="M580" s="159"/>
      <c r="O580" s="159"/>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c r="AR580" s="159"/>
      <c r="AS580" s="159"/>
      <c r="AT580" s="159"/>
      <c r="AU580" s="159"/>
      <c r="AV580" s="159"/>
      <c r="AW580" s="159"/>
      <c r="AX580" s="159"/>
      <c r="AY580" s="159"/>
      <c r="AZ580" s="159"/>
      <c r="BA580" s="159"/>
    </row>
    <row r="581" spans="2:53" ht="17.399999999999999" customHeight="1">
      <c r="B581" s="159"/>
      <c r="C581" s="159"/>
      <c r="D581" s="159"/>
      <c r="E581" s="159"/>
      <c r="F581" s="159"/>
      <c r="G581" s="159"/>
      <c r="H581" s="159"/>
      <c r="I581" s="159"/>
      <c r="J581" s="224"/>
      <c r="K581" s="159"/>
      <c r="L581" s="159"/>
      <c r="M581" s="159"/>
      <c r="O581" s="159"/>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c r="AR581" s="159"/>
      <c r="AS581" s="159"/>
      <c r="AT581" s="159"/>
      <c r="AU581" s="159"/>
      <c r="AV581" s="159"/>
      <c r="AW581" s="159"/>
      <c r="AX581" s="159"/>
      <c r="AY581" s="159"/>
      <c r="AZ581" s="159"/>
      <c r="BA581" s="159"/>
    </row>
    <row r="582" spans="2:53" ht="17.399999999999999" customHeight="1">
      <c r="B582" s="159"/>
      <c r="C582" s="159"/>
      <c r="D582" s="159"/>
      <c r="E582" s="159"/>
      <c r="F582" s="159"/>
      <c r="G582" s="159"/>
      <c r="H582" s="159"/>
      <c r="I582" s="159"/>
      <c r="J582" s="224"/>
      <c r="K582" s="159"/>
      <c r="L582" s="159"/>
      <c r="M582" s="159"/>
      <c r="O582" s="159"/>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c r="AR582" s="159"/>
      <c r="AS582" s="159"/>
      <c r="AT582" s="159"/>
      <c r="AU582" s="159"/>
      <c r="AV582" s="159"/>
      <c r="AW582" s="159"/>
      <c r="AX582" s="159"/>
      <c r="AY582" s="159"/>
      <c r="AZ582" s="159"/>
      <c r="BA582" s="159"/>
    </row>
    <row r="583" spans="2:53" ht="17.399999999999999" customHeight="1">
      <c r="B583" s="159"/>
      <c r="C583" s="159"/>
      <c r="D583" s="159"/>
      <c r="E583" s="159"/>
      <c r="F583" s="159"/>
      <c r="G583" s="159"/>
      <c r="H583" s="159"/>
      <c r="I583" s="159"/>
      <c r="J583" s="224"/>
      <c r="K583" s="159"/>
      <c r="L583" s="159"/>
      <c r="M583" s="159"/>
      <c r="O583" s="159"/>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c r="AR583" s="159"/>
      <c r="AS583" s="159"/>
      <c r="AT583" s="159"/>
      <c r="AU583" s="159"/>
      <c r="AV583" s="159"/>
      <c r="AW583" s="159"/>
      <c r="AX583" s="159"/>
      <c r="AY583" s="159"/>
      <c r="AZ583" s="159"/>
      <c r="BA583" s="159"/>
    </row>
    <row r="584" spans="2:53" ht="17.399999999999999" customHeight="1">
      <c r="B584" s="159"/>
      <c r="C584" s="159"/>
      <c r="D584" s="159"/>
      <c r="E584" s="159"/>
      <c r="F584" s="159"/>
      <c r="G584" s="159"/>
      <c r="H584" s="159"/>
      <c r="I584" s="159"/>
      <c r="J584" s="224"/>
      <c r="K584" s="159"/>
      <c r="L584" s="159"/>
      <c r="M584" s="159"/>
      <c r="O584" s="159"/>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c r="AP584" s="159"/>
      <c r="AQ584" s="159"/>
      <c r="AR584" s="159"/>
      <c r="AS584" s="159"/>
      <c r="AT584" s="159"/>
      <c r="AU584" s="159"/>
      <c r="AV584" s="159"/>
      <c r="AW584" s="159"/>
      <c r="AX584" s="159"/>
      <c r="AY584" s="159"/>
      <c r="AZ584" s="159"/>
      <c r="BA584" s="159"/>
    </row>
    <row r="585" spans="2:53" ht="17.399999999999999" customHeight="1">
      <c r="B585" s="159"/>
      <c r="C585" s="159"/>
      <c r="D585" s="159"/>
      <c r="E585" s="159"/>
      <c r="F585" s="159"/>
      <c r="G585" s="159"/>
      <c r="H585" s="159"/>
      <c r="I585" s="159"/>
      <c r="J585" s="224"/>
      <c r="K585" s="159"/>
      <c r="L585" s="159"/>
      <c r="M585" s="159"/>
      <c r="O585" s="159"/>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c r="AR585" s="159"/>
      <c r="AS585" s="159"/>
      <c r="AT585" s="159"/>
      <c r="AU585" s="159"/>
      <c r="AV585" s="159"/>
      <c r="AW585" s="159"/>
      <c r="AX585" s="159"/>
      <c r="AY585" s="159"/>
      <c r="AZ585" s="159"/>
      <c r="BA585" s="159"/>
    </row>
    <row r="586" spans="2:53" ht="17.399999999999999" customHeight="1">
      <c r="B586" s="159"/>
      <c r="C586" s="159"/>
      <c r="D586" s="159"/>
      <c r="E586" s="159"/>
      <c r="F586" s="159"/>
      <c r="G586" s="159"/>
      <c r="H586" s="159"/>
      <c r="I586" s="159"/>
      <c r="J586" s="224"/>
      <c r="K586" s="159"/>
      <c r="L586" s="159"/>
      <c r="M586" s="159"/>
      <c r="O586" s="159"/>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c r="AR586" s="159"/>
      <c r="AS586" s="159"/>
      <c r="AT586" s="159"/>
      <c r="AU586" s="159"/>
      <c r="AV586" s="159"/>
      <c r="AW586" s="159"/>
      <c r="AX586" s="159"/>
      <c r="AY586" s="159"/>
      <c r="AZ586" s="159"/>
      <c r="BA586" s="159"/>
    </row>
    <row r="587" spans="2:53" ht="17.399999999999999" customHeight="1">
      <c r="B587" s="159"/>
      <c r="C587" s="159"/>
      <c r="D587" s="159"/>
      <c r="E587" s="159"/>
      <c r="F587" s="159"/>
      <c r="G587" s="159"/>
      <c r="H587" s="159"/>
      <c r="I587" s="159"/>
      <c r="J587" s="224"/>
      <c r="K587" s="159"/>
      <c r="L587" s="159"/>
      <c r="M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c r="AR587" s="159"/>
      <c r="AS587" s="159"/>
      <c r="AT587" s="159"/>
      <c r="AU587" s="159"/>
      <c r="AV587" s="159"/>
      <c r="AW587" s="159"/>
      <c r="AX587" s="159"/>
      <c r="AY587" s="159"/>
      <c r="AZ587" s="159"/>
      <c r="BA587" s="159"/>
    </row>
    <row r="588" spans="2:53" s="159" customFormat="1" ht="17.399999999999999" customHeight="1">
      <c r="J588" s="224"/>
    </row>
    <row r="589" spans="2:53"/>
    <row r="590" spans="2:53"/>
    <row r="591" spans="2:53"/>
    <row r="592" spans="2:53"/>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sheetData>
  <sheetProtection algorithmName="SHA-512" hashValue="/ba/E//C8iRXAafS8w59geFXQbwjSnbWTFOTAqqClV7nxsAlCF3YYjpNJTTxQUCMKqm3BkC4M6Q7S+cTe5DJSg==" saltValue="rEhyHYzHdWUS/Qj/bm0rKA==" spinCount="100000" sheet="1" selectLockedCells="1"/>
  <mergeCells count="7">
    <mergeCell ref="F5:K5"/>
    <mergeCell ref="F7:K7"/>
    <mergeCell ref="J113:K113"/>
    <mergeCell ref="J39:M39"/>
    <mergeCell ref="F30:K30"/>
    <mergeCell ref="F31:K31"/>
    <mergeCell ref="F32:G32"/>
  </mergeCells>
  <conditionalFormatting sqref="C142">
    <cfRule type="containsText" dxfId="15" priority="2" operator="containsText" text="nie">
      <formula>NOT(ISERROR(SEARCH("nie",C142)))</formula>
    </cfRule>
  </conditionalFormatting>
  <conditionalFormatting sqref="C162">
    <cfRule type="containsText" dxfId="14" priority="1" operator="containsText" text="nie spełniają">
      <formula>NOT(ISERROR(SEARCH("nie spełniają",C162)))</formula>
    </cfRule>
  </conditionalFormatting>
  <dataValidations count="2">
    <dataValidation type="list" allowBlank="1" showInputMessage="1" showErrorMessage="1" sqref="Q50" xr:uid="{00000000-0002-0000-0100-000000000000}">
      <formula1>$O$57:$O$60</formula1>
    </dataValidation>
    <dataValidation operator="lessThanOrEqual" allowBlank="1" showInputMessage="1" showErrorMessage="1" sqref="F5:K5" xr:uid="{00000000-0002-0000-0100-000001000000}"/>
  </dataValidations>
  <hyperlinks>
    <hyperlink ref="R148" r:id="rId1" xr:uid="{00000000-0004-0000-0100-000000000000}"/>
    <hyperlink ref="R149" r:id="rId2" xr:uid="{00000000-0004-0000-0100-000001000000}"/>
  </hyperlinks>
  <pageMargins left="0.59055118110236227" right="0.59055118110236227" top="0.78740157480314965" bottom="0.19685039370078741" header="0.19685039370078741" footer="0.19685039370078741"/>
  <pageSetup paperSize="9" fitToHeight="0" orientation="portrait" r:id="rId3"/>
  <headerFooter>
    <oddHeader>&amp;R
&amp;G</oddHeader>
    <oddFooter>&amp;C&amp;"-,Standardowy"&amp;9&amp;K00-030Wydruk wygenerowany z arkusza doboru układów utrzymania ciśnienia firmy IMI HYDRONIC ENGINEERING.</oddFooter>
  </headerFooter>
  <rowBreaks count="5" manualBreakCount="5">
    <brk id="70" min="1" max="12" man="1"/>
    <brk id="113" min="1" max="12" man="1"/>
    <brk id="155" min="1" max="12" man="1"/>
    <brk id="197" min="1" max="12" man="1"/>
    <brk id="236" min="1" max="12" man="1"/>
  </rowBreaks>
  <drawing r:id="rId4"/>
  <legacyDrawing r:id="rId5"/>
  <legacyDrawingHF r:id="rId6"/>
  <oleObjects>
    <mc:AlternateContent xmlns:mc="http://schemas.openxmlformats.org/markup-compatibility/2006">
      <mc:Choice Requires="x14">
        <oleObject progId="Equation.3" shapeId="4116" r:id="rId7">
          <objectPr defaultSize="0" autoPict="0" r:id="rId8">
            <anchor moveWithCells="1">
              <from>
                <xdr:col>3</xdr:col>
                <xdr:colOff>106680</xdr:colOff>
                <xdr:row>45</xdr:row>
                <xdr:rowOff>83820</xdr:rowOff>
              </from>
              <to>
                <xdr:col>9</xdr:col>
                <xdr:colOff>45720</xdr:colOff>
                <xdr:row>48</xdr:row>
                <xdr:rowOff>22860</xdr:rowOff>
              </to>
            </anchor>
          </objectPr>
        </oleObject>
      </mc:Choice>
      <mc:Fallback>
        <oleObject progId="Equation.3" shapeId="4116" r:id="rId7"/>
      </mc:Fallback>
    </mc:AlternateContent>
    <mc:AlternateContent xmlns:mc="http://schemas.openxmlformats.org/markup-compatibility/2006">
      <mc:Choice Requires="x14">
        <oleObject progId="Equation.3" shapeId="4117" r:id="rId9">
          <objectPr defaultSize="0" autoPict="0" r:id="rId10">
            <anchor moveWithCells="1">
              <from>
                <xdr:col>3</xdr:col>
                <xdr:colOff>137160</xdr:colOff>
                <xdr:row>57</xdr:row>
                <xdr:rowOff>137160</xdr:rowOff>
              </from>
              <to>
                <xdr:col>5</xdr:col>
                <xdr:colOff>38100</xdr:colOff>
                <xdr:row>59</xdr:row>
                <xdr:rowOff>60960</xdr:rowOff>
              </to>
            </anchor>
          </objectPr>
        </oleObject>
      </mc:Choice>
      <mc:Fallback>
        <oleObject progId="Equation.3" shapeId="4117" r:id="rId9"/>
      </mc:Fallback>
    </mc:AlternateContent>
    <mc:AlternateContent xmlns:mc="http://schemas.openxmlformats.org/markup-compatibility/2006">
      <mc:Choice Requires="x14">
        <oleObject progId="Equation.3" shapeId="4118" r:id="rId11">
          <objectPr defaultSize="0" autoPict="0" r:id="rId12">
            <anchor moveWithCells="1">
              <from>
                <xdr:col>3</xdr:col>
                <xdr:colOff>76200</xdr:colOff>
                <xdr:row>72</xdr:row>
                <xdr:rowOff>137160</xdr:rowOff>
              </from>
              <to>
                <xdr:col>5</xdr:col>
                <xdr:colOff>236220</xdr:colOff>
                <xdr:row>74</xdr:row>
                <xdr:rowOff>60960</xdr:rowOff>
              </to>
            </anchor>
          </objectPr>
        </oleObject>
      </mc:Choice>
      <mc:Fallback>
        <oleObject progId="Equation.3" shapeId="4118" r:id="rId11"/>
      </mc:Fallback>
    </mc:AlternateContent>
    <mc:AlternateContent xmlns:mc="http://schemas.openxmlformats.org/markup-compatibility/2006">
      <mc:Choice Requires="x14">
        <oleObject progId="Equation.3" shapeId="4120" r:id="rId13">
          <objectPr defaultSize="0" autoPict="0" r:id="rId14">
            <anchor moveWithCells="1">
              <from>
                <xdr:col>3</xdr:col>
                <xdr:colOff>83820</xdr:colOff>
                <xdr:row>87</xdr:row>
                <xdr:rowOff>114300</xdr:rowOff>
              </from>
              <to>
                <xdr:col>5</xdr:col>
                <xdr:colOff>365760</xdr:colOff>
                <xdr:row>89</xdr:row>
                <xdr:rowOff>114300</xdr:rowOff>
              </to>
            </anchor>
          </objectPr>
        </oleObject>
      </mc:Choice>
      <mc:Fallback>
        <oleObject progId="Equation.3" shapeId="4120" r:id="rId13"/>
      </mc:Fallback>
    </mc:AlternateContent>
    <mc:AlternateContent xmlns:mc="http://schemas.openxmlformats.org/markup-compatibility/2006">
      <mc:Choice Requires="x14">
        <oleObject progId="Equation.3" shapeId="4121" r:id="rId15">
          <objectPr defaultSize="0" autoPict="0" r:id="rId16">
            <anchor moveWithCells="1">
              <from>
                <xdr:col>3</xdr:col>
                <xdr:colOff>114300</xdr:colOff>
                <xdr:row>101</xdr:row>
                <xdr:rowOff>160020</xdr:rowOff>
              </from>
              <to>
                <xdr:col>5</xdr:col>
                <xdr:colOff>365760</xdr:colOff>
                <xdr:row>103</xdr:row>
                <xdr:rowOff>38100</xdr:rowOff>
              </to>
            </anchor>
          </objectPr>
        </oleObject>
      </mc:Choice>
      <mc:Fallback>
        <oleObject progId="Equation.3" shapeId="4121" r:id="rId15"/>
      </mc:Fallback>
    </mc:AlternateContent>
    <mc:AlternateContent xmlns:mc="http://schemas.openxmlformats.org/markup-compatibility/2006">
      <mc:Choice Requires="x14">
        <oleObject progId="Equation.3" shapeId="4122" r:id="rId17">
          <objectPr defaultSize="0" autoPict="0" r:id="rId18">
            <anchor moveWithCells="1">
              <from>
                <xdr:col>3</xdr:col>
                <xdr:colOff>160020</xdr:colOff>
                <xdr:row>115</xdr:row>
                <xdr:rowOff>22860</xdr:rowOff>
              </from>
              <to>
                <xdr:col>5</xdr:col>
                <xdr:colOff>198120</xdr:colOff>
                <xdr:row>117</xdr:row>
                <xdr:rowOff>99060</xdr:rowOff>
              </to>
            </anchor>
          </objectPr>
        </oleObject>
      </mc:Choice>
      <mc:Fallback>
        <oleObject progId="Equation.3" shapeId="4122" r:id="rId17"/>
      </mc:Fallback>
    </mc:AlternateContent>
    <mc:AlternateContent xmlns:mc="http://schemas.openxmlformats.org/markup-compatibility/2006">
      <mc:Choice Requires="x14">
        <oleObject progId="Equation.3" shapeId="4126" r:id="rId19">
          <objectPr defaultSize="0" autoPict="0" r:id="rId20">
            <anchor moveWithCells="1">
              <from>
                <xdr:col>3</xdr:col>
                <xdr:colOff>99060</xdr:colOff>
                <xdr:row>149</xdr:row>
                <xdr:rowOff>137160</xdr:rowOff>
              </from>
              <to>
                <xdr:col>6</xdr:col>
                <xdr:colOff>7620</xdr:colOff>
                <xdr:row>151</xdr:row>
                <xdr:rowOff>60960</xdr:rowOff>
              </to>
            </anchor>
          </objectPr>
        </oleObject>
      </mc:Choice>
      <mc:Fallback>
        <oleObject progId="Equation.3" shapeId="4126" r:id="rId19"/>
      </mc:Fallback>
    </mc:AlternateContent>
    <mc:AlternateContent xmlns:mc="http://schemas.openxmlformats.org/markup-compatibility/2006">
      <mc:Choice Requires="x14">
        <oleObject progId="Equation.3" shapeId="4127" r:id="rId21">
          <objectPr defaultSize="0" autoPict="0" r:id="rId22">
            <anchor moveWithCells="1">
              <from>
                <xdr:col>3</xdr:col>
                <xdr:colOff>99060</xdr:colOff>
                <xdr:row>190</xdr:row>
                <xdr:rowOff>68580</xdr:rowOff>
              </from>
              <to>
                <xdr:col>6</xdr:col>
                <xdr:colOff>312420</xdr:colOff>
                <xdr:row>192</xdr:row>
                <xdr:rowOff>152400</xdr:rowOff>
              </to>
            </anchor>
          </objectPr>
        </oleObject>
      </mc:Choice>
      <mc:Fallback>
        <oleObject progId="Equation.3" shapeId="4127" r:id="rId21"/>
      </mc:Fallback>
    </mc:AlternateContent>
    <mc:AlternateContent xmlns:mc="http://schemas.openxmlformats.org/markup-compatibility/2006">
      <mc:Choice Requires="x14">
        <oleObject progId="Equation.3" shapeId="4130" r:id="rId23">
          <objectPr defaultSize="0" autoPict="0" r:id="rId24">
            <anchor moveWithCells="1">
              <from>
                <xdr:col>3</xdr:col>
                <xdr:colOff>38100</xdr:colOff>
                <xdr:row>205</xdr:row>
                <xdr:rowOff>60960</xdr:rowOff>
              </from>
              <to>
                <xdr:col>6</xdr:col>
                <xdr:colOff>381000</xdr:colOff>
                <xdr:row>207</xdr:row>
                <xdr:rowOff>144780</xdr:rowOff>
              </to>
            </anchor>
          </objectPr>
        </oleObject>
      </mc:Choice>
      <mc:Fallback>
        <oleObject progId="Equation.3" shapeId="4130" r:id="rId23"/>
      </mc:Fallback>
    </mc:AlternateContent>
    <mc:AlternateContent xmlns:mc="http://schemas.openxmlformats.org/markup-compatibility/2006">
      <mc:Choice Requires="x14">
        <oleObject progId="Equation.3" shapeId="4152" r:id="rId25">
          <objectPr defaultSize="0" autoPict="0" r:id="rId26">
            <anchor moveWithCells="1">
              <from>
                <xdr:col>3</xdr:col>
                <xdr:colOff>251460</xdr:colOff>
                <xdr:row>164</xdr:row>
                <xdr:rowOff>99060</xdr:rowOff>
              </from>
              <to>
                <xdr:col>5</xdr:col>
                <xdr:colOff>327660</xdr:colOff>
                <xdr:row>166</xdr:row>
                <xdr:rowOff>22860</xdr:rowOff>
              </to>
            </anchor>
          </objectPr>
        </oleObject>
      </mc:Choice>
      <mc:Fallback>
        <oleObject progId="Equation.3" shapeId="4152" r:id="rId25"/>
      </mc:Fallback>
    </mc:AlternateContent>
  </oleObjects>
  <mc:AlternateContent xmlns:mc="http://schemas.openxmlformats.org/markup-compatibility/2006">
    <mc:Choice Requires="x14">
      <controls>
        <mc:AlternateContent xmlns:mc="http://schemas.openxmlformats.org/markup-compatibility/2006">
          <mc:Choice Requires="x14">
            <control shapeId="4099" r:id="rId27" name="Drop Down 3">
              <controlPr defaultSize="0" autoLine="0" autoPict="0">
                <anchor moveWithCells="1">
                  <from>
                    <xdr:col>8</xdr:col>
                    <xdr:colOff>312420</xdr:colOff>
                    <xdr:row>14</xdr:row>
                    <xdr:rowOff>22860</xdr:rowOff>
                  </from>
                  <to>
                    <xdr:col>12</xdr:col>
                    <xdr:colOff>0</xdr:colOff>
                    <xdr:row>15</xdr:row>
                    <xdr:rowOff>38100</xdr:rowOff>
                  </to>
                </anchor>
              </controlPr>
            </control>
          </mc:Choice>
        </mc:AlternateContent>
        <mc:AlternateContent xmlns:mc="http://schemas.openxmlformats.org/markup-compatibility/2006">
          <mc:Choice Requires="x14">
            <control shapeId="4110" r:id="rId28" name="Spinner 14">
              <controlPr defaultSize="0" autoPict="0">
                <anchor moveWithCells="1" sizeWithCells="1">
                  <from>
                    <xdr:col>11</xdr:col>
                    <xdr:colOff>335280</xdr:colOff>
                    <xdr:row>7</xdr:row>
                    <xdr:rowOff>83820</xdr:rowOff>
                  </from>
                  <to>
                    <xdr:col>12</xdr:col>
                    <xdr:colOff>0</xdr:colOff>
                    <xdr:row>9</xdr:row>
                    <xdr:rowOff>38100</xdr:rowOff>
                  </to>
                </anchor>
              </controlPr>
            </control>
          </mc:Choice>
        </mc:AlternateContent>
        <mc:AlternateContent xmlns:mc="http://schemas.openxmlformats.org/markup-compatibility/2006">
          <mc:Choice Requires="x14">
            <control shapeId="4112" r:id="rId29" name="Spinner 16">
              <controlPr defaultSize="0" autoPict="0">
                <anchor moveWithCells="1" sizeWithCells="1">
                  <from>
                    <xdr:col>11</xdr:col>
                    <xdr:colOff>335280</xdr:colOff>
                    <xdr:row>17</xdr:row>
                    <xdr:rowOff>99060</xdr:rowOff>
                  </from>
                  <to>
                    <xdr:col>12</xdr:col>
                    <xdr:colOff>0</xdr:colOff>
                    <xdr:row>19</xdr:row>
                    <xdr:rowOff>45720</xdr:rowOff>
                  </to>
                </anchor>
              </controlPr>
            </control>
          </mc:Choice>
        </mc:AlternateContent>
        <mc:AlternateContent xmlns:mc="http://schemas.openxmlformats.org/markup-compatibility/2006">
          <mc:Choice Requires="x14">
            <control shapeId="4113" r:id="rId30" name="Spinner 17">
              <controlPr defaultSize="0" autoPict="0">
                <anchor moveWithCells="1" sizeWithCells="1">
                  <from>
                    <xdr:col>11</xdr:col>
                    <xdr:colOff>335280</xdr:colOff>
                    <xdr:row>19</xdr:row>
                    <xdr:rowOff>99060</xdr:rowOff>
                  </from>
                  <to>
                    <xdr:col>12</xdr:col>
                    <xdr:colOff>0</xdr:colOff>
                    <xdr:row>21</xdr:row>
                    <xdr:rowOff>45720</xdr:rowOff>
                  </to>
                </anchor>
              </controlPr>
            </control>
          </mc:Choice>
        </mc:AlternateContent>
        <mc:AlternateContent xmlns:mc="http://schemas.openxmlformats.org/markup-compatibility/2006">
          <mc:Choice Requires="x14">
            <control shapeId="4114" r:id="rId31" name="Check Box 18">
              <controlPr defaultSize="0" autoFill="0" autoLine="0" autoPict="0">
                <anchor moveWithCells="1">
                  <from>
                    <xdr:col>11</xdr:col>
                    <xdr:colOff>175260</xdr:colOff>
                    <xdr:row>22</xdr:row>
                    <xdr:rowOff>160020</xdr:rowOff>
                  </from>
                  <to>
                    <xdr:col>12</xdr:col>
                    <xdr:colOff>30480</xdr:colOff>
                    <xdr:row>23</xdr:row>
                    <xdr:rowOff>160020</xdr:rowOff>
                  </to>
                </anchor>
              </controlPr>
            </control>
          </mc:Choice>
        </mc:AlternateContent>
        <mc:AlternateContent xmlns:mc="http://schemas.openxmlformats.org/markup-compatibility/2006">
          <mc:Choice Requires="x14">
            <control shapeId="4124" r:id="rId32" name="Drop Down 28">
              <controlPr defaultSize="0" autoLine="0" autoPict="0">
                <anchor moveWithCells="1">
                  <from>
                    <xdr:col>2</xdr:col>
                    <xdr:colOff>38100</xdr:colOff>
                    <xdr:row>139</xdr:row>
                    <xdr:rowOff>137160</xdr:rowOff>
                  </from>
                  <to>
                    <xdr:col>4</xdr:col>
                    <xdr:colOff>350520</xdr:colOff>
                    <xdr:row>140</xdr:row>
                    <xdr:rowOff>137160</xdr:rowOff>
                  </to>
                </anchor>
              </controlPr>
            </control>
          </mc:Choice>
        </mc:AlternateContent>
        <mc:AlternateContent xmlns:mc="http://schemas.openxmlformats.org/markup-compatibility/2006">
          <mc:Choice Requires="x14">
            <control shapeId="4125" r:id="rId33" name="Spinner 29">
              <controlPr defaultSize="0" autoPict="0">
                <anchor moveWithCells="1" sizeWithCells="1">
                  <from>
                    <xdr:col>7</xdr:col>
                    <xdr:colOff>297180</xdr:colOff>
                    <xdr:row>139</xdr:row>
                    <xdr:rowOff>30480</xdr:rowOff>
                  </from>
                  <to>
                    <xdr:col>8</xdr:col>
                    <xdr:colOff>144780</xdr:colOff>
                    <xdr:row>140</xdr:row>
                    <xdr:rowOff>160020</xdr:rowOff>
                  </to>
                </anchor>
              </controlPr>
            </control>
          </mc:Choice>
        </mc:AlternateContent>
        <mc:AlternateContent xmlns:mc="http://schemas.openxmlformats.org/markup-compatibility/2006">
          <mc:Choice Requires="x14">
            <control shapeId="4143" r:id="rId34" name="Spinner 47">
              <controlPr defaultSize="0" autoPict="0">
                <anchor moveWithCells="1" sizeWithCells="1">
                  <from>
                    <xdr:col>11</xdr:col>
                    <xdr:colOff>335280</xdr:colOff>
                    <xdr:row>24</xdr:row>
                    <xdr:rowOff>106680</xdr:rowOff>
                  </from>
                  <to>
                    <xdr:col>12</xdr:col>
                    <xdr:colOff>0</xdr:colOff>
                    <xdr:row>26</xdr:row>
                    <xdr:rowOff>60960</xdr:rowOff>
                  </to>
                </anchor>
              </controlPr>
            </control>
          </mc:Choice>
        </mc:AlternateContent>
        <mc:AlternateContent xmlns:mc="http://schemas.openxmlformats.org/markup-compatibility/2006">
          <mc:Choice Requires="x14">
            <control shapeId="4154" r:id="rId35" name="Spinner 58">
              <controlPr defaultSize="0" autoPict="0">
                <anchor moveWithCells="1" sizeWithCells="1">
                  <from>
                    <xdr:col>11</xdr:col>
                    <xdr:colOff>335280</xdr:colOff>
                    <xdr:row>9</xdr:row>
                    <xdr:rowOff>83820</xdr:rowOff>
                  </from>
                  <to>
                    <xdr:col>12</xdr:col>
                    <xdr:colOff>0</xdr:colOff>
                    <xdr:row>11</xdr:row>
                    <xdr:rowOff>38100</xdr:rowOff>
                  </to>
                </anchor>
              </controlPr>
            </control>
          </mc:Choice>
        </mc:AlternateContent>
        <mc:AlternateContent xmlns:mc="http://schemas.openxmlformats.org/markup-compatibility/2006">
          <mc:Choice Requires="x14">
            <control shapeId="4155" r:id="rId36" name="Spinner 59">
              <controlPr defaultSize="0" autoPict="0">
                <anchor moveWithCells="1" sizeWithCells="1">
                  <from>
                    <xdr:col>11</xdr:col>
                    <xdr:colOff>335280</xdr:colOff>
                    <xdr:row>11</xdr:row>
                    <xdr:rowOff>83820</xdr:rowOff>
                  </from>
                  <to>
                    <xdr:col>12</xdr:col>
                    <xdr:colOff>0</xdr:colOff>
                    <xdr:row>13</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2"/>
  <dimension ref="A1:X24"/>
  <sheetViews>
    <sheetView view="pageBreakPreview" zoomScale="70" zoomScaleNormal="70" zoomScaleSheetLayoutView="70" workbookViewId="0">
      <pane ySplit="24" topLeftCell="A26" activePane="bottomLeft" state="frozenSplit"/>
      <selection pane="bottomLeft" activeCell="P18" sqref="P18"/>
    </sheetView>
  </sheetViews>
  <sheetFormatPr defaultColWidth="10" defaultRowHeight="13.2"/>
  <cols>
    <col min="1" max="3" width="10" style="39" customWidth="1"/>
    <col min="4" max="4" width="11.19921875" style="39" customWidth="1"/>
    <col min="5" max="10" width="10" style="39" customWidth="1"/>
    <col min="11" max="11" width="2.19921875" style="39" customWidth="1"/>
    <col min="12" max="12" width="4.8984375" style="39" customWidth="1"/>
    <col min="13" max="13" width="12.59765625" style="39" customWidth="1"/>
    <col min="14" max="14" width="45.19921875" style="39" bestFit="1" customWidth="1"/>
    <col min="15" max="15" width="7.19921875" style="39" customWidth="1"/>
    <col min="16" max="16" width="11.09765625" style="39" customWidth="1"/>
    <col min="17" max="17" width="6.5" style="39" customWidth="1"/>
    <col min="18" max="18" width="46.59765625" style="39" customWidth="1"/>
    <col min="19" max="19" width="9.09765625" style="39" bestFit="1" customWidth="1"/>
    <col min="20" max="20" width="8.19921875" style="39" bestFit="1" customWidth="1"/>
    <col min="21" max="21" width="10.3984375" style="39" customWidth="1"/>
    <col min="22" max="22" width="25.3984375" style="39" hidden="1" customWidth="1"/>
    <col min="23" max="23" width="10" style="39" customWidth="1"/>
    <col min="24" max="24" width="6.09765625" style="39" customWidth="1"/>
    <col min="25" max="256" width="10" style="39"/>
    <col min="257" max="259" width="10" style="39" customWidth="1"/>
    <col min="260" max="260" width="11.19921875" style="39" customWidth="1"/>
    <col min="261" max="266" width="10" style="39" customWidth="1"/>
    <col min="267" max="267" width="2.19921875" style="39" customWidth="1"/>
    <col min="268" max="268" width="4.8984375" style="39" customWidth="1"/>
    <col min="269" max="269" width="12.59765625" style="39" customWidth="1"/>
    <col min="270" max="270" width="45.19921875" style="39" bestFit="1" customWidth="1"/>
    <col min="271" max="271" width="7.19921875" style="39" customWidth="1"/>
    <col min="272" max="272" width="11.09765625" style="39" customWidth="1"/>
    <col min="273" max="273" width="6.5" style="39" customWidth="1"/>
    <col min="274" max="274" width="46.59765625" style="39" customWidth="1"/>
    <col min="275" max="275" width="9.09765625" style="39" bestFit="1" customWidth="1"/>
    <col min="276" max="276" width="8.19921875" style="39" bestFit="1" customWidth="1"/>
    <col min="277" max="277" width="10.3984375" style="39" customWidth="1"/>
    <col min="278" max="278" width="0" style="39" hidden="1" customWidth="1"/>
    <col min="279" max="279" width="10" style="39" customWidth="1"/>
    <col min="280" max="280" width="6.09765625" style="39" customWidth="1"/>
    <col min="281" max="512" width="10" style="39"/>
    <col min="513" max="515" width="10" style="39" customWidth="1"/>
    <col min="516" max="516" width="11.19921875" style="39" customWidth="1"/>
    <col min="517" max="522" width="10" style="39" customWidth="1"/>
    <col min="523" max="523" width="2.19921875" style="39" customWidth="1"/>
    <col min="524" max="524" width="4.8984375" style="39" customWidth="1"/>
    <col min="525" max="525" width="12.59765625" style="39" customWidth="1"/>
    <col min="526" max="526" width="45.19921875" style="39" bestFit="1" customWidth="1"/>
    <col min="527" max="527" width="7.19921875" style="39" customWidth="1"/>
    <col min="528" max="528" width="11.09765625" style="39" customWidth="1"/>
    <col min="529" max="529" width="6.5" style="39" customWidth="1"/>
    <col min="530" max="530" width="46.59765625" style="39" customWidth="1"/>
    <col min="531" max="531" width="9.09765625" style="39" bestFit="1" customWidth="1"/>
    <col min="532" max="532" width="8.19921875" style="39" bestFit="1" customWidth="1"/>
    <col min="533" max="533" width="10.3984375" style="39" customWidth="1"/>
    <col min="534" max="534" width="0" style="39" hidden="1" customWidth="1"/>
    <col min="535" max="535" width="10" style="39" customWidth="1"/>
    <col min="536" max="536" width="6.09765625" style="39" customWidth="1"/>
    <col min="537" max="768" width="10" style="39"/>
    <col min="769" max="771" width="10" style="39" customWidth="1"/>
    <col min="772" max="772" width="11.19921875" style="39" customWidth="1"/>
    <col min="773" max="778" width="10" style="39" customWidth="1"/>
    <col min="779" max="779" width="2.19921875" style="39" customWidth="1"/>
    <col min="780" max="780" width="4.8984375" style="39" customWidth="1"/>
    <col min="781" max="781" width="12.59765625" style="39" customWidth="1"/>
    <col min="782" max="782" width="45.19921875" style="39" bestFit="1" customWidth="1"/>
    <col min="783" max="783" width="7.19921875" style="39" customWidth="1"/>
    <col min="784" max="784" width="11.09765625" style="39" customWidth="1"/>
    <col min="785" max="785" width="6.5" style="39" customWidth="1"/>
    <col min="786" max="786" width="46.59765625" style="39" customWidth="1"/>
    <col min="787" max="787" width="9.09765625" style="39" bestFit="1" customWidth="1"/>
    <col min="788" max="788" width="8.19921875" style="39" bestFit="1" customWidth="1"/>
    <col min="789" max="789" width="10.3984375" style="39" customWidth="1"/>
    <col min="790" max="790" width="0" style="39" hidden="1" customWidth="1"/>
    <col min="791" max="791" width="10" style="39" customWidth="1"/>
    <col min="792" max="792" width="6.09765625" style="39" customWidth="1"/>
    <col min="793" max="1024" width="10" style="39"/>
    <col min="1025" max="1027" width="10" style="39" customWidth="1"/>
    <col min="1028" max="1028" width="11.19921875" style="39" customWidth="1"/>
    <col min="1029" max="1034" width="10" style="39" customWidth="1"/>
    <col min="1035" max="1035" width="2.19921875" style="39" customWidth="1"/>
    <col min="1036" max="1036" width="4.8984375" style="39" customWidth="1"/>
    <col min="1037" max="1037" width="12.59765625" style="39" customWidth="1"/>
    <col min="1038" max="1038" width="45.19921875" style="39" bestFit="1" customWidth="1"/>
    <col min="1039" max="1039" width="7.19921875" style="39" customWidth="1"/>
    <col min="1040" max="1040" width="11.09765625" style="39" customWidth="1"/>
    <col min="1041" max="1041" width="6.5" style="39" customWidth="1"/>
    <col min="1042" max="1042" width="46.59765625" style="39" customWidth="1"/>
    <col min="1043" max="1043" width="9.09765625" style="39" bestFit="1" customWidth="1"/>
    <col min="1044" max="1044" width="8.19921875" style="39" bestFit="1" customWidth="1"/>
    <col min="1045" max="1045" width="10.3984375" style="39" customWidth="1"/>
    <col min="1046" max="1046" width="0" style="39" hidden="1" customWidth="1"/>
    <col min="1047" max="1047" width="10" style="39" customWidth="1"/>
    <col min="1048" max="1048" width="6.09765625" style="39" customWidth="1"/>
    <col min="1049" max="1280" width="10" style="39"/>
    <col min="1281" max="1283" width="10" style="39" customWidth="1"/>
    <col min="1284" max="1284" width="11.19921875" style="39" customWidth="1"/>
    <col min="1285" max="1290" width="10" style="39" customWidth="1"/>
    <col min="1291" max="1291" width="2.19921875" style="39" customWidth="1"/>
    <col min="1292" max="1292" width="4.8984375" style="39" customWidth="1"/>
    <col min="1293" max="1293" width="12.59765625" style="39" customWidth="1"/>
    <col min="1294" max="1294" width="45.19921875" style="39" bestFit="1" customWidth="1"/>
    <col min="1295" max="1295" width="7.19921875" style="39" customWidth="1"/>
    <col min="1296" max="1296" width="11.09765625" style="39" customWidth="1"/>
    <col min="1297" max="1297" width="6.5" style="39" customWidth="1"/>
    <col min="1298" max="1298" width="46.59765625" style="39" customWidth="1"/>
    <col min="1299" max="1299" width="9.09765625" style="39" bestFit="1" customWidth="1"/>
    <col min="1300" max="1300" width="8.19921875" style="39" bestFit="1" customWidth="1"/>
    <col min="1301" max="1301" width="10.3984375" style="39" customWidth="1"/>
    <col min="1302" max="1302" width="0" style="39" hidden="1" customWidth="1"/>
    <col min="1303" max="1303" width="10" style="39" customWidth="1"/>
    <col min="1304" max="1304" width="6.09765625" style="39" customWidth="1"/>
    <col min="1305" max="1536" width="10" style="39"/>
    <col min="1537" max="1539" width="10" style="39" customWidth="1"/>
    <col min="1540" max="1540" width="11.19921875" style="39" customWidth="1"/>
    <col min="1541" max="1546" width="10" style="39" customWidth="1"/>
    <col min="1547" max="1547" width="2.19921875" style="39" customWidth="1"/>
    <col min="1548" max="1548" width="4.8984375" style="39" customWidth="1"/>
    <col min="1549" max="1549" width="12.59765625" style="39" customWidth="1"/>
    <col min="1550" max="1550" width="45.19921875" style="39" bestFit="1" customWidth="1"/>
    <col min="1551" max="1551" width="7.19921875" style="39" customWidth="1"/>
    <col min="1552" max="1552" width="11.09765625" style="39" customWidth="1"/>
    <col min="1553" max="1553" width="6.5" style="39" customWidth="1"/>
    <col min="1554" max="1554" width="46.59765625" style="39" customWidth="1"/>
    <col min="1555" max="1555" width="9.09765625" style="39" bestFit="1" customWidth="1"/>
    <col min="1556" max="1556" width="8.19921875" style="39" bestFit="1" customWidth="1"/>
    <col min="1557" max="1557" width="10.3984375" style="39" customWidth="1"/>
    <col min="1558" max="1558" width="0" style="39" hidden="1" customWidth="1"/>
    <col min="1559" max="1559" width="10" style="39" customWidth="1"/>
    <col min="1560" max="1560" width="6.09765625" style="39" customWidth="1"/>
    <col min="1561" max="1792" width="10" style="39"/>
    <col min="1793" max="1795" width="10" style="39" customWidth="1"/>
    <col min="1796" max="1796" width="11.19921875" style="39" customWidth="1"/>
    <col min="1797" max="1802" width="10" style="39" customWidth="1"/>
    <col min="1803" max="1803" width="2.19921875" style="39" customWidth="1"/>
    <col min="1804" max="1804" width="4.8984375" style="39" customWidth="1"/>
    <col min="1805" max="1805" width="12.59765625" style="39" customWidth="1"/>
    <col min="1806" max="1806" width="45.19921875" style="39" bestFit="1" customWidth="1"/>
    <col min="1807" max="1807" width="7.19921875" style="39" customWidth="1"/>
    <col min="1808" max="1808" width="11.09765625" style="39" customWidth="1"/>
    <col min="1809" max="1809" width="6.5" style="39" customWidth="1"/>
    <col min="1810" max="1810" width="46.59765625" style="39" customWidth="1"/>
    <col min="1811" max="1811" width="9.09765625" style="39" bestFit="1" customWidth="1"/>
    <col min="1812" max="1812" width="8.19921875" style="39" bestFit="1" customWidth="1"/>
    <col min="1813" max="1813" width="10.3984375" style="39" customWidth="1"/>
    <col min="1814" max="1814" width="0" style="39" hidden="1" customWidth="1"/>
    <col min="1815" max="1815" width="10" style="39" customWidth="1"/>
    <col min="1816" max="1816" width="6.09765625" style="39" customWidth="1"/>
    <col min="1817" max="2048" width="10" style="39"/>
    <col min="2049" max="2051" width="10" style="39" customWidth="1"/>
    <col min="2052" max="2052" width="11.19921875" style="39" customWidth="1"/>
    <col min="2053" max="2058" width="10" style="39" customWidth="1"/>
    <col min="2059" max="2059" width="2.19921875" style="39" customWidth="1"/>
    <col min="2060" max="2060" width="4.8984375" style="39" customWidth="1"/>
    <col min="2061" max="2061" width="12.59765625" style="39" customWidth="1"/>
    <col min="2062" max="2062" width="45.19921875" style="39" bestFit="1" customWidth="1"/>
    <col min="2063" max="2063" width="7.19921875" style="39" customWidth="1"/>
    <col min="2064" max="2064" width="11.09765625" style="39" customWidth="1"/>
    <col min="2065" max="2065" width="6.5" style="39" customWidth="1"/>
    <col min="2066" max="2066" width="46.59765625" style="39" customWidth="1"/>
    <col min="2067" max="2067" width="9.09765625" style="39" bestFit="1" customWidth="1"/>
    <col min="2068" max="2068" width="8.19921875" style="39" bestFit="1" customWidth="1"/>
    <col min="2069" max="2069" width="10.3984375" style="39" customWidth="1"/>
    <col min="2070" max="2070" width="0" style="39" hidden="1" customWidth="1"/>
    <col min="2071" max="2071" width="10" style="39" customWidth="1"/>
    <col min="2072" max="2072" width="6.09765625" style="39" customWidth="1"/>
    <col min="2073" max="2304" width="10" style="39"/>
    <col min="2305" max="2307" width="10" style="39" customWidth="1"/>
    <col min="2308" max="2308" width="11.19921875" style="39" customWidth="1"/>
    <col min="2309" max="2314" width="10" style="39" customWidth="1"/>
    <col min="2315" max="2315" width="2.19921875" style="39" customWidth="1"/>
    <col min="2316" max="2316" width="4.8984375" style="39" customWidth="1"/>
    <col min="2317" max="2317" width="12.59765625" style="39" customWidth="1"/>
    <col min="2318" max="2318" width="45.19921875" style="39" bestFit="1" customWidth="1"/>
    <col min="2319" max="2319" width="7.19921875" style="39" customWidth="1"/>
    <col min="2320" max="2320" width="11.09765625" style="39" customWidth="1"/>
    <col min="2321" max="2321" width="6.5" style="39" customWidth="1"/>
    <col min="2322" max="2322" width="46.59765625" style="39" customWidth="1"/>
    <col min="2323" max="2323" width="9.09765625" style="39" bestFit="1" customWidth="1"/>
    <col min="2324" max="2324" width="8.19921875" style="39" bestFit="1" customWidth="1"/>
    <col min="2325" max="2325" width="10.3984375" style="39" customWidth="1"/>
    <col min="2326" max="2326" width="0" style="39" hidden="1" customWidth="1"/>
    <col min="2327" max="2327" width="10" style="39" customWidth="1"/>
    <col min="2328" max="2328" width="6.09765625" style="39" customWidth="1"/>
    <col min="2329" max="2560" width="10" style="39"/>
    <col min="2561" max="2563" width="10" style="39" customWidth="1"/>
    <col min="2564" max="2564" width="11.19921875" style="39" customWidth="1"/>
    <col min="2565" max="2570" width="10" style="39" customWidth="1"/>
    <col min="2571" max="2571" width="2.19921875" style="39" customWidth="1"/>
    <col min="2572" max="2572" width="4.8984375" style="39" customWidth="1"/>
    <col min="2573" max="2573" width="12.59765625" style="39" customWidth="1"/>
    <col min="2574" max="2574" width="45.19921875" style="39" bestFit="1" customWidth="1"/>
    <col min="2575" max="2575" width="7.19921875" style="39" customWidth="1"/>
    <col min="2576" max="2576" width="11.09765625" style="39" customWidth="1"/>
    <col min="2577" max="2577" width="6.5" style="39" customWidth="1"/>
    <col min="2578" max="2578" width="46.59765625" style="39" customWidth="1"/>
    <col min="2579" max="2579" width="9.09765625" style="39" bestFit="1" customWidth="1"/>
    <col min="2580" max="2580" width="8.19921875" style="39" bestFit="1" customWidth="1"/>
    <col min="2581" max="2581" width="10.3984375" style="39" customWidth="1"/>
    <col min="2582" max="2582" width="0" style="39" hidden="1" customWidth="1"/>
    <col min="2583" max="2583" width="10" style="39" customWidth="1"/>
    <col min="2584" max="2584" width="6.09765625" style="39" customWidth="1"/>
    <col min="2585" max="2816" width="10" style="39"/>
    <col min="2817" max="2819" width="10" style="39" customWidth="1"/>
    <col min="2820" max="2820" width="11.19921875" style="39" customWidth="1"/>
    <col min="2821" max="2826" width="10" style="39" customWidth="1"/>
    <col min="2827" max="2827" width="2.19921875" style="39" customWidth="1"/>
    <col min="2828" max="2828" width="4.8984375" style="39" customWidth="1"/>
    <col min="2829" max="2829" width="12.59765625" style="39" customWidth="1"/>
    <col min="2830" max="2830" width="45.19921875" style="39" bestFit="1" customWidth="1"/>
    <col min="2831" max="2831" width="7.19921875" style="39" customWidth="1"/>
    <col min="2832" max="2832" width="11.09765625" style="39" customWidth="1"/>
    <col min="2833" max="2833" width="6.5" style="39" customWidth="1"/>
    <col min="2834" max="2834" width="46.59765625" style="39" customWidth="1"/>
    <col min="2835" max="2835" width="9.09765625" style="39" bestFit="1" customWidth="1"/>
    <col min="2836" max="2836" width="8.19921875" style="39" bestFit="1" customWidth="1"/>
    <col min="2837" max="2837" width="10.3984375" style="39" customWidth="1"/>
    <col min="2838" max="2838" width="0" style="39" hidden="1" customWidth="1"/>
    <col min="2839" max="2839" width="10" style="39" customWidth="1"/>
    <col min="2840" max="2840" width="6.09765625" style="39" customWidth="1"/>
    <col min="2841" max="3072" width="10" style="39"/>
    <col min="3073" max="3075" width="10" style="39" customWidth="1"/>
    <col min="3076" max="3076" width="11.19921875" style="39" customWidth="1"/>
    <col min="3077" max="3082" width="10" style="39" customWidth="1"/>
    <col min="3083" max="3083" width="2.19921875" style="39" customWidth="1"/>
    <col min="3084" max="3084" width="4.8984375" style="39" customWidth="1"/>
    <col min="3085" max="3085" width="12.59765625" style="39" customWidth="1"/>
    <col min="3086" max="3086" width="45.19921875" style="39" bestFit="1" customWidth="1"/>
    <col min="3087" max="3087" width="7.19921875" style="39" customWidth="1"/>
    <col min="3088" max="3088" width="11.09765625" style="39" customWidth="1"/>
    <col min="3089" max="3089" width="6.5" style="39" customWidth="1"/>
    <col min="3090" max="3090" width="46.59765625" style="39" customWidth="1"/>
    <col min="3091" max="3091" width="9.09765625" style="39" bestFit="1" customWidth="1"/>
    <col min="3092" max="3092" width="8.19921875" style="39" bestFit="1" customWidth="1"/>
    <col min="3093" max="3093" width="10.3984375" style="39" customWidth="1"/>
    <col min="3094" max="3094" width="0" style="39" hidden="1" customWidth="1"/>
    <col min="3095" max="3095" width="10" style="39" customWidth="1"/>
    <col min="3096" max="3096" width="6.09765625" style="39" customWidth="1"/>
    <col min="3097" max="3328" width="10" style="39"/>
    <col min="3329" max="3331" width="10" style="39" customWidth="1"/>
    <col min="3332" max="3332" width="11.19921875" style="39" customWidth="1"/>
    <col min="3333" max="3338" width="10" style="39" customWidth="1"/>
    <col min="3339" max="3339" width="2.19921875" style="39" customWidth="1"/>
    <col min="3340" max="3340" width="4.8984375" style="39" customWidth="1"/>
    <col min="3341" max="3341" width="12.59765625" style="39" customWidth="1"/>
    <col min="3342" max="3342" width="45.19921875" style="39" bestFit="1" customWidth="1"/>
    <col min="3343" max="3343" width="7.19921875" style="39" customWidth="1"/>
    <col min="3344" max="3344" width="11.09765625" style="39" customWidth="1"/>
    <col min="3345" max="3345" width="6.5" style="39" customWidth="1"/>
    <col min="3346" max="3346" width="46.59765625" style="39" customWidth="1"/>
    <col min="3347" max="3347" width="9.09765625" style="39" bestFit="1" customWidth="1"/>
    <col min="3348" max="3348" width="8.19921875" style="39" bestFit="1" customWidth="1"/>
    <col min="3349" max="3349" width="10.3984375" style="39" customWidth="1"/>
    <col min="3350" max="3350" width="0" style="39" hidden="1" customWidth="1"/>
    <col min="3351" max="3351" width="10" style="39" customWidth="1"/>
    <col min="3352" max="3352" width="6.09765625" style="39" customWidth="1"/>
    <col min="3353" max="3584" width="10" style="39"/>
    <col min="3585" max="3587" width="10" style="39" customWidth="1"/>
    <col min="3588" max="3588" width="11.19921875" style="39" customWidth="1"/>
    <col min="3589" max="3594" width="10" style="39" customWidth="1"/>
    <col min="3595" max="3595" width="2.19921875" style="39" customWidth="1"/>
    <col min="3596" max="3596" width="4.8984375" style="39" customWidth="1"/>
    <col min="3597" max="3597" width="12.59765625" style="39" customWidth="1"/>
    <col min="3598" max="3598" width="45.19921875" style="39" bestFit="1" customWidth="1"/>
    <col min="3599" max="3599" width="7.19921875" style="39" customWidth="1"/>
    <col min="3600" max="3600" width="11.09765625" style="39" customWidth="1"/>
    <col min="3601" max="3601" width="6.5" style="39" customWidth="1"/>
    <col min="3602" max="3602" width="46.59765625" style="39" customWidth="1"/>
    <col min="3603" max="3603" width="9.09765625" style="39" bestFit="1" customWidth="1"/>
    <col min="3604" max="3604" width="8.19921875" style="39" bestFit="1" customWidth="1"/>
    <col min="3605" max="3605" width="10.3984375" style="39" customWidth="1"/>
    <col min="3606" max="3606" width="0" style="39" hidden="1" customWidth="1"/>
    <col min="3607" max="3607" width="10" style="39" customWidth="1"/>
    <col min="3608" max="3608" width="6.09765625" style="39" customWidth="1"/>
    <col min="3609" max="3840" width="10" style="39"/>
    <col min="3841" max="3843" width="10" style="39" customWidth="1"/>
    <col min="3844" max="3844" width="11.19921875" style="39" customWidth="1"/>
    <col min="3845" max="3850" width="10" style="39" customWidth="1"/>
    <col min="3851" max="3851" width="2.19921875" style="39" customWidth="1"/>
    <col min="3852" max="3852" width="4.8984375" style="39" customWidth="1"/>
    <col min="3853" max="3853" width="12.59765625" style="39" customWidth="1"/>
    <col min="3854" max="3854" width="45.19921875" style="39" bestFit="1" customWidth="1"/>
    <col min="3855" max="3855" width="7.19921875" style="39" customWidth="1"/>
    <col min="3856" max="3856" width="11.09765625" style="39" customWidth="1"/>
    <col min="3857" max="3857" width="6.5" style="39" customWidth="1"/>
    <col min="3858" max="3858" width="46.59765625" style="39" customWidth="1"/>
    <col min="3859" max="3859" width="9.09765625" style="39" bestFit="1" customWidth="1"/>
    <col min="3860" max="3860" width="8.19921875" style="39" bestFit="1" customWidth="1"/>
    <col min="3861" max="3861" width="10.3984375" style="39" customWidth="1"/>
    <col min="3862" max="3862" width="0" style="39" hidden="1" customWidth="1"/>
    <col min="3863" max="3863" width="10" style="39" customWidth="1"/>
    <col min="3864" max="3864" width="6.09765625" style="39" customWidth="1"/>
    <col min="3865" max="4096" width="10" style="39"/>
    <col min="4097" max="4099" width="10" style="39" customWidth="1"/>
    <col min="4100" max="4100" width="11.19921875" style="39" customWidth="1"/>
    <col min="4101" max="4106" width="10" style="39" customWidth="1"/>
    <col min="4107" max="4107" width="2.19921875" style="39" customWidth="1"/>
    <col min="4108" max="4108" width="4.8984375" style="39" customWidth="1"/>
    <col min="4109" max="4109" width="12.59765625" style="39" customWidth="1"/>
    <col min="4110" max="4110" width="45.19921875" style="39" bestFit="1" customWidth="1"/>
    <col min="4111" max="4111" width="7.19921875" style="39" customWidth="1"/>
    <col min="4112" max="4112" width="11.09765625" style="39" customWidth="1"/>
    <col min="4113" max="4113" width="6.5" style="39" customWidth="1"/>
    <col min="4114" max="4114" width="46.59765625" style="39" customWidth="1"/>
    <col min="4115" max="4115" width="9.09765625" style="39" bestFit="1" customWidth="1"/>
    <col min="4116" max="4116" width="8.19921875" style="39" bestFit="1" customWidth="1"/>
    <col min="4117" max="4117" width="10.3984375" style="39" customWidth="1"/>
    <col min="4118" max="4118" width="0" style="39" hidden="1" customWidth="1"/>
    <col min="4119" max="4119" width="10" style="39" customWidth="1"/>
    <col min="4120" max="4120" width="6.09765625" style="39" customWidth="1"/>
    <col min="4121" max="4352" width="10" style="39"/>
    <col min="4353" max="4355" width="10" style="39" customWidth="1"/>
    <col min="4356" max="4356" width="11.19921875" style="39" customWidth="1"/>
    <col min="4357" max="4362" width="10" style="39" customWidth="1"/>
    <col min="4363" max="4363" width="2.19921875" style="39" customWidth="1"/>
    <col min="4364" max="4364" width="4.8984375" style="39" customWidth="1"/>
    <col min="4365" max="4365" width="12.59765625" style="39" customWidth="1"/>
    <col min="4366" max="4366" width="45.19921875" style="39" bestFit="1" customWidth="1"/>
    <col min="4367" max="4367" width="7.19921875" style="39" customWidth="1"/>
    <col min="4368" max="4368" width="11.09765625" style="39" customWidth="1"/>
    <col min="4369" max="4369" width="6.5" style="39" customWidth="1"/>
    <col min="4370" max="4370" width="46.59765625" style="39" customWidth="1"/>
    <col min="4371" max="4371" width="9.09765625" style="39" bestFit="1" customWidth="1"/>
    <col min="4372" max="4372" width="8.19921875" style="39" bestFit="1" customWidth="1"/>
    <col min="4373" max="4373" width="10.3984375" style="39" customWidth="1"/>
    <col min="4374" max="4374" width="0" style="39" hidden="1" customWidth="1"/>
    <col min="4375" max="4375" width="10" style="39" customWidth="1"/>
    <col min="4376" max="4376" width="6.09765625" style="39" customWidth="1"/>
    <col min="4377" max="4608" width="10" style="39"/>
    <col min="4609" max="4611" width="10" style="39" customWidth="1"/>
    <col min="4612" max="4612" width="11.19921875" style="39" customWidth="1"/>
    <col min="4613" max="4618" width="10" style="39" customWidth="1"/>
    <col min="4619" max="4619" width="2.19921875" style="39" customWidth="1"/>
    <col min="4620" max="4620" width="4.8984375" style="39" customWidth="1"/>
    <col min="4621" max="4621" width="12.59765625" style="39" customWidth="1"/>
    <col min="4622" max="4622" width="45.19921875" style="39" bestFit="1" customWidth="1"/>
    <col min="4623" max="4623" width="7.19921875" style="39" customWidth="1"/>
    <col min="4624" max="4624" width="11.09765625" style="39" customWidth="1"/>
    <col min="4625" max="4625" width="6.5" style="39" customWidth="1"/>
    <col min="4626" max="4626" width="46.59765625" style="39" customWidth="1"/>
    <col min="4627" max="4627" width="9.09765625" style="39" bestFit="1" customWidth="1"/>
    <col min="4628" max="4628" width="8.19921875" style="39" bestFit="1" customWidth="1"/>
    <col min="4629" max="4629" width="10.3984375" style="39" customWidth="1"/>
    <col min="4630" max="4630" width="0" style="39" hidden="1" customWidth="1"/>
    <col min="4631" max="4631" width="10" style="39" customWidth="1"/>
    <col min="4632" max="4632" width="6.09765625" style="39" customWidth="1"/>
    <col min="4633" max="4864" width="10" style="39"/>
    <col min="4865" max="4867" width="10" style="39" customWidth="1"/>
    <col min="4868" max="4868" width="11.19921875" style="39" customWidth="1"/>
    <col min="4869" max="4874" width="10" style="39" customWidth="1"/>
    <col min="4875" max="4875" width="2.19921875" style="39" customWidth="1"/>
    <col min="4876" max="4876" width="4.8984375" style="39" customWidth="1"/>
    <col min="4877" max="4877" width="12.59765625" style="39" customWidth="1"/>
    <col min="4878" max="4878" width="45.19921875" style="39" bestFit="1" customWidth="1"/>
    <col min="4879" max="4879" width="7.19921875" style="39" customWidth="1"/>
    <col min="4880" max="4880" width="11.09765625" style="39" customWidth="1"/>
    <col min="4881" max="4881" width="6.5" style="39" customWidth="1"/>
    <col min="4882" max="4882" width="46.59765625" style="39" customWidth="1"/>
    <col min="4883" max="4883" width="9.09765625" style="39" bestFit="1" customWidth="1"/>
    <col min="4884" max="4884" width="8.19921875" style="39" bestFit="1" customWidth="1"/>
    <col min="4885" max="4885" width="10.3984375" style="39" customWidth="1"/>
    <col min="4886" max="4886" width="0" style="39" hidden="1" customWidth="1"/>
    <col min="4887" max="4887" width="10" style="39" customWidth="1"/>
    <col min="4888" max="4888" width="6.09765625" style="39" customWidth="1"/>
    <col min="4889" max="5120" width="10" style="39"/>
    <col min="5121" max="5123" width="10" style="39" customWidth="1"/>
    <col min="5124" max="5124" width="11.19921875" style="39" customWidth="1"/>
    <col min="5125" max="5130" width="10" style="39" customWidth="1"/>
    <col min="5131" max="5131" width="2.19921875" style="39" customWidth="1"/>
    <col min="5132" max="5132" width="4.8984375" style="39" customWidth="1"/>
    <col min="5133" max="5133" width="12.59765625" style="39" customWidth="1"/>
    <col min="5134" max="5134" width="45.19921875" style="39" bestFit="1" customWidth="1"/>
    <col min="5135" max="5135" width="7.19921875" style="39" customWidth="1"/>
    <col min="5136" max="5136" width="11.09765625" style="39" customWidth="1"/>
    <col min="5137" max="5137" width="6.5" style="39" customWidth="1"/>
    <col min="5138" max="5138" width="46.59765625" style="39" customWidth="1"/>
    <col min="5139" max="5139" width="9.09765625" style="39" bestFit="1" customWidth="1"/>
    <col min="5140" max="5140" width="8.19921875" style="39" bestFit="1" customWidth="1"/>
    <col min="5141" max="5141" width="10.3984375" style="39" customWidth="1"/>
    <col min="5142" max="5142" width="0" style="39" hidden="1" customWidth="1"/>
    <col min="5143" max="5143" width="10" style="39" customWidth="1"/>
    <col min="5144" max="5144" width="6.09765625" style="39" customWidth="1"/>
    <col min="5145" max="5376" width="10" style="39"/>
    <col min="5377" max="5379" width="10" style="39" customWidth="1"/>
    <col min="5380" max="5380" width="11.19921875" style="39" customWidth="1"/>
    <col min="5381" max="5386" width="10" style="39" customWidth="1"/>
    <col min="5387" max="5387" width="2.19921875" style="39" customWidth="1"/>
    <col min="5388" max="5388" width="4.8984375" style="39" customWidth="1"/>
    <col min="5389" max="5389" width="12.59765625" style="39" customWidth="1"/>
    <col min="5390" max="5390" width="45.19921875" style="39" bestFit="1" customWidth="1"/>
    <col min="5391" max="5391" width="7.19921875" style="39" customWidth="1"/>
    <col min="5392" max="5392" width="11.09765625" style="39" customWidth="1"/>
    <col min="5393" max="5393" width="6.5" style="39" customWidth="1"/>
    <col min="5394" max="5394" width="46.59765625" style="39" customWidth="1"/>
    <col min="5395" max="5395" width="9.09765625" style="39" bestFit="1" customWidth="1"/>
    <col min="5396" max="5396" width="8.19921875" style="39" bestFit="1" customWidth="1"/>
    <col min="5397" max="5397" width="10.3984375" style="39" customWidth="1"/>
    <col min="5398" max="5398" width="0" style="39" hidden="1" customWidth="1"/>
    <col min="5399" max="5399" width="10" style="39" customWidth="1"/>
    <col min="5400" max="5400" width="6.09765625" style="39" customWidth="1"/>
    <col min="5401" max="5632" width="10" style="39"/>
    <col min="5633" max="5635" width="10" style="39" customWidth="1"/>
    <col min="5636" max="5636" width="11.19921875" style="39" customWidth="1"/>
    <col min="5637" max="5642" width="10" style="39" customWidth="1"/>
    <col min="5643" max="5643" width="2.19921875" style="39" customWidth="1"/>
    <col min="5644" max="5644" width="4.8984375" style="39" customWidth="1"/>
    <col min="5645" max="5645" width="12.59765625" style="39" customWidth="1"/>
    <col min="5646" max="5646" width="45.19921875" style="39" bestFit="1" customWidth="1"/>
    <col min="5647" max="5647" width="7.19921875" style="39" customWidth="1"/>
    <col min="5648" max="5648" width="11.09765625" style="39" customWidth="1"/>
    <col min="5649" max="5649" width="6.5" style="39" customWidth="1"/>
    <col min="5650" max="5650" width="46.59765625" style="39" customWidth="1"/>
    <col min="5651" max="5651" width="9.09765625" style="39" bestFit="1" customWidth="1"/>
    <col min="5652" max="5652" width="8.19921875" style="39" bestFit="1" customWidth="1"/>
    <col min="5653" max="5653" width="10.3984375" style="39" customWidth="1"/>
    <col min="5654" max="5654" width="0" style="39" hidden="1" customWidth="1"/>
    <col min="5655" max="5655" width="10" style="39" customWidth="1"/>
    <col min="5656" max="5656" width="6.09765625" style="39" customWidth="1"/>
    <col min="5657" max="5888" width="10" style="39"/>
    <col min="5889" max="5891" width="10" style="39" customWidth="1"/>
    <col min="5892" max="5892" width="11.19921875" style="39" customWidth="1"/>
    <col min="5893" max="5898" width="10" style="39" customWidth="1"/>
    <col min="5899" max="5899" width="2.19921875" style="39" customWidth="1"/>
    <col min="5900" max="5900" width="4.8984375" style="39" customWidth="1"/>
    <col min="5901" max="5901" width="12.59765625" style="39" customWidth="1"/>
    <col min="5902" max="5902" width="45.19921875" style="39" bestFit="1" customWidth="1"/>
    <col min="5903" max="5903" width="7.19921875" style="39" customWidth="1"/>
    <col min="5904" max="5904" width="11.09765625" style="39" customWidth="1"/>
    <col min="5905" max="5905" width="6.5" style="39" customWidth="1"/>
    <col min="5906" max="5906" width="46.59765625" style="39" customWidth="1"/>
    <col min="5907" max="5907" width="9.09765625" style="39" bestFit="1" customWidth="1"/>
    <col min="5908" max="5908" width="8.19921875" style="39" bestFit="1" customWidth="1"/>
    <col min="5909" max="5909" width="10.3984375" style="39" customWidth="1"/>
    <col min="5910" max="5910" width="0" style="39" hidden="1" customWidth="1"/>
    <col min="5911" max="5911" width="10" style="39" customWidth="1"/>
    <col min="5912" max="5912" width="6.09765625" style="39" customWidth="1"/>
    <col min="5913" max="6144" width="10" style="39"/>
    <col min="6145" max="6147" width="10" style="39" customWidth="1"/>
    <col min="6148" max="6148" width="11.19921875" style="39" customWidth="1"/>
    <col min="6149" max="6154" width="10" style="39" customWidth="1"/>
    <col min="6155" max="6155" width="2.19921875" style="39" customWidth="1"/>
    <col min="6156" max="6156" width="4.8984375" style="39" customWidth="1"/>
    <col min="6157" max="6157" width="12.59765625" style="39" customWidth="1"/>
    <col min="6158" max="6158" width="45.19921875" style="39" bestFit="1" customWidth="1"/>
    <col min="6159" max="6159" width="7.19921875" style="39" customWidth="1"/>
    <col min="6160" max="6160" width="11.09765625" style="39" customWidth="1"/>
    <col min="6161" max="6161" width="6.5" style="39" customWidth="1"/>
    <col min="6162" max="6162" width="46.59765625" style="39" customWidth="1"/>
    <col min="6163" max="6163" width="9.09765625" style="39" bestFit="1" customWidth="1"/>
    <col min="6164" max="6164" width="8.19921875" style="39" bestFit="1" customWidth="1"/>
    <col min="6165" max="6165" width="10.3984375" style="39" customWidth="1"/>
    <col min="6166" max="6166" width="0" style="39" hidden="1" customWidth="1"/>
    <col min="6167" max="6167" width="10" style="39" customWidth="1"/>
    <col min="6168" max="6168" width="6.09765625" style="39" customWidth="1"/>
    <col min="6169" max="6400" width="10" style="39"/>
    <col min="6401" max="6403" width="10" style="39" customWidth="1"/>
    <col min="6404" max="6404" width="11.19921875" style="39" customWidth="1"/>
    <col min="6405" max="6410" width="10" style="39" customWidth="1"/>
    <col min="6411" max="6411" width="2.19921875" style="39" customWidth="1"/>
    <col min="6412" max="6412" width="4.8984375" style="39" customWidth="1"/>
    <col min="6413" max="6413" width="12.59765625" style="39" customWidth="1"/>
    <col min="6414" max="6414" width="45.19921875" style="39" bestFit="1" customWidth="1"/>
    <col min="6415" max="6415" width="7.19921875" style="39" customWidth="1"/>
    <col min="6416" max="6416" width="11.09765625" style="39" customWidth="1"/>
    <col min="6417" max="6417" width="6.5" style="39" customWidth="1"/>
    <col min="6418" max="6418" width="46.59765625" style="39" customWidth="1"/>
    <col min="6419" max="6419" width="9.09765625" style="39" bestFit="1" customWidth="1"/>
    <col min="6420" max="6420" width="8.19921875" style="39" bestFit="1" customWidth="1"/>
    <col min="6421" max="6421" width="10.3984375" style="39" customWidth="1"/>
    <col min="6422" max="6422" width="0" style="39" hidden="1" customWidth="1"/>
    <col min="6423" max="6423" width="10" style="39" customWidth="1"/>
    <col min="6424" max="6424" width="6.09765625" style="39" customWidth="1"/>
    <col min="6425" max="6656" width="10" style="39"/>
    <col min="6657" max="6659" width="10" style="39" customWidth="1"/>
    <col min="6660" max="6660" width="11.19921875" style="39" customWidth="1"/>
    <col min="6661" max="6666" width="10" style="39" customWidth="1"/>
    <col min="6667" max="6667" width="2.19921875" style="39" customWidth="1"/>
    <col min="6668" max="6668" width="4.8984375" style="39" customWidth="1"/>
    <col min="6669" max="6669" width="12.59765625" style="39" customWidth="1"/>
    <col min="6670" max="6670" width="45.19921875" style="39" bestFit="1" customWidth="1"/>
    <col min="6671" max="6671" width="7.19921875" style="39" customWidth="1"/>
    <col min="6672" max="6672" width="11.09765625" style="39" customWidth="1"/>
    <col min="6673" max="6673" width="6.5" style="39" customWidth="1"/>
    <col min="6674" max="6674" width="46.59765625" style="39" customWidth="1"/>
    <col min="6675" max="6675" width="9.09765625" style="39" bestFit="1" customWidth="1"/>
    <col min="6676" max="6676" width="8.19921875" style="39" bestFit="1" customWidth="1"/>
    <col min="6677" max="6677" width="10.3984375" style="39" customWidth="1"/>
    <col min="6678" max="6678" width="0" style="39" hidden="1" customWidth="1"/>
    <col min="6679" max="6679" width="10" style="39" customWidth="1"/>
    <col min="6680" max="6680" width="6.09765625" style="39" customWidth="1"/>
    <col min="6681" max="6912" width="10" style="39"/>
    <col min="6913" max="6915" width="10" style="39" customWidth="1"/>
    <col min="6916" max="6916" width="11.19921875" style="39" customWidth="1"/>
    <col min="6917" max="6922" width="10" style="39" customWidth="1"/>
    <col min="6923" max="6923" width="2.19921875" style="39" customWidth="1"/>
    <col min="6924" max="6924" width="4.8984375" style="39" customWidth="1"/>
    <col min="6925" max="6925" width="12.59765625" style="39" customWidth="1"/>
    <col min="6926" max="6926" width="45.19921875" style="39" bestFit="1" customWidth="1"/>
    <col min="6927" max="6927" width="7.19921875" style="39" customWidth="1"/>
    <col min="6928" max="6928" width="11.09765625" style="39" customWidth="1"/>
    <col min="6929" max="6929" width="6.5" style="39" customWidth="1"/>
    <col min="6930" max="6930" width="46.59765625" style="39" customWidth="1"/>
    <col min="6931" max="6931" width="9.09765625" style="39" bestFit="1" customWidth="1"/>
    <col min="6932" max="6932" width="8.19921875" style="39" bestFit="1" customWidth="1"/>
    <col min="6933" max="6933" width="10.3984375" style="39" customWidth="1"/>
    <col min="6934" max="6934" width="0" style="39" hidden="1" customWidth="1"/>
    <col min="6935" max="6935" width="10" style="39" customWidth="1"/>
    <col min="6936" max="6936" width="6.09765625" style="39" customWidth="1"/>
    <col min="6937" max="7168" width="10" style="39"/>
    <col min="7169" max="7171" width="10" style="39" customWidth="1"/>
    <col min="7172" max="7172" width="11.19921875" style="39" customWidth="1"/>
    <col min="7173" max="7178" width="10" style="39" customWidth="1"/>
    <col min="7179" max="7179" width="2.19921875" style="39" customWidth="1"/>
    <col min="7180" max="7180" width="4.8984375" style="39" customWidth="1"/>
    <col min="7181" max="7181" width="12.59765625" style="39" customWidth="1"/>
    <col min="7182" max="7182" width="45.19921875" style="39" bestFit="1" customWidth="1"/>
    <col min="7183" max="7183" width="7.19921875" style="39" customWidth="1"/>
    <col min="7184" max="7184" width="11.09765625" style="39" customWidth="1"/>
    <col min="7185" max="7185" width="6.5" style="39" customWidth="1"/>
    <col min="7186" max="7186" width="46.59765625" style="39" customWidth="1"/>
    <col min="7187" max="7187" width="9.09765625" style="39" bestFit="1" customWidth="1"/>
    <col min="7188" max="7188" width="8.19921875" style="39" bestFit="1" customWidth="1"/>
    <col min="7189" max="7189" width="10.3984375" style="39" customWidth="1"/>
    <col min="7190" max="7190" width="0" style="39" hidden="1" customWidth="1"/>
    <col min="7191" max="7191" width="10" style="39" customWidth="1"/>
    <col min="7192" max="7192" width="6.09765625" style="39" customWidth="1"/>
    <col min="7193" max="7424" width="10" style="39"/>
    <col min="7425" max="7427" width="10" style="39" customWidth="1"/>
    <col min="7428" max="7428" width="11.19921875" style="39" customWidth="1"/>
    <col min="7429" max="7434" width="10" style="39" customWidth="1"/>
    <col min="7435" max="7435" width="2.19921875" style="39" customWidth="1"/>
    <col min="7436" max="7436" width="4.8984375" style="39" customWidth="1"/>
    <col min="7437" max="7437" width="12.59765625" style="39" customWidth="1"/>
    <col min="7438" max="7438" width="45.19921875" style="39" bestFit="1" customWidth="1"/>
    <col min="7439" max="7439" width="7.19921875" style="39" customWidth="1"/>
    <col min="7440" max="7440" width="11.09765625" style="39" customWidth="1"/>
    <col min="7441" max="7441" width="6.5" style="39" customWidth="1"/>
    <col min="7442" max="7442" width="46.59765625" style="39" customWidth="1"/>
    <col min="7443" max="7443" width="9.09765625" style="39" bestFit="1" customWidth="1"/>
    <col min="7444" max="7444" width="8.19921875" style="39" bestFit="1" customWidth="1"/>
    <col min="7445" max="7445" width="10.3984375" style="39" customWidth="1"/>
    <col min="7446" max="7446" width="0" style="39" hidden="1" customWidth="1"/>
    <col min="7447" max="7447" width="10" style="39" customWidth="1"/>
    <col min="7448" max="7448" width="6.09765625" style="39" customWidth="1"/>
    <col min="7449" max="7680" width="10" style="39"/>
    <col min="7681" max="7683" width="10" style="39" customWidth="1"/>
    <col min="7684" max="7684" width="11.19921875" style="39" customWidth="1"/>
    <col min="7685" max="7690" width="10" style="39" customWidth="1"/>
    <col min="7691" max="7691" width="2.19921875" style="39" customWidth="1"/>
    <col min="7692" max="7692" width="4.8984375" style="39" customWidth="1"/>
    <col min="7693" max="7693" width="12.59765625" style="39" customWidth="1"/>
    <col min="7694" max="7694" width="45.19921875" style="39" bestFit="1" customWidth="1"/>
    <col min="7695" max="7695" width="7.19921875" style="39" customWidth="1"/>
    <col min="7696" max="7696" width="11.09765625" style="39" customWidth="1"/>
    <col min="7697" max="7697" width="6.5" style="39" customWidth="1"/>
    <col min="7698" max="7698" width="46.59765625" style="39" customWidth="1"/>
    <col min="7699" max="7699" width="9.09765625" style="39" bestFit="1" customWidth="1"/>
    <col min="7700" max="7700" width="8.19921875" style="39" bestFit="1" customWidth="1"/>
    <col min="7701" max="7701" width="10.3984375" style="39" customWidth="1"/>
    <col min="7702" max="7702" width="0" style="39" hidden="1" customWidth="1"/>
    <col min="7703" max="7703" width="10" style="39" customWidth="1"/>
    <col min="7704" max="7704" width="6.09765625" style="39" customWidth="1"/>
    <col min="7705" max="7936" width="10" style="39"/>
    <col min="7937" max="7939" width="10" style="39" customWidth="1"/>
    <col min="7940" max="7940" width="11.19921875" style="39" customWidth="1"/>
    <col min="7941" max="7946" width="10" style="39" customWidth="1"/>
    <col min="7947" max="7947" width="2.19921875" style="39" customWidth="1"/>
    <col min="7948" max="7948" width="4.8984375" style="39" customWidth="1"/>
    <col min="7949" max="7949" width="12.59765625" style="39" customWidth="1"/>
    <col min="7950" max="7950" width="45.19921875" style="39" bestFit="1" customWidth="1"/>
    <col min="7951" max="7951" width="7.19921875" style="39" customWidth="1"/>
    <col min="7952" max="7952" width="11.09765625" style="39" customWidth="1"/>
    <col min="7953" max="7953" width="6.5" style="39" customWidth="1"/>
    <col min="7954" max="7954" width="46.59765625" style="39" customWidth="1"/>
    <col min="7955" max="7955" width="9.09765625" style="39" bestFit="1" customWidth="1"/>
    <col min="7956" max="7956" width="8.19921875" style="39" bestFit="1" customWidth="1"/>
    <col min="7957" max="7957" width="10.3984375" style="39" customWidth="1"/>
    <col min="7958" max="7958" width="0" style="39" hidden="1" customWidth="1"/>
    <col min="7959" max="7959" width="10" style="39" customWidth="1"/>
    <col min="7960" max="7960" width="6.09765625" style="39" customWidth="1"/>
    <col min="7961" max="8192" width="10" style="39"/>
    <col min="8193" max="8195" width="10" style="39" customWidth="1"/>
    <col min="8196" max="8196" width="11.19921875" style="39" customWidth="1"/>
    <col min="8197" max="8202" width="10" style="39" customWidth="1"/>
    <col min="8203" max="8203" width="2.19921875" style="39" customWidth="1"/>
    <col min="8204" max="8204" width="4.8984375" style="39" customWidth="1"/>
    <col min="8205" max="8205" width="12.59765625" style="39" customWidth="1"/>
    <col min="8206" max="8206" width="45.19921875" style="39" bestFit="1" customWidth="1"/>
    <col min="8207" max="8207" width="7.19921875" style="39" customWidth="1"/>
    <col min="8208" max="8208" width="11.09765625" style="39" customWidth="1"/>
    <col min="8209" max="8209" width="6.5" style="39" customWidth="1"/>
    <col min="8210" max="8210" width="46.59765625" style="39" customWidth="1"/>
    <col min="8211" max="8211" width="9.09765625" style="39" bestFit="1" customWidth="1"/>
    <col min="8212" max="8212" width="8.19921875" style="39" bestFit="1" customWidth="1"/>
    <col min="8213" max="8213" width="10.3984375" style="39" customWidth="1"/>
    <col min="8214" max="8214" width="0" style="39" hidden="1" customWidth="1"/>
    <col min="8215" max="8215" width="10" style="39" customWidth="1"/>
    <col min="8216" max="8216" width="6.09765625" style="39" customWidth="1"/>
    <col min="8217" max="8448" width="10" style="39"/>
    <col min="8449" max="8451" width="10" style="39" customWidth="1"/>
    <col min="8452" max="8452" width="11.19921875" style="39" customWidth="1"/>
    <col min="8453" max="8458" width="10" style="39" customWidth="1"/>
    <col min="8459" max="8459" width="2.19921875" style="39" customWidth="1"/>
    <col min="8460" max="8460" width="4.8984375" style="39" customWidth="1"/>
    <col min="8461" max="8461" width="12.59765625" style="39" customWidth="1"/>
    <col min="8462" max="8462" width="45.19921875" style="39" bestFit="1" customWidth="1"/>
    <col min="8463" max="8463" width="7.19921875" style="39" customWidth="1"/>
    <col min="8464" max="8464" width="11.09765625" style="39" customWidth="1"/>
    <col min="8465" max="8465" width="6.5" style="39" customWidth="1"/>
    <col min="8466" max="8466" width="46.59765625" style="39" customWidth="1"/>
    <col min="8467" max="8467" width="9.09765625" style="39" bestFit="1" customWidth="1"/>
    <col min="8468" max="8468" width="8.19921875" style="39" bestFit="1" customWidth="1"/>
    <col min="8469" max="8469" width="10.3984375" style="39" customWidth="1"/>
    <col min="8470" max="8470" width="0" style="39" hidden="1" customWidth="1"/>
    <col min="8471" max="8471" width="10" style="39" customWidth="1"/>
    <col min="8472" max="8472" width="6.09765625" style="39" customWidth="1"/>
    <col min="8473" max="8704" width="10" style="39"/>
    <col min="8705" max="8707" width="10" style="39" customWidth="1"/>
    <col min="8708" max="8708" width="11.19921875" style="39" customWidth="1"/>
    <col min="8709" max="8714" width="10" style="39" customWidth="1"/>
    <col min="8715" max="8715" width="2.19921875" style="39" customWidth="1"/>
    <col min="8716" max="8716" width="4.8984375" style="39" customWidth="1"/>
    <col min="8717" max="8717" width="12.59765625" style="39" customWidth="1"/>
    <col min="8718" max="8718" width="45.19921875" style="39" bestFit="1" customWidth="1"/>
    <col min="8719" max="8719" width="7.19921875" style="39" customWidth="1"/>
    <col min="8720" max="8720" width="11.09765625" style="39" customWidth="1"/>
    <col min="8721" max="8721" width="6.5" style="39" customWidth="1"/>
    <col min="8722" max="8722" width="46.59765625" style="39" customWidth="1"/>
    <col min="8723" max="8723" width="9.09765625" style="39" bestFit="1" customWidth="1"/>
    <col min="8724" max="8724" width="8.19921875" style="39" bestFit="1" customWidth="1"/>
    <col min="8725" max="8725" width="10.3984375" style="39" customWidth="1"/>
    <col min="8726" max="8726" width="0" style="39" hidden="1" customWidth="1"/>
    <col min="8727" max="8727" width="10" style="39" customWidth="1"/>
    <col min="8728" max="8728" width="6.09765625" style="39" customWidth="1"/>
    <col min="8729" max="8960" width="10" style="39"/>
    <col min="8961" max="8963" width="10" style="39" customWidth="1"/>
    <col min="8964" max="8964" width="11.19921875" style="39" customWidth="1"/>
    <col min="8965" max="8970" width="10" style="39" customWidth="1"/>
    <col min="8971" max="8971" width="2.19921875" style="39" customWidth="1"/>
    <col min="8972" max="8972" width="4.8984375" style="39" customWidth="1"/>
    <col min="8973" max="8973" width="12.59765625" style="39" customWidth="1"/>
    <col min="8974" max="8974" width="45.19921875" style="39" bestFit="1" customWidth="1"/>
    <col min="8975" max="8975" width="7.19921875" style="39" customWidth="1"/>
    <col min="8976" max="8976" width="11.09765625" style="39" customWidth="1"/>
    <col min="8977" max="8977" width="6.5" style="39" customWidth="1"/>
    <col min="8978" max="8978" width="46.59765625" style="39" customWidth="1"/>
    <col min="8979" max="8979" width="9.09765625" style="39" bestFit="1" customWidth="1"/>
    <col min="8980" max="8980" width="8.19921875" style="39" bestFit="1" customWidth="1"/>
    <col min="8981" max="8981" width="10.3984375" style="39" customWidth="1"/>
    <col min="8982" max="8982" width="0" style="39" hidden="1" customWidth="1"/>
    <col min="8983" max="8983" width="10" style="39" customWidth="1"/>
    <col min="8984" max="8984" width="6.09765625" style="39" customWidth="1"/>
    <col min="8985" max="9216" width="10" style="39"/>
    <col min="9217" max="9219" width="10" style="39" customWidth="1"/>
    <col min="9220" max="9220" width="11.19921875" style="39" customWidth="1"/>
    <col min="9221" max="9226" width="10" style="39" customWidth="1"/>
    <col min="9227" max="9227" width="2.19921875" style="39" customWidth="1"/>
    <col min="9228" max="9228" width="4.8984375" style="39" customWidth="1"/>
    <col min="9229" max="9229" width="12.59765625" style="39" customWidth="1"/>
    <col min="9230" max="9230" width="45.19921875" style="39" bestFit="1" customWidth="1"/>
    <col min="9231" max="9231" width="7.19921875" style="39" customWidth="1"/>
    <col min="9232" max="9232" width="11.09765625" style="39" customWidth="1"/>
    <col min="9233" max="9233" width="6.5" style="39" customWidth="1"/>
    <col min="9234" max="9234" width="46.59765625" style="39" customWidth="1"/>
    <col min="9235" max="9235" width="9.09765625" style="39" bestFit="1" customWidth="1"/>
    <col min="9236" max="9236" width="8.19921875" style="39" bestFit="1" customWidth="1"/>
    <col min="9237" max="9237" width="10.3984375" style="39" customWidth="1"/>
    <col min="9238" max="9238" width="0" style="39" hidden="1" customWidth="1"/>
    <col min="9239" max="9239" width="10" style="39" customWidth="1"/>
    <col min="9240" max="9240" width="6.09765625" style="39" customWidth="1"/>
    <col min="9241" max="9472" width="10" style="39"/>
    <col min="9473" max="9475" width="10" style="39" customWidth="1"/>
    <col min="9476" max="9476" width="11.19921875" style="39" customWidth="1"/>
    <col min="9477" max="9482" width="10" style="39" customWidth="1"/>
    <col min="9483" max="9483" width="2.19921875" style="39" customWidth="1"/>
    <col min="9484" max="9484" width="4.8984375" style="39" customWidth="1"/>
    <col min="9485" max="9485" width="12.59765625" style="39" customWidth="1"/>
    <col min="9486" max="9486" width="45.19921875" style="39" bestFit="1" customWidth="1"/>
    <col min="9487" max="9487" width="7.19921875" style="39" customWidth="1"/>
    <col min="9488" max="9488" width="11.09765625" style="39" customWidth="1"/>
    <col min="9489" max="9489" width="6.5" style="39" customWidth="1"/>
    <col min="9490" max="9490" width="46.59765625" style="39" customWidth="1"/>
    <col min="9491" max="9491" width="9.09765625" style="39" bestFit="1" customWidth="1"/>
    <col min="9492" max="9492" width="8.19921875" style="39" bestFit="1" customWidth="1"/>
    <col min="9493" max="9493" width="10.3984375" style="39" customWidth="1"/>
    <col min="9494" max="9494" width="0" style="39" hidden="1" customWidth="1"/>
    <col min="9495" max="9495" width="10" style="39" customWidth="1"/>
    <col min="9496" max="9496" width="6.09765625" style="39" customWidth="1"/>
    <col min="9497" max="9728" width="10" style="39"/>
    <col min="9729" max="9731" width="10" style="39" customWidth="1"/>
    <col min="9732" max="9732" width="11.19921875" style="39" customWidth="1"/>
    <col min="9733" max="9738" width="10" style="39" customWidth="1"/>
    <col min="9739" max="9739" width="2.19921875" style="39" customWidth="1"/>
    <col min="9740" max="9740" width="4.8984375" style="39" customWidth="1"/>
    <col min="9741" max="9741" width="12.59765625" style="39" customWidth="1"/>
    <col min="9742" max="9742" width="45.19921875" style="39" bestFit="1" customWidth="1"/>
    <col min="9743" max="9743" width="7.19921875" style="39" customWidth="1"/>
    <col min="9744" max="9744" width="11.09765625" style="39" customWidth="1"/>
    <col min="9745" max="9745" width="6.5" style="39" customWidth="1"/>
    <col min="9746" max="9746" width="46.59765625" style="39" customWidth="1"/>
    <col min="9747" max="9747" width="9.09765625" style="39" bestFit="1" customWidth="1"/>
    <col min="9748" max="9748" width="8.19921875" style="39" bestFit="1" customWidth="1"/>
    <col min="9749" max="9749" width="10.3984375" style="39" customWidth="1"/>
    <col min="9750" max="9750" width="0" style="39" hidden="1" customWidth="1"/>
    <col min="9751" max="9751" width="10" style="39" customWidth="1"/>
    <col min="9752" max="9752" width="6.09765625" style="39" customWidth="1"/>
    <col min="9753" max="9984" width="10" style="39"/>
    <col min="9985" max="9987" width="10" style="39" customWidth="1"/>
    <col min="9988" max="9988" width="11.19921875" style="39" customWidth="1"/>
    <col min="9989" max="9994" width="10" style="39" customWidth="1"/>
    <col min="9995" max="9995" width="2.19921875" style="39" customWidth="1"/>
    <col min="9996" max="9996" width="4.8984375" style="39" customWidth="1"/>
    <col min="9997" max="9997" width="12.59765625" style="39" customWidth="1"/>
    <col min="9998" max="9998" width="45.19921875" style="39" bestFit="1" customWidth="1"/>
    <col min="9999" max="9999" width="7.19921875" style="39" customWidth="1"/>
    <col min="10000" max="10000" width="11.09765625" style="39" customWidth="1"/>
    <col min="10001" max="10001" width="6.5" style="39" customWidth="1"/>
    <col min="10002" max="10002" width="46.59765625" style="39" customWidth="1"/>
    <col min="10003" max="10003" width="9.09765625" style="39" bestFit="1" customWidth="1"/>
    <col min="10004" max="10004" width="8.19921875" style="39" bestFit="1" customWidth="1"/>
    <col min="10005" max="10005" width="10.3984375" style="39" customWidth="1"/>
    <col min="10006" max="10006" width="0" style="39" hidden="1" customWidth="1"/>
    <col min="10007" max="10007" width="10" style="39" customWidth="1"/>
    <col min="10008" max="10008" width="6.09765625" style="39" customWidth="1"/>
    <col min="10009" max="10240" width="10" style="39"/>
    <col min="10241" max="10243" width="10" style="39" customWidth="1"/>
    <col min="10244" max="10244" width="11.19921875" style="39" customWidth="1"/>
    <col min="10245" max="10250" width="10" style="39" customWidth="1"/>
    <col min="10251" max="10251" width="2.19921875" style="39" customWidth="1"/>
    <col min="10252" max="10252" width="4.8984375" style="39" customWidth="1"/>
    <col min="10253" max="10253" width="12.59765625" style="39" customWidth="1"/>
    <col min="10254" max="10254" width="45.19921875" style="39" bestFit="1" customWidth="1"/>
    <col min="10255" max="10255" width="7.19921875" style="39" customWidth="1"/>
    <col min="10256" max="10256" width="11.09765625" style="39" customWidth="1"/>
    <col min="10257" max="10257" width="6.5" style="39" customWidth="1"/>
    <col min="10258" max="10258" width="46.59765625" style="39" customWidth="1"/>
    <col min="10259" max="10259" width="9.09765625" style="39" bestFit="1" customWidth="1"/>
    <col min="10260" max="10260" width="8.19921875" style="39" bestFit="1" customWidth="1"/>
    <col min="10261" max="10261" width="10.3984375" style="39" customWidth="1"/>
    <col min="10262" max="10262" width="0" style="39" hidden="1" customWidth="1"/>
    <col min="10263" max="10263" width="10" style="39" customWidth="1"/>
    <col min="10264" max="10264" width="6.09765625" style="39" customWidth="1"/>
    <col min="10265" max="10496" width="10" style="39"/>
    <col min="10497" max="10499" width="10" style="39" customWidth="1"/>
    <col min="10500" max="10500" width="11.19921875" style="39" customWidth="1"/>
    <col min="10501" max="10506" width="10" style="39" customWidth="1"/>
    <col min="10507" max="10507" width="2.19921875" style="39" customWidth="1"/>
    <col min="10508" max="10508" width="4.8984375" style="39" customWidth="1"/>
    <col min="10509" max="10509" width="12.59765625" style="39" customWidth="1"/>
    <col min="10510" max="10510" width="45.19921875" style="39" bestFit="1" customWidth="1"/>
    <col min="10511" max="10511" width="7.19921875" style="39" customWidth="1"/>
    <col min="10512" max="10512" width="11.09765625" style="39" customWidth="1"/>
    <col min="10513" max="10513" width="6.5" style="39" customWidth="1"/>
    <col min="10514" max="10514" width="46.59765625" style="39" customWidth="1"/>
    <col min="10515" max="10515" width="9.09765625" style="39" bestFit="1" customWidth="1"/>
    <col min="10516" max="10516" width="8.19921875" style="39" bestFit="1" customWidth="1"/>
    <col min="10517" max="10517" width="10.3984375" style="39" customWidth="1"/>
    <col min="10518" max="10518" width="0" style="39" hidden="1" customWidth="1"/>
    <col min="10519" max="10519" width="10" style="39" customWidth="1"/>
    <col min="10520" max="10520" width="6.09765625" style="39" customWidth="1"/>
    <col min="10521" max="10752" width="10" style="39"/>
    <col min="10753" max="10755" width="10" style="39" customWidth="1"/>
    <col min="10756" max="10756" width="11.19921875" style="39" customWidth="1"/>
    <col min="10757" max="10762" width="10" style="39" customWidth="1"/>
    <col min="10763" max="10763" width="2.19921875" style="39" customWidth="1"/>
    <col min="10764" max="10764" width="4.8984375" style="39" customWidth="1"/>
    <col min="10765" max="10765" width="12.59765625" style="39" customWidth="1"/>
    <col min="10766" max="10766" width="45.19921875" style="39" bestFit="1" customWidth="1"/>
    <col min="10767" max="10767" width="7.19921875" style="39" customWidth="1"/>
    <col min="10768" max="10768" width="11.09765625" style="39" customWidth="1"/>
    <col min="10769" max="10769" width="6.5" style="39" customWidth="1"/>
    <col min="10770" max="10770" width="46.59765625" style="39" customWidth="1"/>
    <col min="10771" max="10771" width="9.09765625" style="39" bestFit="1" customWidth="1"/>
    <col min="10772" max="10772" width="8.19921875" style="39" bestFit="1" customWidth="1"/>
    <col min="10773" max="10773" width="10.3984375" style="39" customWidth="1"/>
    <col min="10774" max="10774" width="0" style="39" hidden="1" customWidth="1"/>
    <col min="10775" max="10775" width="10" style="39" customWidth="1"/>
    <col min="10776" max="10776" width="6.09765625" style="39" customWidth="1"/>
    <col min="10777" max="11008" width="10" style="39"/>
    <col min="11009" max="11011" width="10" style="39" customWidth="1"/>
    <col min="11012" max="11012" width="11.19921875" style="39" customWidth="1"/>
    <col min="11013" max="11018" width="10" style="39" customWidth="1"/>
    <col min="11019" max="11019" width="2.19921875" style="39" customWidth="1"/>
    <col min="11020" max="11020" width="4.8984375" style="39" customWidth="1"/>
    <col min="11021" max="11021" width="12.59765625" style="39" customWidth="1"/>
    <col min="11022" max="11022" width="45.19921875" style="39" bestFit="1" customWidth="1"/>
    <col min="11023" max="11023" width="7.19921875" style="39" customWidth="1"/>
    <col min="11024" max="11024" width="11.09765625" style="39" customWidth="1"/>
    <col min="11025" max="11025" width="6.5" style="39" customWidth="1"/>
    <col min="11026" max="11026" width="46.59765625" style="39" customWidth="1"/>
    <col min="11027" max="11027" width="9.09765625" style="39" bestFit="1" customWidth="1"/>
    <col min="11028" max="11028" width="8.19921875" style="39" bestFit="1" customWidth="1"/>
    <col min="11029" max="11029" width="10.3984375" style="39" customWidth="1"/>
    <col min="11030" max="11030" width="0" style="39" hidden="1" customWidth="1"/>
    <col min="11031" max="11031" width="10" style="39" customWidth="1"/>
    <col min="11032" max="11032" width="6.09765625" style="39" customWidth="1"/>
    <col min="11033" max="11264" width="10" style="39"/>
    <col min="11265" max="11267" width="10" style="39" customWidth="1"/>
    <col min="11268" max="11268" width="11.19921875" style="39" customWidth="1"/>
    <col min="11269" max="11274" width="10" style="39" customWidth="1"/>
    <col min="11275" max="11275" width="2.19921875" style="39" customWidth="1"/>
    <col min="11276" max="11276" width="4.8984375" style="39" customWidth="1"/>
    <col min="11277" max="11277" width="12.59765625" style="39" customWidth="1"/>
    <col min="11278" max="11278" width="45.19921875" style="39" bestFit="1" customWidth="1"/>
    <col min="11279" max="11279" width="7.19921875" style="39" customWidth="1"/>
    <col min="11280" max="11280" width="11.09765625" style="39" customWidth="1"/>
    <col min="11281" max="11281" width="6.5" style="39" customWidth="1"/>
    <col min="11282" max="11282" width="46.59765625" style="39" customWidth="1"/>
    <col min="11283" max="11283" width="9.09765625" style="39" bestFit="1" customWidth="1"/>
    <col min="11284" max="11284" width="8.19921875" style="39" bestFit="1" customWidth="1"/>
    <col min="11285" max="11285" width="10.3984375" style="39" customWidth="1"/>
    <col min="11286" max="11286" width="0" style="39" hidden="1" customWidth="1"/>
    <col min="11287" max="11287" width="10" style="39" customWidth="1"/>
    <col min="11288" max="11288" width="6.09765625" style="39" customWidth="1"/>
    <col min="11289" max="11520" width="10" style="39"/>
    <col min="11521" max="11523" width="10" style="39" customWidth="1"/>
    <col min="11524" max="11524" width="11.19921875" style="39" customWidth="1"/>
    <col min="11525" max="11530" width="10" style="39" customWidth="1"/>
    <col min="11531" max="11531" width="2.19921875" style="39" customWidth="1"/>
    <col min="11532" max="11532" width="4.8984375" style="39" customWidth="1"/>
    <col min="11533" max="11533" width="12.59765625" style="39" customWidth="1"/>
    <col min="11534" max="11534" width="45.19921875" style="39" bestFit="1" customWidth="1"/>
    <col min="11535" max="11535" width="7.19921875" style="39" customWidth="1"/>
    <col min="11536" max="11536" width="11.09765625" style="39" customWidth="1"/>
    <col min="11537" max="11537" width="6.5" style="39" customWidth="1"/>
    <col min="11538" max="11538" width="46.59765625" style="39" customWidth="1"/>
    <col min="11539" max="11539" width="9.09765625" style="39" bestFit="1" customWidth="1"/>
    <col min="11540" max="11540" width="8.19921875" style="39" bestFit="1" customWidth="1"/>
    <col min="11541" max="11541" width="10.3984375" style="39" customWidth="1"/>
    <col min="11542" max="11542" width="0" style="39" hidden="1" customWidth="1"/>
    <col min="11543" max="11543" width="10" style="39" customWidth="1"/>
    <col min="11544" max="11544" width="6.09765625" style="39" customWidth="1"/>
    <col min="11545" max="11776" width="10" style="39"/>
    <col min="11777" max="11779" width="10" style="39" customWidth="1"/>
    <col min="11780" max="11780" width="11.19921875" style="39" customWidth="1"/>
    <col min="11781" max="11786" width="10" style="39" customWidth="1"/>
    <col min="11787" max="11787" width="2.19921875" style="39" customWidth="1"/>
    <col min="11788" max="11788" width="4.8984375" style="39" customWidth="1"/>
    <col min="11789" max="11789" width="12.59765625" style="39" customWidth="1"/>
    <col min="11790" max="11790" width="45.19921875" style="39" bestFit="1" customWidth="1"/>
    <col min="11791" max="11791" width="7.19921875" style="39" customWidth="1"/>
    <col min="11792" max="11792" width="11.09765625" style="39" customWidth="1"/>
    <col min="11793" max="11793" width="6.5" style="39" customWidth="1"/>
    <col min="11794" max="11794" width="46.59765625" style="39" customWidth="1"/>
    <col min="11795" max="11795" width="9.09765625" style="39" bestFit="1" customWidth="1"/>
    <col min="11796" max="11796" width="8.19921875" style="39" bestFit="1" customWidth="1"/>
    <col min="11797" max="11797" width="10.3984375" style="39" customWidth="1"/>
    <col min="11798" max="11798" width="0" style="39" hidden="1" customWidth="1"/>
    <col min="11799" max="11799" width="10" style="39" customWidth="1"/>
    <col min="11800" max="11800" width="6.09765625" style="39" customWidth="1"/>
    <col min="11801" max="12032" width="10" style="39"/>
    <col min="12033" max="12035" width="10" style="39" customWidth="1"/>
    <col min="12036" max="12036" width="11.19921875" style="39" customWidth="1"/>
    <col min="12037" max="12042" width="10" style="39" customWidth="1"/>
    <col min="12043" max="12043" width="2.19921875" style="39" customWidth="1"/>
    <col min="12044" max="12044" width="4.8984375" style="39" customWidth="1"/>
    <col min="12045" max="12045" width="12.59765625" style="39" customWidth="1"/>
    <col min="12046" max="12046" width="45.19921875" style="39" bestFit="1" customWidth="1"/>
    <col min="12047" max="12047" width="7.19921875" style="39" customWidth="1"/>
    <col min="12048" max="12048" width="11.09765625" style="39" customWidth="1"/>
    <col min="12049" max="12049" width="6.5" style="39" customWidth="1"/>
    <col min="12050" max="12050" width="46.59765625" style="39" customWidth="1"/>
    <col min="12051" max="12051" width="9.09765625" style="39" bestFit="1" customWidth="1"/>
    <col min="12052" max="12052" width="8.19921875" style="39" bestFit="1" customWidth="1"/>
    <col min="12053" max="12053" width="10.3984375" style="39" customWidth="1"/>
    <col min="12054" max="12054" width="0" style="39" hidden="1" customWidth="1"/>
    <col min="12055" max="12055" width="10" style="39" customWidth="1"/>
    <col min="12056" max="12056" width="6.09765625" style="39" customWidth="1"/>
    <col min="12057" max="12288" width="10" style="39"/>
    <col min="12289" max="12291" width="10" style="39" customWidth="1"/>
    <col min="12292" max="12292" width="11.19921875" style="39" customWidth="1"/>
    <col min="12293" max="12298" width="10" style="39" customWidth="1"/>
    <col min="12299" max="12299" width="2.19921875" style="39" customWidth="1"/>
    <col min="12300" max="12300" width="4.8984375" style="39" customWidth="1"/>
    <col min="12301" max="12301" width="12.59765625" style="39" customWidth="1"/>
    <col min="12302" max="12302" width="45.19921875" style="39" bestFit="1" customWidth="1"/>
    <col min="12303" max="12303" width="7.19921875" style="39" customWidth="1"/>
    <col min="12304" max="12304" width="11.09765625" style="39" customWidth="1"/>
    <col min="12305" max="12305" width="6.5" style="39" customWidth="1"/>
    <col min="12306" max="12306" width="46.59765625" style="39" customWidth="1"/>
    <col min="12307" max="12307" width="9.09765625" style="39" bestFit="1" customWidth="1"/>
    <col min="12308" max="12308" width="8.19921875" style="39" bestFit="1" customWidth="1"/>
    <col min="12309" max="12309" width="10.3984375" style="39" customWidth="1"/>
    <col min="12310" max="12310" width="0" style="39" hidden="1" customWidth="1"/>
    <col min="12311" max="12311" width="10" style="39" customWidth="1"/>
    <col min="12312" max="12312" width="6.09765625" style="39" customWidth="1"/>
    <col min="12313" max="12544" width="10" style="39"/>
    <col min="12545" max="12547" width="10" style="39" customWidth="1"/>
    <col min="12548" max="12548" width="11.19921875" style="39" customWidth="1"/>
    <col min="12549" max="12554" width="10" style="39" customWidth="1"/>
    <col min="12555" max="12555" width="2.19921875" style="39" customWidth="1"/>
    <col min="12556" max="12556" width="4.8984375" style="39" customWidth="1"/>
    <col min="12557" max="12557" width="12.59765625" style="39" customWidth="1"/>
    <col min="12558" max="12558" width="45.19921875" style="39" bestFit="1" customWidth="1"/>
    <col min="12559" max="12559" width="7.19921875" style="39" customWidth="1"/>
    <col min="12560" max="12560" width="11.09765625" style="39" customWidth="1"/>
    <col min="12561" max="12561" width="6.5" style="39" customWidth="1"/>
    <col min="12562" max="12562" width="46.59765625" style="39" customWidth="1"/>
    <col min="12563" max="12563" width="9.09765625" style="39" bestFit="1" customWidth="1"/>
    <col min="12564" max="12564" width="8.19921875" style="39" bestFit="1" customWidth="1"/>
    <col min="12565" max="12565" width="10.3984375" style="39" customWidth="1"/>
    <col min="12566" max="12566" width="0" style="39" hidden="1" customWidth="1"/>
    <col min="12567" max="12567" width="10" style="39" customWidth="1"/>
    <col min="12568" max="12568" width="6.09765625" style="39" customWidth="1"/>
    <col min="12569" max="12800" width="10" style="39"/>
    <col min="12801" max="12803" width="10" style="39" customWidth="1"/>
    <col min="12804" max="12804" width="11.19921875" style="39" customWidth="1"/>
    <col min="12805" max="12810" width="10" style="39" customWidth="1"/>
    <col min="12811" max="12811" width="2.19921875" style="39" customWidth="1"/>
    <col min="12812" max="12812" width="4.8984375" style="39" customWidth="1"/>
    <col min="12813" max="12813" width="12.59765625" style="39" customWidth="1"/>
    <col min="12814" max="12814" width="45.19921875" style="39" bestFit="1" customWidth="1"/>
    <col min="12815" max="12815" width="7.19921875" style="39" customWidth="1"/>
    <col min="12816" max="12816" width="11.09765625" style="39" customWidth="1"/>
    <col min="12817" max="12817" width="6.5" style="39" customWidth="1"/>
    <col min="12818" max="12818" width="46.59765625" style="39" customWidth="1"/>
    <col min="12819" max="12819" width="9.09765625" style="39" bestFit="1" customWidth="1"/>
    <col min="12820" max="12820" width="8.19921875" style="39" bestFit="1" customWidth="1"/>
    <col min="12821" max="12821" width="10.3984375" style="39" customWidth="1"/>
    <col min="12822" max="12822" width="0" style="39" hidden="1" customWidth="1"/>
    <col min="12823" max="12823" width="10" style="39" customWidth="1"/>
    <col min="12824" max="12824" width="6.09765625" style="39" customWidth="1"/>
    <col min="12825" max="13056" width="10" style="39"/>
    <col min="13057" max="13059" width="10" style="39" customWidth="1"/>
    <col min="13060" max="13060" width="11.19921875" style="39" customWidth="1"/>
    <col min="13061" max="13066" width="10" style="39" customWidth="1"/>
    <col min="13067" max="13067" width="2.19921875" style="39" customWidth="1"/>
    <col min="13068" max="13068" width="4.8984375" style="39" customWidth="1"/>
    <col min="13069" max="13069" width="12.59765625" style="39" customWidth="1"/>
    <col min="13070" max="13070" width="45.19921875" style="39" bestFit="1" customWidth="1"/>
    <col min="13071" max="13071" width="7.19921875" style="39" customWidth="1"/>
    <col min="13072" max="13072" width="11.09765625" style="39" customWidth="1"/>
    <col min="13073" max="13073" width="6.5" style="39" customWidth="1"/>
    <col min="13074" max="13074" width="46.59765625" style="39" customWidth="1"/>
    <col min="13075" max="13075" width="9.09765625" style="39" bestFit="1" customWidth="1"/>
    <col min="13076" max="13076" width="8.19921875" style="39" bestFit="1" customWidth="1"/>
    <col min="13077" max="13077" width="10.3984375" style="39" customWidth="1"/>
    <col min="13078" max="13078" width="0" style="39" hidden="1" customWidth="1"/>
    <col min="13079" max="13079" width="10" style="39" customWidth="1"/>
    <col min="13080" max="13080" width="6.09765625" style="39" customWidth="1"/>
    <col min="13081" max="13312" width="10" style="39"/>
    <col min="13313" max="13315" width="10" style="39" customWidth="1"/>
    <col min="13316" max="13316" width="11.19921875" style="39" customWidth="1"/>
    <col min="13317" max="13322" width="10" style="39" customWidth="1"/>
    <col min="13323" max="13323" width="2.19921875" style="39" customWidth="1"/>
    <col min="13324" max="13324" width="4.8984375" style="39" customWidth="1"/>
    <col min="13325" max="13325" width="12.59765625" style="39" customWidth="1"/>
    <col min="13326" max="13326" width="45.19921875" style="39" bestFit="1" customWidth="1"/>
    <col min="13327" max="13327" width="7.19921875" style="39" customWidth="1"/>
    <col min="13328" max="13328" width="11.09765625" style="39" customWidth="1"/>
    <col min="13329" max="13329" width="6.5" style="39" customWidth="1"/>
    <col min="13330" max="13330" width="46.59765625" style="39" customWidth="1"/>
    <col min="13331" max="13331" width="9.09765625" style="39" bestFit="1" customWidth="1"/>
    <col min="13332" max="13332" width="8.19921875" style="39" bestFit="1" customWidth="1"/>
    <col min="13333" max="13333" width="10.3984375" style="39" customWidth="1"/>
    <col min="13334" max="13334" width="0" style="39" hidden="1" customWidth="1"/>
    <col min="13335" max="13335" width="10" style="39" customWidth="1"/>
    <col min="13336" max="13336" width="6.09765625" style="39" customWidth="1"/>
    <col min="13337" max="13568" width="10" style="39"/>
    <col min="13569" max="13571" width="10" style="39" customWidth="1"/>
    <col min="13572" max="13572" width="11.19921875" style="39" customWidth="1"/>
    <col min="13573" max="13578" width="10" style="39" customWidth="1"/>
    <col min="13579" max="13579" width="2.19921875" style="39" customWidth="1"/>
    <col min="13580" max="13580" width="4.8984375" style="39" customWidth="1"/>
    <col min="13581" max="13581" width="12.59765625" style="39" customWidth="1"/>
    <col min="13582" max="13582" width="45.19921875" style="39" bestFit="1" customWidth="1"/>
    <col min="13583" max="13583" width="7.19921875" style="39" customWidth="1"/>
    <col min="13584" max="13584" width="11.09765625" style="39" customWidth="1"/>
    <col min="13585" max="13585" width="6.5" style="39" customWidth="1"/>
    <col min="13586" max="13586" width="46.59765625" style="39" customWidth="1"/>
    <col min="13587" max="13587" width="9.09765625" style="39" bestFit="1" customWidth="1"/>
    <col min="13588" max="13588" width="8.19921875" style="39" bestFit="1" customWidth="1"/>
    <col min="13589" max="13589" width="10.3984375" style="39" customWidth="1"/>
    <col min="13590" max="13590" width="0" style="39" hidden="1" customWidth="1"/>
    <col min="13591" max="13591" width="10" style="39" customWidth="1"/>
    <col min="13592" max="13592" width="6.09765625" style="39" customWidth="1"/>
    <col min="13593" max="13824" width="10" style="39"/>
    <col min="13825" max="13827" width="10" style="39" customWidth="1"/>
    <col min="13828" max="13828" width="11.19921875" style="39" customWidth="1"/>
    <col min="13829" max="13834" width="10" style="39" customWidth="1"/>
    <col min="13835" max="13835" width="2.19921875" style="39" customWidth="1"/>
    <col min="13836" max="13836" width="4.8984375" style="39" customWidth="1"/>
    <col min="13837" max="13837" width="12.59765625" style="39" customWidth="1"/>
    <col min="13838" max="13838" width="45.19921875" style="39" bestFit="1" customWidth="1"/>
    <col min="13839" max="13839" width="7.19921875" style="39" customWidth="1"/>
    <col min="13840" max="13840" width="11.09765625" style="39" customWidth="1"/>
    <col min="13841" max="13841" width="6.5" style="39" customWidth="1"/>
    <col min="13842" max="13842" width="46.59765625" style="39" customWidth="1"/>
    <col min="13843" max="13843" width="9.09765625" style="39" bestFit="1" customWidth="1"/>
    <col min="13844" max="13844" width="8.19921875" style="39" bestFit="1" customWidth="1"/>
    <col min="13845" max="13845" width="10.3984375" style="39" customWidth="1"/>
    <col min="13846" max="13846" width="0" style="39" hidden="1" customWidth="1"/>
    <col min="13847" max="13847" width="10" style="39" customWidth="1"/>
    <col min="13848" max="13848" width="6.09765625" style="39" customWidth="1"/>
    <col min="13849" max="14080" width="10" style="39"/>
    <col min="14081" max="14083" width="10" style="39" customWidth="1"/>
    <col min="14084" max="14084" width="11.19921875" style="39" customWidth="1"/>
    <col min="14085" max="14090" width="10" style="39" customWidth="1"/>
    <col min="14091" max="14091" width="2.19921875" style="39" customWidth="1"/>
    <col min="14092" max="14092" width="4.8984375" style="39" customWidth="1"/>
    <col min="14093" max="14093" width="12.59765625" style="39" customWidth="1"/>
    <col min="14094" max="14094" width="45.19921875" style="39" bestFit="1" customWidth="1"/>
    <col min="14095" max="14095" width="7.19921875" style="39" customWidth="1"/>
    <col min="14096" max="14096" width="11.09765625" style="39" customWidth="1"/>
    <col min="14097" max="14097" width="6.5" style="39" customWidth="1"/>
    <col min="14098" max="14098" width="46.59765625" style="39" customWidth="1"/>
    <col min="14099" max="14099" width="9.09765625" style="39" bestFit="1" customWidth="1"/>
    <col min="14100" max="14100" width="8.19921875" style="39" bestFit="1" customWidth="1"/>
    <col min="14101" max="14101" width="10.3984375" style="39" customWidth="1"/>
    <col min="14102" max="14102" width="0" style="39" hidden="1" customWidth="1"/>
    <col min="14103" max="14103" width="10" style="39" customWidth="1"/>
    <col min="14104" max="14104" width="6.09765625" style="39" customWidth="1"/>
    <col min="14105" max="14336" width="10" style="39"/>
    <col min="14337" max="14339" width="10" style="39" customWidth="1"/>
    <col min="14340" max="14340" width="11.19921875" style="39" customWidth="1"/>
    <col min="14341" max="14346" width="10" style="39" customWidth="1"/>
    <col min="14347" max="14347" width="2.19921875" style="39" customWidth="1"/>
    <col min="14348" max="14348" width="4.8984375" style="39" customWidth="1"/>
    <col min="14349" max="14349" width="12.59765625" style="39" customWidth="1"/>
    <col min="14350" max="14350" width="45.19921875" style="39" bestFit="1" customWidth="1"/>
    <col min="14351" max="14351" width="7.19921875" style="39" customWidth="1"/>
    <col min="14352" max="14352" width="11.09765625" style="39" customWidth="1"/>
    <col min="14353" max="14353" width="6.5" style="39" customWidth="1"/>
    <col min="14354" max="14354" width="46.59765625" style="39" customWidth="1"/>
    <col min="14355" max="14355" width="9.09765625" style="39" bestFit="1" customWidth="1"/>
    <col min="14356" max="14356" width="8.19921875" style="39" bestFit="1" customWidth="1"/>
    <col min="14357" max="14357" width="10.3984375" style="39" customWidth="1"/>
    <col min="14358" max="14358" width="0" style="39" hidden="1" customWidth="1"/>
    <col min="14359" max="14359" width="10" style="39" customWidth="1"/>
    <col min="14360" max="14360" width="6.09765625" style="39" customWidth="1"/>
    <col min="14361" max="14592" width="10" style="39"/>
    <col min="14593" max="14595" width="10" style="39" customWidth="1"/>
    <col min="14596" max="14596" width="11.19921875" style="39" customWidth="1"/>
    <col min="14597" max="14602" width="10" style="39" customWidth="1"/>
    <col min="14603" max="14603" width="2.19921875" style="39" customWidth="1"/>
    <col min="14604" max="14604" width="4.8984375" style="39" customWidth="1"/>
    <col min="14605" max="14605" width="12.59765625" style="39" customWidth="1"/>
    <col min="14606" max="14606" width="45.19921875" style="39" bestFit="1" customWidth="1"/>
    <col min="14607" max="14607" width="7.19921875" style="39" customWidth="1"/>
    <col min="14608" max="14608" width="11.09765625" style="39" customWidth="1"/>
    <col min="14609" max="14609" width="6.5" style="39" customWidth="1"/>
    <col min="14610" max="14610" width="46.59765625" style="39" customWidth="1"/>
    <col min="14611" max="14611" width="9.09765625" style="39" bestFit="1" customWidth="1"/>
    <col min="14612" max="14612" width="8.19921875" style="39" bestFit="1" customWidth="1"/>
    <col min="14613" max="14613" width="10.3984375" style="39" customWidth="1"/>
    <col min="14614" max="14614" width="0" style="39" hidden="1" customWidth="1"/>
    <col min="14615" max="14615" width="10" style="39" customWidth="1"/>
    <col min="14616" max="14616" width="6.09765625" style="39" customWidth="1"/>
    <col min="14617" max="14848" width="10" style="39"/>
    <col min="14849" max="14851" width="10" style="39" customWidth="1"/>
    <col min="14852" max="14852" width="11.19921875" style="39" customWidth="1"/>
    <col min="14853" max="14858" width="10" style="39" customWidth="1"/>
    <col min="14859" max="14859" width="2.19921875" style="39" customWidth="1"/>
    <col min="14860" max="14860" width="4.8984375" style="39" customWidth="1"/>
    <col min="14861" max="14861" width="12.59765625" style="39" customWidth="1"/>
    <col min="14862" max="14862" width="45.19921875" style="39" bestFit="1" customWidth="1"/>
    <col min="14863" max="14863" width="7.19921875" style="39" customWidth="1"/>
    <col min="14864" max="14864" width="11.09765625" style="39" customWidth="1"/>
    <col min="14865" max="14865" width="6.5" style="39" customWidth="1"/>
    <col min="14866" max="14866" width="46.59765625" style="39" customWidth="1"/>
    <col min="14867" max="14867" width="9.09765625" style="39" bestFit="1" customWidth="1"/>
    <col min="14868" max="14868" width="8.19921875" style="39" bestFit="1" customWidth="1"/>
    <col min="14869" max="14869" width="10.3984375" style="39" customWidth="1"/>
    <col min="14870" max="14870" width="0" style="39" hidden="1" customWidth="1"/>
    <col min="14871" max="14871" width="10" style="39" customWidth="1"/>
    <col min="14872" max="14872" width="6.09765625" style="39" customWidth="1"/>
    <col min="14873" max="15104" width="10" style="39"/>
    <col min="15105" max="15107" width="10" style="39" customWidth="1"/>
    <col min="15108" max="15108" width="11.19921875" style="39" customWidth="1"/>
    <col min="15109" max="15114" width="10" style="39" customWidth="1"/>
    <col min="15115" max="15115" width="2.19921875" style="39" customWidth="1"/>
    <col min="15116" max="15116" width="4.8984375" style="39" customWidth="1"/>
    <col min="15117" max="15117" width="12.59765625" style="39" customWidth="1"/>
    <col min="15118" max="15118" width="45.19921875" style="39" bestFit="1" customWidth="1"/>
    <col min="15119" max="15119" width="7.19921875" style="39" customWidth="1"/>
    <col min="15120" max="15120" width="11.09765625" style="39" customWidth="1"/>
    <col min="15121" max="15121" width="6.5" style="39" customWidth="1"/>
    <col min="15122" max="15122" width="46.59765625" style="39" customWidth="1"/>
    <col min="15123" max="15123" width="9.09765625" style="39" bestFit="1" customWidth="1"/>
    <col min="15124" max="15124" width="8.19921875" style="39" bestFit="1" customWidth="1"/>
    <col min="15125" max="15125" width="10.3984375" style="39" customWidth="1"/>
    <col min="15126" max="15126" width="0" style="39" hidden="1" customWidth="1"/>
    <col min="15127" max="15127" width="10" style="39" customWidth="1"/>
    <col min="15128" max="15128" width="6.09765625" style="39" customWidth="1"/>
    <col min="15129" max="15360" width="10" style="39"/>
    <col min="15361" max="15363" width="10" style="39" customWidth="1"/>
    <col min="15364" max="15364" width="11.19921875" style="39" customWidth="1"/>
    <col min="15365" max="15370" width="10" style="39" customWidth="1"/>
    <col min="15371" max="15371" width="2.19921875" style="39" customWidth="1"/>
    <col min="15372" max="15372" width="4.8984375" style="39" customWidth="1"/>
    <col min="15373" max="15373" width="12.59765625" style="39" customWidth="1"/>
    <col min="15374" max="15374" width="45.19921875" style="39" bestFit="1" customWidth="1"/>
    <col min="15375" max="15375" width="7.19921875" style="39" customWidth="1"/>
    <col min="15376" max="15376" width="11.09765625" style="39" customWidth="1"/>
    <col min="15377" max="15377" width="6.5" style="39" customWidth="1"/>
    <col min="15378" max="15378" width="46.59765625" style="39" customWidth="1"/>
    <col min="15379" max="15379" width="9.09765625" style="39" bestFit="1" customWidth="1"/>
    <col min="15380" max="15380" width="8.19921875" style="39" bestFit="1" customWidth="1"/>
    <col min="15381" max="15381" width="10.3984375" style="39" customWidth="1"/>
    <col min="15382" max="15382" width="0" style="39" hidden="1" customWidth="1"/>
    <col min="15383" max="15383" width="10" style="39" customWidth="1"/>
    <col min="15384" max="15384" width="6.09765625" style="39" customWidth="1"/>
    <col min="15385" max="15616" width="10" style="39"/>
    <col min="15617" max="15619" width="10" style="39" customWidth="1"/>
    <col min="15620" max="15620" width="11.19921875" style="39" customWidth="1"/>
    <col min="15621" max="15626" width="10" style="39" customWidth="1"/>
    <col min="15627" max="15627" width="2.19921875" style="39" customWidth="1"/>
    <col min="15628" max="15628" width="4.8984375" style="39" customWidth="1"/>
    <col min="15629" max="15629" width="12.59765625" style="39" customWidth="1"/>
    <col min="15630" max="15630" width="45.19921875" style="39" bestFit="1" customWidth="1"/>
    <col min="15631" max="15631" width="7.19921875" style="39" customWidth="1"/>
    <col min="15632" max="15632" width="11.09765625" style="39" customWidth="1"/>
    <col min="15633" max="15633" width="6.5" style="39" customWidth="1"/>
    <col min="15634" max="15634" width="46.59765625" style="39" customWidth="1"/>
    <col min="15635" max="15635" width="9.09765625" style="39" bestFit="1" customWidth="1"/>
    <col min="15636" max="15636" width="8.19921875" style="39" bestFit="1" customWidth="1"/>
    <col min="15637" max="15637" width="10.3984375" style="39" customWidth="1"/>
    <col min="15638" max="15638" width="0" style="39" hidden="1" customWidth="1"/>
    <col min="15639" max="15639" width="10" style="39" customWidth="1"/>
    <col min="15640" max="15640" width="6.09765625" style="39" customWidth="1"/>
    <col min="15641" max="15872" width="10" style="39"/>
    <col min="15873" max="15875" width="10" style="39" customWidth="1"/>
    <col min="15876" max="15876" width="11.19921875" style="39" customWidth="1"/>
    <col min="15877" max="15882" width="10" style="39" customWidth="1"/>
    <col min="15883" max="15883" width="2.19921875" style="39" customWidth="1"/>
    <col min="15884" max="15884" width="4.8984375" style="39" customWidth="1"/>
    <col min="15885" max="15885" width="12.59765625" style="39" customWidth="1"/>
    <col min="15886" max="15886" width="45.19921875" style="39" bestFit="1" customWidth="1"/>
    <col min="15887" max="15887" width="7.19921875" style="39" customWidth="1"/>
    <col min="15888" max="15888" width="11.09765625" style="39" customWidth="1"/>
    <col min="15889" max="15889" width="6.5" style="39" customWidth="1"/>
    <col min="15890" max="15890" width="46.59765625" style="39" customWidth="1"/>
    <col min="15891" max="15891" width="9.09765625" style="39" bestFit="1" customWidth="1"/>
    <col min="15892" max="15892" width="8.19921875" style="39" bestFit="1" customWidth="1"/>
    <col min="15893" max="15893" width="10.3984375" style="39" customWidth="1"/>
    <col min="15894" max="15894" width="0" style="39" hidden="1" customWidth="1"/>
    <col min="15895" max="15895" width="10" style="39" customWidth="1"/>
    <col min="15896" max="15896" width="6.09765625" style="39" customWidth="1"/>
    <col min="15897" max="16128" width="10" style="39"/>
    <col min="16129" max="16131" width="10" style="39" customWidth="1"/>
    <col min="16132" max="16132" width="11.19921875" style="39" customWidth="1"/>
    <col min="16133" max="16138" width="10" style="39" customWidth="1"/>
    <col min="16139" max="16139" width="2.19921875" style="39" customWidth="1"/>
    <col min="16140" max="16140" width="4.8984375" style="39" customWidth="1"/>
    <col min="16141" max="16141" width="12.59765625" style="39" customWidth="1"/>
    <col min="16142" max="16142" width="45.19921875" style="39" bestFit="1" customWidth="1"/>
    <col min="16143" max="16143" width="7.19921875" style="39" customWidth="1"/>
    <col min="16144" max="16144" width="11.09765625" style="39" customWidth="1"/>
    <col min="16145" max="16145" width="6.5" style="39" customWidth="1"/>
    <col min="16146" max="16146" width="46.59765625" style="39" customWidth="1"/>
    <col min="16147" max="16147" width="9.09765625" style="39" bestFit="1" customWidth="1"/>
    <col min="16148" max="16148" width="8.19921875" style="39" bestFit="1" customWidth="1"/>
    <col min="16149" max="16149" width="10.3984375" style="39" customWidth="1"/>
    <col min="16150" max="16150" width="0" style="39" hidden="1" customWidth="1"/>
    <col min="16151" max="16151" width="10" style="39" customWidth="1"/>
    <col min="16152" max="16152" width="6.09765625" style="39" customWidth="1"/>
    <col min="16153" max="16384" width="10" style="39"/>
  </cols>
  <sheetData>
    <row r="1" spans="1:24">
      <c r="B1" s="344"/>
      <c r="C1" s="345"/>
      <c r="D1" s="345"/>
      <c r="E1" s="345"/>
    </row>
    <row r="2" spans="1:24">
      <c r="B2" s="344"/>
      <c r="C2" s="345"/>
      <c r="D2" s="345"/>
      <c r="E2" s="345"/>
    </row>
    <row r="3" spans="1:24" ht="24.6">
      <c r="B3" s="81"/>
      <c r="C3" s="345"/>
      <c r="D3" s="345"/>
      <c r="R3" s="346" t="s">
        <v>356</v>
      </c>
    </row>
    <row r="4" spans="1:24">
      <c r="B4" s="344"/>
      <c r="C4" s="345"/>
      <c r="D4" s="345"/>
      <c r="E4" s="345"/>
    </row>
    <row r="5" spans="1:24" ht="17.399999999999999">
      <c r="A5" s="82" t="s">
        <v>783</v>
      </c>
      <c r="B5" s="344"/>
      <c r="C5" s="345"/>
      <c r="D5" s="345"/>
      <c r="E5" s="345"/>
      <c r="R5" s="347" t="s">
        <v>366</v>
      </c>
    </row>
    <row r="6" spans="1:24">
      <c r="B6" s="344"/>
      <c r="C6" s="345"/>
      <c r="D6" s="345"/>
      <c r="E6" s="345"/>
    </row>
    <row r="7" spans="1:24">
      <c r="B7" s="344"/>
      <c r="C7" s="345"/>
      <c r="D7" s="345"/>
      <c r="E7" s="345"/>
    </row>
    <row r="8" spans="1:24" ht="17.399999999999999">
      <c r="A8" s="81" t="s">
        <v>282</v>
      </c>
      <c r="B8" s="348"/>
      <c r="C8" s="345"/>
      <c r="D8" s="345"/>
      <c r="E8" s="81" t="s">
        <v>367</v>
      </c>
    </row>
    <row r="9" spans="1:24" ht="17.25" customHeight="1"/>
    <row r="10" spans="1:24" ht="15.6">
      <c r="A10" s="349"/>
      <c r="B10" s="350"/>
      <c r="C10" s="350"/>
      <c r="D10" s="350"/>
      <c r="E10" s="350"/>
      <c r="F10" s="350"/>
      <c r="G10" s="350"/>
      <c r="H10" s="350"/>
      <c r="I10" s="350"/>
      <c r="J10" s="350"/>
      <c r="K10" s="350"/>
      <c r="L10" s="351"/>
      <c r="M10" s="352"/>
      <c r="N10" s="350"/>
      <c r="O10" s="350"/>
      <c r="P10" s="350"/>
      <c r="Q10" s="350"/>
      <c r="R10" s="351"/>
    </row>
    <row r="11" spans="1:24" ht="18" thickBot="1">
      <c r="A11" s="353"/>
      <c r="B11" s="79"/>
      <c r="C11" s="79"/>
      <c r="D11" s="79"/>
      <c r="E11" s="79"/>
      <c r="F11" s="79"/>
      <c r="G11" s="79"/>
      <c r="H11" s="79"/>
      <c r="I11" s="79"/>
      <c r="J11" s="79"/>
      <c r="K11" s="79"/>
      <c r="L11" s="354"/>
      <c r="M11" s="43" t="s">
        <v>284</v>
      </c>
      <c r="N11" s="44" t="s">
        <v>285</v>
      </c>
      <c r="O11" s="106" t="s">
        <v>286</v>
      </c>
      <c r="P11" s="107">
        <v>100</v>
      </c>
      <c r="Q11" s="44" t="s">
        <v>49</v>
      </c>
      <c r="R11" s="108" t="s">
        <v>368</v>
      </c>
      <c r="S11" s="48"/>
      <c r="T11" s="48"/>
      <c r="U11" s="48"/>
      <c r="V11" s="49"/>
      <c r="W11" s="49"/>
      <c r="X11" s="49"/>
    </row>
    <row r="12" spans="1:24" ht="18" thickBot="1">
      <c r="A12" s="353"/>
      <c r="B12" s="79"/>
      <c r="C12" s="79"/>
      <c r="D12" s="79"/>
      <c r="E12" s="79"/>
      <c r="F12" s="79"/>
      <c r="G12" s="79"/>
      <c r="H12" s="79"/>
      <c r="I12" s="79"/>
      <c r="J12" s="79"/>
      <c r="K12" s="79"/>
      <c r="L12" s="354"/>
      <c r="N12" s="44" t="s">
        <v>288</v>
      </c>
      <c r="O12" s="106" t="s">
        <v>784</v>
      </c>
      <c r="P12" s="109">
        <f>'C Auswahl'!E12</f>
        <v>40</v>
      </c>
      <c r="Q12" s="44" t="s">
        <v>49</v>
      </c>
      <c r="R12" s="40"/>
      <c r="S12" s="51"/>
      <c r="T12" s="51"/>
      <c r="U12" s="40"/>
    </row>
    <row r="13" spans="1:24" ht="18" thickBot="1">
      <c r="A13" s="353"/>
      <c r="B13" s="79"/>
      <c r="C13" s="79"/>
      <c r="D13" s="79"/>
      <c r="E13" s="79"/>
      <c r="F13" s="79"/>
      <c r="G13" s="79"/>
      <c r="H13" s="79"/>
      <c r="I13" s="355"/>
      <c r="J13" s="79"/>
      <c r="K13" s="79"/>
      <c r="L13" s="354"/>
      <c r="M13" s="40"/>
      <c r="N13" s="52" t="s">
        <v>290</v>
      </c>
      <c r="O13" s="110" t="s">
        <v>291</v>
      </c>
      <c r="P13" s="57">
        <f>'C Auswahl'!E13</f>
        <v>4530</v>
      </c>
      <c r="Q13" s="52" t="s">
        <v>212</v>
      </c>
      <c r="R13" s="40"/>
      <c r="S13" s="42"/>
      <c r="T13" s="55"/>
      <c r="U13" s="40"/>
    </row>
    <row r="14" spans="1:24" ht="19.8">
      <c r="A14" s="353"/>
      <c r="B14" s="79"/>
      <c r="C14" s="79"/>
      <c r="D14" s="79"/>
      <c r="E14" s="79"/>
      <c r="F14" s="79"/>
      <c r="G14" s="79"/>
      <c r="H14" s="79"/>
      <c r="I14" s="355"/>
      <c r="J14" s="79"/>
      <c r="K14" s="79"/>
      <c r="L14" s="354"/>
      <c r="M14" s="40"/>
      <c r="N14" s="52" t="s">
        <v>292</v>
      </c>
      <c r="O14" s="111" t="s">
        <v>293</v>
      </c>
      <c r="P14" s="112">
        <f>'C Auswahl'!E14</f>
        <v>26</v>
      </c>
      <c r="Q14" s="52" t="s">
        <v>7</v>
      </c>
      <c r="R14" s="40"/>
      <c r="S14" s="42"/>
      <c r="T14" s="55"/>
      <c r="U14" s="40"/>
    </row>
    <row r="15" spans="1:24" ht="18" thickBot="1">
      <c r="A15" s="353"/>
      <c r="B15" s="79"/>
      <c r="C15" s="79"/>
      <c r="D15" s="79"/>
      <c r="E15" s="79"/>
      <c r="F15" s="79"/>
      <c r="G15" s="79"/>
      <c r="H15" s="79"/>
      <c r="I15" s="355"/>
      <c r="J15" s="79"/>
      <c r="K15" s="79"/>
      <c r="L15" s="354"/>
      <c r="M15" s="40"/>
      <c r="N15" s="52" t="s">
        <v>369</v>
      </c>
      <c r="O15" s="113" t="s">
        <v>295</v>
      </c>
      <c r="P15" s="114">
        <f>'C Auswahl'!E15</f>
        <v>0</v>
      </c>
      <c r="Q15" s="52" t="s">
        <v>5</v>
      </c>
      <c r="R15" s="40"/>
      <c r="S15" s="42"/>
      <c r="T15" s="55"/>
      <c r="U15" s="40"/>
    </row>
    <row r="16" spans="1:24" ht="17.399999999999999">
      <c r="A16" s="353"/>
      <c r="B16" s="79"/>
      <c r="C16" s="79"/>
      <c r="D16" s="79"/>
      <c r="E16" s="79"/>
      <c r="F16" s="79"/>
      <c r="G16" s="79"/>
      <c r="H16" s="79"/>
      <c r="I16" s="355"/>
      <c r="J16" s="79"/>
      <c r="K16" s="79"/>
      <c r="L16" s="354"/>
      <c r="M16" s="40"/>
      <c r="N16" s="59"/>
      <c r="O16" s="59"/>
      <c r="P16" s="60"/>
      <c r="Q16" s="59"/>
      <c r="R16" s="40"/>
      <c r="S16" s="42"/>
      <c r="T16" s="55"/>
      <c r="U16" s="40"/>
    </row>
    <row r="17" spans="1:24" ht="17.399999999999999">
      <c r="A17" s="353"/>
      <c r="B17" s="79"/>
      <c r="C17" s="79"/>
      <c r="D17" s="79"/>
      <c r="E17" s="79"/>
      <c r="F17" s="79"/>
      <c r="G17" s="79"/>
      <c r="H17" s="79"/>
      <c r="I17" s="355"/>
      <c r="J17" s="79"/>
      <c r="K17" s="79"/>
      <c r="L17" s="354"/>
      <c r="M17" s="43" t="s">
        <v>296</v>
      </c>
      <c r="N17" s="44" t="s">
        <v>297</v>
      </c>
      <c r="O17" s="44" t="s">
        <v>785</v>
      </c>
      <c r="P17" s="61">
        <f>IF(P11&lt;100,0,IF(([1]Daten!$B$68*POWER('C-C Auswahl'!$P$15,2)+[1]Daten!$C$68*'C-C Auswahl'!$P$15+[1]Daten!D68)*POWER('C-C Auswahl'!$P$11,2)+([1]Daten!$E$68*POWER('C-C Auswahl'!$P$15,2)+[1]Daten!$F$68*'C-C Auswahl'!$P$15+[1]Daten!$G$68)*'C-C Auswahl'!$P$11+([1]Daten!$H$68*POWER('C-C Auswahl'!$P$15,2)+[1]Daten!$I$68*'C-C Auswahl'!$P$15+[1]Daten!$J$68)-1&lt;0,0,([1]Daten!$B$68*POWER('C-C Auswahl'!$P$15,2)+[1]Daten!$C$68*'C-C Auswahl'!$P$15+[1]Daten!D68)*POWER('C-C Auswahl'!$P$11,2)+([1]Daten!$E$68*POWER('C-C Auswahl'!$P$15,2)+[1]Daten!$F$68*'C-C Auswahl'!$P$15+[1]Daten!$G$68)*'C-C Auswahl'!$P$11+([1]Daten!$H$68*POWER('C-C Auswahl'!$P$15,2)+[1]Daten!$I$68*'C-C Auswahl'!$P$15+[1]Daten!$J$68)-1))</f>
        <v>2.8400000000000425E-2</v>
      </c>
      <c r="Q17" s="44" t="s">
        <v>3</v>
      </c>
      <c r="R17" s="40"/>
      <c r="S17" s="40"/>
      <c r="T17" s="40"/>
      <c r="U17" s="40"/>
    </row>
    <row r="18" spans="1:24" ht="17.399999999999999">
      <c r="A18" s="353"/>
      <c r="B18" s="79"/>
      <c r="C18" s="79"/>
      <c r="D18" s="79"/>
      <c r="E18" s="79"/>
      <c r="F18" s="79"/>
      <c r="G18" s="79"/>
      <c r="H18" s="79"/>
      <c r="I18" s="355"/>
      <c r="J18" s="79"/>
      <c r="K18" s="79"/>
      <c r="L18" s="354"/>
      <c r="M18" s="353"/>
      <c r="N18" s="52" t="s">
        <v>299</v>
      </c>
      <c r="O18" s="52" t="s">
        <v>127</v>
      </c>
      <c r="P18" s="115">
        <f>P14/9.81+0.3+P17</f>
        <v>2.9787567787971461</v>
      </c>
      <c r="Q18" s="52" t="s">
        <v>3</v>
      </c>
      <c r="R18" s="47" t="s">
        <v>370</v>
      </c>
      <c r="S18" s="48"/>
      <c r="T18" s="48"/>
      <c r="U18" s="48"/>
      <c r="V18" s="49"/>
      <c r="W18" s="49"/>
      <c r="X18" s="49"/>
    </row>
    <row r="19" spans="1:24" ht="17.399999999999999">
      <c r="A19" s="353"/>
      <c r="B19" s="79"/>
      <c r="C19" s="79"/>
      <c r="D19" s="79"/>
      <c r="E19" s="79"/>
      <c r="F19" s="79"/>
      <c r="G19" s="79"/>
      <c r="H19" s="79"/>
      <c r="I19" s="355"/>
      <c r="J19" s="79"/>
      <c r="K19" s="79"/>
      <c r="L19" s="354"/>
      <c r="M19" s="356"/>
      <c r="N19" s="52" t="s">
        <v>371</v>
      </c>
      <c r="O19" s="52" t="s">
        <v>157</v>
      </c>
      <c r="P19" s="63">
        <f>P20-0.2</f>
        <v>3.2787567787971459</v>
      </c>
      <c r="Q19" s="52" t="s">
        <v>3</v>
      </c>
      <c r="R19" s="64" t="s">
        <v>303</v>
      </c>
      <c r="S19" s="65"/>
      <c r="T19" s="58"/>
      <c r="U19" s="58"/>
      <c r="V19" s="66"/>
      <c r="W19" s="66"/>
      <c r="X19" s="116"/>
    </row>
    <row r="20" spans="1:24" ht="17.399999999999999">
      <c r="A20" s="353"/>
      <c r="B20" s="79"/>
      <c r="C20" s="79"/>
      <c r="D20" s="79"/>
      <c r="E20" s="79"/>
      <c r="F20" s="79"/>
      <c r="G20" s="79"/>
      <c r="H20" s="79"/>
      <c r="I20" s="355"/>
      <c r="J20" s="79"/>
      <c r="K20" s="79"/>
      <c r="L20" s="354"/>
      <c r="M20" s="356"/>
      <c r="N20" s="52" t="s">
        <v>372</v>
      </c>
      <c r="O20" s="68" t="s">
        <v>786</v>
      </c>
      <c r="P20" s="69">
        <f>P18+0.5</f>
        <v>3.4787567787971461</v>
      </c>
      <c r="Q20" s="52" t="s">
        <v>3</v>
      </c>
      <c r="R20" s="64"/>
      <c r="S20" s="52"/>
      <c r="T20" s="58"/>
      <c r="U20" s="58"/>
      <c r="V20" s="70"/>
      <c r="W20" s="70"/>
      <c r="X20" s="116"/>
    </row>
    <row r="21" spans="1:24" ht="17.399999999999999">
      <c r="A21" s="353"/>
      <c r="B21" s="79"/>
      <c r="C21" s="79"/>
      <c r="D21" s="79"/>
      <c r="E21" s="79"/>
      <c r="F21" s="79"/>
      <c r="G21" s="79"/>
      <c r="H21" s="79"/>
      <c r="I21" s="355"/>
      <c r="J21" s="79"/>
      <c r="K21" s="79"/>
      <c r="L21" s="354"/>
      <c r="M21" s="356"/>
      <c r="N21" s="52" t="s">
        <v>373</v>
      </c>
      <c r="O21" s="58" t="s">
        <v>307</v>
      </c>
      <c r="P21" s="73">
        <f>P20+0.2</f>
        <v>3.6787567787971462</v>
      </c>
      <c r="Q21" s="58"/>
      <c r="R21" s="64" t="s">
        <v>303</v>
      </c>
      <c r="S21" s="58"/>
      <c r="T21" s="58"/>
      <c r="U21" s="58"/>
      <c r="V21" s="66"/>
      <c r="W21" s="66"/>
      <c r="X21" s="116"/>
    </row>
    <row r="22" spans="1:24" ht="17.399999999999999">
      <c r="A22" s="353"/>
      <c r="B22" s="79"/>
      <c r="C22" s="79"/>
      <c r="D22" s="79"/>
      <c r="E22" s="79"/>
      <c r="F22" s="79"/>
      <c r="G22" s="79"/>
      <c r="H22" s="79"/>
      <c r="I22" s="355"/>
      <c r="J22" s="79"/>
      <c r="K22" s="79"/>
      <c r="L22" s="354"/>
      <c r="M22" s="356"/>
      <c r="N22" s="52" t="s">
        <v>308</v>
      </c>
      <c r="O22" s="52" t="s">
        <v>787</v>
      </c>
      <c r="P22" s="74">
        <f>IF(0.0058*P12+ 0.094&lt;0.384,0.384,0.0058*P12+ 0.094)</f>
        <v>0.38400000000000001</v>
      </c>
      <c r="Q22" s="52" t="s">
        <v>310</v>
      </c>
      <c r="R22" s="357"/>
      <c r="S22" s="42"/>
      <c r="T22" s="42"/>
      <c r="U22" s="42"/>
      <c r="V22" s="79"/>
    </row>
    <row r="23" spans="1:24" ht="17.399999999999999">
      <c r="A23" s="353"/>
      <c r="B23" s="79"/>
      <c r="C23" s="79"/>
      <c r="D23" s="79"/>
      <c r="E23" s="79"/>
      <c r="F23" s="79"/>
      <c r="G23" s="79"/>
      <c r="H23" s="79"/>
      <c r="I23" s="355"/>
      <c r="J23" s="79"/>
      <c r="K23" s="79"/>
      <c r="L23" s="354"/>
      <c r="M23" s="358"/>
      <c r="N23" s="52" t="s">
        <v>311</v>
      </c>
      <c r="O23" s="68" t="s">
        <v>788</v>
      </c>
      <c r="P23" s="78">
        <f>P22*P13</f>
        <v>1739.52</v>
      </c>
      <c r="Q23" s="52" t="s">
        <v>313</v>
      </c>
      <c r="R23" s="359"/>
      <c r="S23" s="59"/>
      <c r="T23" s="59"/>
      <c r="U23" s="59"/>
      <c r="V23" s="79"/>
    </row>
    <row r="24" spans="1:24" ht="17.399999999999999">
      <c r="A24" s="360"/>
      <c r="B24" s="361"/>
      <c r="C24" s="361"/>
      <c r="D24" s="361"/>
      <c r="E24" s="361"/>
      <c r="F24" s="361"/>
      <c r="G24" s="361"/>
      <c r="H24" s="361"/>
      <c r="I24" s="361"/>
      <c r="J24" s="361"/>
      <c r="K24" s="361"/>
      <c r="L24" s="362"/>
      <c r="M24" s="363"/>
      <c r="N24" s="364"/>
      <c r="O24" s="364"/>
      <c r="P24" s="365"/>
      <c r="Q24" s="364"/>
      <c r="R24" s="366"/>
      <c r="S24" s="59"/>
      <c r="T24" s="59"/>
      <c r="U24" s="59"/>
      <c r="V24" s="79"/>
    </row>
  </sheetData>
  <pageMargins left="0.59055118110236227" right="0.59055118110236227" top="0.39370078740157483" bottom="0.19685039370078741" header="0.51181102362204722" footer="0"/>
  <pageSetup paperSize="9" scale="46" orientation="landscape" r:id="rId1"/>
  <headerFooter>
    <oddFooter>&amp;L&amp;F</oddFooter>
  </headerFooter>
  <rowBreaks count="6" manualBreakCount="6">
    <brk id="77" max="17" man="1"/>
    <brk id="131" max="17" man="1"/>
    <brk id="184" max="17" man="1"/>
    <brk id="242" max="17" man="1"/>
    <brk id="298" max="17" man="1"/>
    <brk id="357" max="1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3"/>
  <dimension ref="A1:W71"/>
  <sheetViews>
    <sheetView zoomScaleNormal="100" workbookViewId="0">
      <pane ySplit="14" topLeftCell="A15" activePane="bottomLeft" state="frozenSplit"/>
      <selection pane="bottomLeft" activeCell="A33" sqref="A33:Q51"/>
    </sheetView>
  </sheetViews>
  <sheetFormatPr defaultColWidth="10" defaultRowHeight="13.2"/>
  <cols>
    <col min="1" max="1" width="14.3984375" style="39" customWidth="1"/>
    <col min="2" max="2" width="11" style="39" bestFit="1" customWidth="1"/>
    <col min="3" max="4" width="10.09765625" style="39" bestFit="1" customWidth="1"/>
    <col min="5" max="5" width="10.3984375" style="39" customWidth="1"/>
    <col min="6" max="7" width="10.09765625" style="39" bestFit="1" customWidth="1"/>
    <col min="8" max="17" width="10" style="39" customWidth="1"/>
    <col min="18" max="18" width="10" style="353" customWidth="1"/>
    <col min="19" max="256" width="10" style="39"/>
    <col min="257" max="257" width="14.3984375" style="39" customWidth="1"/>
    <col min="258" max="258" width="11" style="39" bestFit="1" customWidth="1"/>
    <col min="259" max="260" width="10.09765625" style="39" bestFit="1" customWidth="1"/>
    <col min="261" max="261" width="10.3984375" style="39" customWidth="1"/>
    <col min="262" max="263" width="10.09765625" style="39" bestFit="1" customWidth="1"/>
    <col min="264" max="274" width="10" style="39" customWidth="1"/>
    <col min="275" max="512" width="10" style="39"/>
    <col min="513" max="513" width="14.3984375" style="39" customWidth="1"/>
    <col min="514" max="514" width="11" style="39" bestFit="1" customWidth="1"/>
    <col min="515" max="516" width="10.09765625" style="39" bestFit="1" customWidth="1"/>
    <col min="517" max="517" width="10.3984375" style="39" customWidth="1"/>
    <col min="518" max="519" width="10.09765625" style="39" bestFit="1" customWidth="1"/>
    <col min="520" max="530" width="10" style="39" customWidth="1"/>
    <col min="531" max="768" width="10" style="39"/>
    <col min="769" max="769" width="14.3984375" style="39" customWidth="1"/>
    <col min="770" max="770" width="11" style="39" bestFit="1" customWidth="1"/>
    <col min="771" max="772" width="10.09765625" style="39" bestFit="1" customWidth="1"/>
    <col min="773" max="773" width="10.3984375" style="39" customWidth="1"/>
    <col min="774" max="775" width="10.09765625" style="39" bestFit="1" customWidth="1"/>
    <col min="776" max="786" width="10" style="39" customWidth="1"/>
    <col min="787" max="1024" width="10" style="39"/>
    <col min="1025" max="1025" width="14.3984375" style="39" customWidth="1"/>
    <col min="1026" max="1026" width="11" style="39" bestFit="1" customWidth="1"/>
    <col min="1027" max="1028" width="10.09765625" style="39" bestFit="1" customWidth="1"/>
    <col min="1029" max="1029" width="10.3984375" style="39" customWidth="1"/>
    <col min="1030" max="1031" width="10.09765625" style="39" bestFit="1" customWidth="1"/>
    <col min="1032" max="1042" width="10" style="39" customWidth="1"/>
    <col min="1043" max="1280" width="10" style="39"/>
    <col min="1281" max="1281" width="14.3984375" style="39" customWidth="1"/>
    <col min="1282" max="1282" width="11" style="39" bestFit="1" customWidth="1"/>
    <col min="1283" max="1284" width="10.09765625" style="39" bestFit="1" customWidth="1"/>
    <col min="1285" max="1285" width="10.3984375" style="39" customWidth="1"/>
    <col min="1286" max="1287" width="10.09765625" style="39" bestFit="1" customWidth="1"/>
    <col min="1288" max="1298" width="10" style="39" customWidth="1"/>
    <col min="1299" max="1536" width="10" style="39"/>
    <col min="1537" max="1537" width="14.3984375" style="39" customWidth="1"/>
    <col min="1538" max="1538" width="11" style="39" bestFit="1" customWidth="1"/>
    <col min="1539" max="1540" width="10.09765625" style="39" bestFit="1" customWidth="1"/>
    <col min="1541" max="1541" width="10.3984375" style="39" customWidth="1"/>
    <col min="1542" max="1543" width="10.09765625" style="39" bestFit="1" customWidth="1"/>
    <col min="1544" max="1554" width="10" style="39" customWidth="1"/>
    <col min="1555" max="1792" width="10" style="39"/>
    <col min="1793" max="1793" width="14.3984375" style="39" customWidth="1"/>
    <col min="1794" max="1794" width="11" style="39" bestFit="1" customWidth="1"/>
    <col min="1795" max="1796" width="10.09765625" style="39" bestFit="1" customWidth="1"/>
    <col min="1797" max="1797" width="10.3984375" style="39" customWidth="1"/>
    <col min="1798" max="1799" width="10.09765625" style="39" bestFit="1" customWidth="1"/>
    <col min="1800" max="1810" width="10" style="39" customWidth="1"/>
    <col min="1811" max="2048" width="10" style="39"/>
    <col min="2049" max="2049" width="14.3984375" style="39" customWidth="1"/>
    <col min="2050" max="2050" width="11" style="39" bestFit="1" customWidth="1"/>
    <col min="2051" max="2052" width="10.09765625" style="39" bestFit="1" customWidth="1"/>
    <col min="2053" max="2053" width="10.3984375" style="39" customWidth="1"/>
    <col min="2054" max="2055" width="10.09765625" style="39" bestFit="1" customWidth="1"/>
    <col min="2056" max="2066" width="10" style="39" customWidth="1"/>
    <col min="2067" max="2304" width="10" style="39"/>
    <col min="2305" max="2305" width="14.3984375" style="39" customWidth="1"/>
    <col min="2306" max="2306" width="11" style="39" bestFit="1" customWidth="1"/>
    <col min="2307" max="2308" width="10.09765625" style="39" bestFit="1" customWidth="1"/>
    <col min="2309" max="2309" width="10.3984375" style="39" customWidth="1"/>
    <col min="2310" max="2311" width="10.09765625" style="39" bestFit="1" customWidth="1"/>
    <col min="2312" max="2322" width="10" style="39" customWidth="1"/>
    <col min="2323" max="2560" width="10" style="39"/>
    <col min="2561" max="2561" width="14.3984375" style="39" customWidth="1"/>
    <col min="2562" max="2562" width="11" style="39" bestFit="1" customWidth="1"/>
    <col min="2563" max="2564" width="10.09765625" style="39" bestFit="1" customWidth="1"/>
    <col min="2565" max="2565" width="10.3984375" style="39" customWidth="1"/>
    <col min="2566" max="2567" width="10.09765625" style="39" bestFit="1" customWidth="1"/>
    <col min="2568" max="2578" width="10" style="39" customWidth="1"/>
    <col min="2579" max="2816" width="10" style="39"/>
    <col min="2817" max="2817" width="14.3984375" style="39" customWidth="1"/>
    <col min="2818" max="2818" width="11" style="39" bestFit="1" customWidth="1"/>
    <col min="2819" max="2820" width="10.09765625" style="39" bestFit="1" customWidth="1"/>
    <col min="2821" max="2821" width="10.3984375" style="39" customWidth="1"/>
    <col min="2822" max="2823" width="10.09765625" style="39" bestFit="1" customWidth="1"/>
    <col min="2824" max="2834" width="10" style="39" customWidth="1"/>
    <col min="2835" max="3072" width="10" style="39"/>
    <col min="3073" max="3073" width="14.3984375" style="39" customWidth="1"/>
    <col min="3074" max="3074" width="11" style="39" bestFit="1" customWidth="1"/>
    <col min="3075" max="3076" width="10.09765625" style="39" bestFit="1" customWidth="1"/>
    <col min="3077" max="3077" width="10.3984375" style="39" customWidth="1"/>
    <col min="3078" max="3079" width="10.09765625" style="39" bestFit="1" customWidth="1"/>
    <col min="3080" max="3090" width="10" style="39" customWidth="1"/>
    <col min="3091" max="3328" width="10" style="39"/>
    <col min="3329" max="3329" width="14.3984375" style="39" customWidth="1"/>
    <col min="3330" max="3330" width="11" style="39" bestFit="1" customWidth="1"/>
    <col min="3331" max="3332" width="10.09765625" style="39" bestFit="1" customWidth="1"/>
    <col min="3333" max="3333" width="10.3984375" style="39" customWidth="1"/>
    <col min="3334" max="3335" width="10.09765625" style="39" bestFit="1" customWidth="1"/>
    <col min="3336" max="3346" width="10" style="39" customWidth="1"/>
    <col min="3347" max="3584" width="10" style="39"/>
    <col min="3585" max="3585" width="14.3984375" style="39" customWidth="1"/>
    <col min="3586" max="3586" width="11" style="39" bestFit="1" customWidth="1"/>
    <col min="3587" max="3588" width="10.09765625" style="39" bestFit="1" customWidth="1"/>
    <col min="3589" max="3589" width="10.3984375" style="39" customWidth="1"/>
    <col min="3590" max="3591" width="10.09765625" style="39" bestFit="1" customWidth="1"/>
    <col min="3592" max="3602" width="10" style="39" customWidth="1"/>
    <col min="3603" max="3840" width="10" style="39"/>
    <col min="3841" max="3841" width="14.3984375" style="39" customWidth="1"/>
    <col min="3842" max="3842" width="11" style="39" bestFit="1" customWidth="1"/>
    <col min="3843" max="3844" width="10.09765625" style="39" bestFit="1" customWidth="1"/>
    <col min="3845" max="3845" width="10.3984375" style="39" customWidth="1"/>
    <col min="3846" max="3847" width="10.09765625" style="39" bestFit="1" customWidth="1"/>
    <col min="3848" max="3858" width="10" style="39" customWidth="1"/>
    <col min="3859" max="4096" width="10" style="39"/>
    <col min="4097" max="4097" width="14.3984375" style="39" customWidth="1"/>
    <col min="4098" max="4098" width="11" style="39" bestFit="1" customWidth="1"/>
    <col min="4099" max="4100" width="10.09765625" style="39" bestFit="1" customWidth="1"/>
    <col min="4101" max="4101" width="10.3984375" style="39" customWidth="1"/>
    <col min="4102" max="4103" width="10.09765625" style="39" bestFit="1" customWidth="1"/>
    <col min="4104" max="4114" width="10" style="39" customWidth="1"/>
    <col min="4115" max="4352" width="10" style="39"/>
    <col min="4353" max="4353" width="14.3984375" style="39" customWidth="1"/>
    <col min="4354" max="4354" width="11" style="39" bestFit="1" customWidth="1"/>
    <col min="4355" max="4356" width="10.09765625" style="39" bestFit="1" customWidth="1"/>
    <col min="4357" max="4357" width="10.3984375" style="39" customWidth="1"/>
    <col min="4358" max="4359" width="10.09765625" style="39" bestFit="1" customWidth="1"/>
    <col min="4360" max="4370" width="10" style="39" customWidth="1"/>
    <col min="4371" max="4608" width="10" style="39"/>
    <col min="4609" max="4609" width="14.3984375" style="39" customWidth="1"/>
    <col min="4610" max="4610" width="11" style="39" bestFit="1" customWidth="1"/>
    <col min="4611" max="4612" width="10.09765625" style="39" bestFit="1" customWidth="1"/>
    <col min="4613" max="4613" width="10.3984375" style="39" customWidth="1"/>
    <col min="4614" max="4615" width="10.09765625" style="39" bestFit="1" customWidth="1"/>
    <col min="4616" max="4626" width="10" style="39" customWidth="1"/>
    <col min="4627" max="4864" width="10" style="39"/>
    <col min="4865" max="4865" width="14.3984375" style="39" customWidth="1"/>
    <col min="4866" max="4866" width="11" style="39" bestFit="1" customWidth="1"/>
    <col min="4867" max="4868" width="10.09765625" style="39" bestFit="1" customWidth="1"/>
    <col min="4869" max="4869" width="10.3984375" style="39" customWidth="1"/>
    <col min="4870" max="4871" width="10.09765625" style="39" bestFit="1" customWidth="1"/>
    <col min="4872" max="4882" width="10" style="39" customWidth="1"/>
    <col min="4883" max="5120" width="10" style="39"/>
    <col min="5121" max="5121" width="14.3984375" style="39" customWidth="1"/>
    <col min="5122" max="5122" width="11" style="39" bestFit="1" customWidth="1"/>
    <col min="5123" max="5124" width="10.09765625" style="39" bestFit="1" customWidth="1"/>
    <col min="5125" max="5125" width="10.3984375" style="39" customWidth="1"/>
    <col min="5126" max="5127" width="10.09765625" style="39" bestFit="1" customWidth="1"/>
    <col min="5128" max="5138" width="10" style="39" customWidth="1"/>
    <col min="5139" max="5376" width="10" style="39"/>
    <col min="5377" max="5377" width="14.3984375" style="39" customWidth="1"/>
    <col min="5378" max="5378" width="11" style="39" bestFit="1" customWidth="1"/>
    <col min="5379" max="5380" width="10.09765625" style="39" bestFit="1" customWidth="1"/>
    <col min="5381" max="5381" width="10.3984375" style="39" customWidth="1"/>
    <col min="5382" max="5383" width="10.09765625" style="39" bestFit="1" customWidth="1"/>
    <col min="5384" max="5394" width="10" style="39" customWidth="1"/>
    <col min="5395" max="5632" width="10" style="39"/>
    <col min="5633" max="5633" width="14.3984375" style="39" customWidth="1"/>
    <col min="5634" max="5634" width="11" style="39" bestFit="1" customWidth="1"/>
    <col min="5635" max="5636" width="10.09765625" style="39" bestFit="1" customWidth="1"/>
    <col min="5637" max="5637" width="10.3984375" style="39" customWidth="1"/>
    <col min="5638" max="5639" width="10.09765625" style="39" bestFit="1" customWidth="1"/>
    <col min="5640" max="5650" width="10" style="39" customWidth="1"/>
    <col min="5651" max="5888" width="10" style="39"/>
    <col min="5889" max="5889" width="14.3984375" style="39" customWidth="1"/>
    <col min="5890" max="5890" width="11" style="39" bestFit="1" customWidth="1"/>
    <col min="5891" max="5892" width="10.09765625" style="39" bestFit="1" customWidth="1"/>
    <col min="5893" max="5893" width="10.3984375" style="39" customWidth="1"/>
    <col min="5894" max="5895" width="10.09765625" style="39" bestFit="1" customWidth="1"/>
    <col min="5896" max="5906" width="10" style="39" customWidth="1"/>
    <col min="5907" max="6144" width="10" style="39"/>
    <col min="6145" max="6145" width="14.3984375" style="39" customWidth="1"/>
    <col min="6146" max="6146" width="11" style="39" bestFit="1" customWidth="1"/>
    <col min="6147" max="6148" width="10.09765625" style="39" bestFit="1" customWidth="1"/>
    <col min="6149" max="6149" width="10.3984375" style="39" customWidth="1"/>
    <col min="6150" max="6151" width="10.09765625" style="39" bestFit="1" customWidth="1"/>
    <col min="6152" max="6162" width="10" style="39" customWidth="1"/>
    <col min="6163" max="6400" width="10" style="39"/>
    <col min="6401" max="6401" width="14.3984375" style="39" customWidth="1"/>
    <col min="6402" max="6402" width="11" style="39" bestFit="1" customWidth="1"/>
    <col min="6403" max="6404" width="10.09765625" style="39" bestFit="1" customWidth="1"/>
    <col min="6405" max="6405" width="10.3984375" style="39" customWidth="1"/>
    <col min="6406" max="6407" width="10.09765625" style="39" bestFit="1" customWidth="1"/>
    <col min="6408" max="6418" width="10" style="39" customWidth="1"/>
    <col min="6419" max="6656" width="10" style="39"/>
    <col min="6657" max="6657" width="14.3984375" style="39" customWidth="1"/>
    <col min="6658" max="6658" width="11" style="39" bestFit="1" customWidth="1"/>
    <col min="6659" max="6660" width="10.09765625" style="39" bestFit="1" customWidth="1"/>
    <col min="6661" max="6661" width="10.3984375" style="39" customWidth="1"/>
    <col min="6662" max="6663" width="10.09765625" style="39" bestFit="1" customWidth="1"/>
    <col min="6664" max="6674" width="10" style="39" customWidth="1"/>
    <col min="6675" max="6912" width="10" style="39"/>
    <col min="6913" max="6913" width="14.3984375" style="39" customWidth="1"/>
    <col min="6914" max="6914" width="11" style="39" bestFit="1" customWidth="1"/>
    <col min="6915" max="6916" width="10.09765625" style="39" bestFit="1" customWidth="1"/>
    <col min="6917" max="6917" width="10.3984375" style="39" customWidth="1"/>
    <col min="6918" max="6919" width="10.09765625" style="39" bestFit="1" customWidth="1"/>
    <col min="6920" max="6930" width="10" style="39" customWidth="1"/>
    <col min="6931" max="7168" width="10" style="39"/>
    <col min="7169" max="7169" width="14.3984375" style="39" customWidth="1"/>
    <col min="7170" max="7170" width="11" style="39" bestFit="1" customWidth="1"/>
    <col min="7171" max="7172" width="10.09765625" style="39" bestFit="1" customWidth="1"/>
    <col min="7173" max="7173" width="10.3984375" style="39" customWidth="1"/>
    <col min="7174" max="7175" width="10.09765625" style="39" bestFit="1" customWidth="1"/>
    <col min="7176" max="7186" width="10" style="39" customWidth="1"/>
    <col min="7187" max="7424" width="10" style="39"/>
    <col min="7425" max="7425" width="14.3984375" style="39" customWidth="1"/>
    <col min="7426" max="7426" width="11" style="39" bestFit="1" customWidth="1"/>
    <col min="7427" max="7428" width="10.09765625" style="39" bestFit="1" customWidth="1"/>
    <col min="7429" max="7429" width="10.3984375" style="39" customWidth="1"/>
    <col min="7430" max="7431" width="10.09765625" style="39" bestFit="1" customWidth="1"/>
    <col min="7432" max="7442" width="10" style="39" customWidth="1"/>
    <col min="7443" max="7680" width="10" style="39"/>
    <col min="7681" max="7681" width="14.3984375" style="39" customWidth="1"/>
    <col min="7682" max="7682" width="11" style="39" bestFit="1" customWidth="1"/>
    <col min="7683" max="7684" width="10.09765625" style="39" bestFit="1" customWidth="1"/>
    <col min="7685" max="7685" width="10.3984375" style="39" customWidth="1"/>
    <col min="7686" max="7687" width="10.09765625" style="39" bestFit="1" customWidth="1"/>
    <col min="7688" max="7698" width="10" style="39" customWidth="1"/>
    <col min="7699" max="7936" width="10" style="39"/>
    <col min="7937" max="7937" width="14.3984375" style="39" customWidth="1"/>
    <col min="7938" max="7938" width="11" style="39" bestFit="1" customWidth="1"/>
    <col min="7939" max="7940" width="10.09765625" style="39" bestFit="1" customWidth="1"/>
    <col min="7941" max="7941" width="10.3984375" style="39" customWidth="1"/>
    <col min="7942" max="7943" width="10.09765625" style="39" bestFit="1" customWidth="1"/>
    <col min="7944" max="7954" width="10" style="39" customWidth="1"/>
    <col min="7955" max="8192" width="10" style="39"/>
    <col min="8193" max="8193" width="14.3984375" style="39" customWidth="1"/>
    <col min="8194" max="8194" width="11" style="39" bestFit="1" customWidth="1"/>
    <col min="8195" max="8196" width="10.09765625" style="39" bestFit="1" customWidth="1"/>
    <col min="8197" max="8197" width="10.3984375" style="39" customWidth="1"/>
    <col min="8198" max="8199" width="10.09765625" style="39" bestFit="1" customWidth="1"/>
    <col min="8200" max="8210" width="10" style="39" customWidth="1"/>
    <col min="8211" max="8448" width="10" style="39"/>
    <col min="8449" max="8449" width="14.3984375" style="39" customWidth="1"/>
    <col min="8450" max="8450" width="11" style="39" bestFit="1" customWidth="1"/>
    <col min="8451" max="8452" width="10.09765625" style="39" bestFit="1" customWidth="1"/>
    <col min="8453" max="8453" width="10.3984375" style="39" customWidth="1"/>
    <col min="8454" max="8455" width="10.09765625" style="39" bestFit="1" customWidth="1"/>
    <col min="8456" max="8466" width="10" style="39" customWidth="1"/>
    <col min="8467" max="8704" width="10" style="39"/>
    <col min="8705" max="8705" width="14.3984375" style="39" customWidth="1"/>
    <col min="8706" max="8706" width="11" style="39" bestFit="1" customWidth="1"/>
    <col min="8707" max="8708" width="10.09765625" style="39" bestFit="1" customWidth="1"/>
    <col min="8709" max="8709" width="10.3984375" style="39" customWidth="1"/>
    <col min="8710" max="8711" width="10.09765625" style="39" bestFit="1" customWidth="1"/>
    <col min="8712" max="8722" width="10" style="39" customWidth="1"/>
    <col min="8723" max="8960" width="10" style="39"/>
    <col min="8961" max="8961" width="14.3984375" style="39" customWidth="1"/>
    <col min="8962" max="8962" width="11" style="39" bestFit="1" customWidth="1"/>
    <col min="8963" max="8964" width="10.09765625" style="39" bestFit="1" customWidth="1"/>
    <col min="8965" max="8965" width="10.3984375" style="39" customWidth="1"/>
    <col min="8966" max="8967" width="10.09765625" style="39" bestFit="1" customWidth="1"/>
    <col min="8968" max="8978" width="10" style="39" customWidth="1"/>
    <col min="8979" max="9216" width="10" style="39"/>
    <col min="9217" max="9217" width="14.3984375" style="39" customWidth="1"/>
    <col min="9218" max="9218" width="11" style="39" bestFit="1" customWidth="1"/>
    <col min="9219" max="9220" width="10.09765625" style="39" bestFit="1" customWidth="1"/>
    <col min="9221" max="9221" width="10.3984375" style="39" customWidth="1"/>
    <col min="9222" max="9223" width="10.09765625" style="39" bestFit="1" customWidth="1"/>
    <col min="9224" max="9234" width="10" style="39" customWidth="1"/>
    <col min="9235" max="9472" width="10" style="39"/>
    <col min="9473" max="9473" width="14.3984375" style="39" customWidth="1"/>
    <col min="9474" max="9474" width="11" style="39" bestFit="1" customWidth="1"/>
    <col min="9475" max="9476" width="10.09765625" style="39" bestFit="1" customWidth="1"/>
    <col min="9477" max="9477" width="10.3984375" style="39" customWidth="1"/>
    <col min="9478" max="9479" width="10.09765625" style="39" bestFit="1" customWidth="1"/>
    <col min="9480" max="9490" width="10" style="39" customWidth="1"/>
    <col min="9491" max="9728" width="10" style="39"/>
    <col min="9729" max="9729" width="14.3984375" style="39" customWidth="1"/>
    <col min="9730" max="9730" width="11" style="39" bestFit="1" customWidth="1"/>
    <col min="9731" max="9732" width="10.09765625" style="39" bestFit="1" customWidth="1"/>
    <col min="9733" max="9733" width="10.3984375" style="39" customWidth="1"/>
    <col min="9734" max="9735" width="10.09765625" style="39" bestFit="1" customWidth="1"/>
    <col min="9736" max="9746" width="10" style="39" customWidth="1"/>
    <col min="9747" max="9984" width="10" style="39"/>
    <col min="9985" max="9985" width="14.3984375" style="39" customWidth="1"/>
    <col min="9986" max="9986" width="11" style="39" bestFit="1" customWidth="1"/>
    <col min="9987" max="9988" width="10.09765625" style="39" bestFit="1" customWidth="1"/>
    <col min="9989" max="9989" width="10.3984375" style="39" customWidth="1"/>
    <col min="9990" max="9991" width="10.09765625" style="39" bestFit="1" customWidth="1"/>
    <col min="9992" max="10002" width="10" style="39" customWidth="1"/>
    <col min="10003" max="10240" width="10" style="39"/>
    <col min="10241" max="10241" width="14.3984375" style="39" customWidth="1"/>
    <col min="10242" max="10242" width="11" style="39" bestFit="1" customWidth="1"/>
    <col min="10243" max="10244" width="10.09765625" style="39" bestFit="1" customWidth="1"/>
    <col min="10245" max="10245" width="10.3984375" style="39" customWidth="1"/>
    <col min="10246" max="10247" width="10.09765625" style="39" bestFit="1" customWidth="1"/>
    <col min="10248" max="10258" width="10" style="39" customWidth="1"/>
    <col min="10259" max="10496" width="10" style="39"/>
    <col min="10497" max="10497" width="14.3984375" style="39" customWidth="1"/>
    <col min="10498" max="10498" width="11" style="39" bestFit="1" customWidth="1"/>
    <col min="10499" max="10500" width="10.09765625" style="39" bestFit="1" customWidth="1"/>
    <col min="10501" max="10501" width="10.3984375" style="39" customWidth="1"/>
    <col min="10502" max="10503" width="10.09765625" style="39" bestFit="1" customWidth="1"/>
    <col min="10504" max="10514" width="10" style="39" customWidth="1"/>
    <col min="10515" max="10752" width="10" style="39"/>
    <col min="10753" max="10753" width="14.3984375" style="39" customWidth="1"/>
    <col min="10754" max="10754" width="11" style="39" bestFit="1" customWidth="1"/>
    <col min="10755" max="10756" width="10.09765625" style="39" bestFit="1" customWidth="1"/>
    <col min="10757" max="10757" width="10.3984375" style="39" customWidth="1"/>
    <col min="10758" max="10759" width="10.09765625" style="39" bestFit="1" customWidth="1"/>
    <col min="10760" max="10770" width="10" style="39" customWidth="1"/>
    <col min="10771" max="11008" width="10" style="39"/>
    <col min="11009" max="11009" width="14.3984375" style="39" customWidth="1"/>
    <col min="11010" max="11010" width="11" style="39" bestFit="1" customWidth="1"/>
    <col min="11011" max="11012" width="10.09765625" style="39" bestFit="1" customWidth="1"/>
    <col min="11013" max="11013" width="10.3984375" style="39" customWidth="1"/>
    <col min="11014" max="11015" width="10.09765625" style="39" bestFit="1" customWidth="1"/>
    <col min="11016" max="11026" width="10" style="39" customWidth="1"/>
    <col min="11027" max="11264" width="10" style="39"/>
    <col min="11265" max="11265" width="14.3984375" style="39" customWidth="1"/>
    <col min="11266" max="11266" width="11" style="39" bestFit="1" customWidth="1"/>
    <col min="11267" max="11268" width="10.09765625" style="39" bestFit="1" customWidth="1"/>
    <col min="11269" max="11269" width="10.3984375" style="39" customWidth="1"/>
    <col min="11270" max="11271" width="10.09765625" style="39" bestFit="1" customWidth="1"/>
    <col min="11272" max="11282" width="10" style="39" customWidth="1"/>
    <col min="11283" max="11520" width="10" style="39"/>
    <col min="11521" max="11521" width="14.3984375" style="39" customWidth="1"/>
    <col min="11522" max="11522" width="11" style="39" bestFit="1" customWidth="1"/>
    <col min="11523" max="11524" width="10.09765625" style="39" bestFit="1" customWidth="1"/>
    <col min="11525" max="11525" width="10.3984375" style="39" customWidth="1"/>
    <col min="11526" max="11527" width="10.09765625" style="39" bestFit="1" customWidth="1"/>
    <col min="11528" max="11538" width="10" style="39" customWidth="1"/>
    <col min="11539" max="11776" width="10" style="39"/>
    <col min="11777" max="11777" width="14.3984375" style="39" customWidth="1"/>
    <col min="11778" max="11778" width="11" style="39" bestFit="1" customWidth="1"/>
    <col min="11779" max="11780" width="10.09765625" style="39" bestFit="1" customWidth="1"/>
    <col min="11781" max="11781" width="10.3984375" style="39" customWidth="1"/>
    <col min="11782" max="11783" width="10.09765625" style="39" bestFit="1" customWidth="1"/>
    <col min="11784" max="11794" width="10" style="39" customWidth="1"/>
    <col min="11795" max="12032" width="10" style="39"/>
    <col min="12033" max="12033" width="14.3984375" style="39" customWidth="1"/>
    <col min="12034" max="12034" width="11" style="39" bestFit="1" customWidth="1"/>
    <col min="12035" max="12036" width="10.09765625" style="39" bestFit="1" customWidth="1"/>
    <col min="12037" max="12037" width="10.3984375" style="39" customWidth="1"/>
    <col min="12038" max="12039" width="10.09765625" style="39" bestFit="1" customWidth="1"/>
    <col min="12040" max="12050" width="10" style="39" customWidth="1"/>
    <col min="12051" max="12288" width="10" style="39"/>
    <col min="12289" max="12289" width="14.3984375" style="39" customWidth="1"/>
    <col min="12290" max="12290" width="11" style="39" bestFit="1" customWidth="1"/>
    <col min="12291" max="12292" width="10.09765625" style="39" bestFit="1" customWidth="1"/>
    <col min="12293" max="12293" width="10.3984375" style="39" customWidth="1"/>
    <col min="12294" max="12295" width="10.09765625" style="39" bestFit="1" customWidth="1"/>
    <col min="12296" max="12306" width="10" style="39" customWidth="1"/>
    <col min="12307" max="12544" width="10" style="39"/>
    <col min="12545" max="12545" width="14.3984375" style="39" customWidth="1"/>
    <col min="12546" max="12546" width="11" style="39" bestFit="1" customWidth="1"/>
    <col min="12547" max="12548" width="10.09765625" style="39" bestFit="1" customWidth="1"/>
    <col min="12549" max="12549" width="10.3984375" style="39" customWidth="1"/>
    <col min="12550" max="12551" width="10.09765625" style="39" bestFit="1" customWidth="1"/>
    <col min="12552" max="12562" width="10" style="39" customWidth="1"/>
    <col min="12563" max="12800" width="10" style="39"/>
    <col min="12801" max="12801" width="14.3984375" style="39" customWidth="1"/>
    <col min="12802" max="12802" width="11" style="39" bestFit="1" customWidth="1"/>
    <col min="12803" max="12804" width="10.09765625" style="39" bestFit="1" customWidth="1"/>
    <col min="12805" max="12805" width="10.3984375" style="39" customWidth="1"/>
    <col min="12806" max="12807" width="10.09765625" style="39" bestFit="1" customWidth="1"/>
    <col min="12808" max="12818" width="10" style="39" customWidth="1"/>
    <col min="12819" max="13056" width="10" style="39"/>
    <col min="13057" max="13057" width="14.3984375" style="39" customWidth="1"/>
    <col min="13058" max="13058" width="11" style="39" bestFit="1" customWidth="1"/>
    <col min="13059" max="13060" width="10.09765625" style="39" bestFit="1" customWidth="1"/>
    <col min="13061" max="13061" width="10.3984375" style="39" customWidth="1"/>
    <col min="13062" max="13063" width="10.09765625" style="39" bestFit="1" customWidth="1"/>
    <col min="13064" max="13074" width="10" style="39" customWidth="1"/>
    <col min="13075" max="13312" width="10" style="39"/>
    <col min="13313" max="13313" width="14.3984375" style="39" customWidth="1"/>
    <col min="13314" max="13314" width="11" style="39" bestFit="1" customWidth="1"/>
    <col min="13315" max="13316" width="10.09765625" style="39" bestFit="1" customWidth="1"/>
    <col min="13317" max="13317" width="10.3984375" style="39" customWidth="1"/>
    <col min="13318" max="13319" width="10.09765625" style="39" bestFit="1" customWidth="1"/>
    <col min="13320" max="13330" width="10" style="39" customWidth="1"/>
    <col min="13331" max="13568" width="10" style="39"/>
    <col min="13569" max="13569" width="14.3984375" style="39" customWidth="1"/>
    <col min="13570" max="13570" width="11" style="39" bestFit="1" customWidth="1"/>
    <col min="13571" max="13572" width="10.09765625" style="39" bestFit="1" customWidth="1"/>
    <col min="13573" max="13573" width="10.3984375" style="39" customWidth="1"/>
    <col min="13574" max="13575" width="10.09765625" style="39" bestFit="1" customWidth="1"/>
    <col min="13576" max="13586" width="10" style="39" customWidth="1"/>
    <col min="13587" max="13824" width="10" style="39"/>
    <col min="13825" max="13825" width="14.3984375" style="39" customWidth="1"/>
    <col min="13826" max="13826" width="11" style="39" bestFit="1" customWidth="1"/>
    <col min="13827" max="13828" width="10.09765625" style="39" bestFit="1" customWidth="1"/>
    <col min="13829" max="13829" width="10.3984375" style="39" customWidth="1"/>
    <col min="13830" max="13831" width="10.09765625" style="39" bestFit="1" customWidth="1"/>
    <col min="13832" max="13842" width="10" style="39" customWidth="1"/>
    <col min="13843" max="14080" width="10" style="39"/>
    <col min="14081" max="14081" width="14.3984375" style="39" customWidth="1"/>
    <col min="14082" max="14082" width="11" style="39" bestFit="1" customWidth="1"/>
    <col min="14083" max="14084" width="10.09765625" style="39" bestFit="1" customWidth="1"/>
    <col min="14085" max="14085" width="10.3984375" style="39" customWidth="1"/>
    <col min="14086" max="14087" width="10.09765625" style="39" bestFit="1" customWidth="1"/>
    <col min="14088" max="14098" width="10" style="39" customWidth="1"/>
    <col min="14099" max="14336" width="10" style="39"/>
    <col min="14337" max="14337" width="14.3984375" style="39" customWidth="1"/>
    <col min="14338" max="14338" width="11" style="39" bestFit="1" customWidth="1"/>
    <col min="14339" max="14340" width="10.09765625" style="39" bestFit="1" customWidth="1"/>
    <col min="14341" max="14341" width="10.3984375" style="39" customWidth="1"/>
    <col min="14342" max="14343" width="10.09765625" style="39" bestFit="1" customWidth="1"/>
    <col min="14344" max="14354" width="10" style="39" customWidth="1"/>
    <col min="14355" max="14592" width="10" style="39"/>
    <col min="14593" max="14593" width="14.3984375" style="39" customWidth="1"/>
    <col min="14594" max="14594" width="11" style="39" bestFit="1" customWidth="1"/>
    <col min="14595" max="14596" width="10.09765625" style="39" bestFit="1" customWidth="1"/>
    <col min="14597" max="14597" width="10.3984375" style="39" customWidth="1"/>
    <col min="14598" max="14599" width="10.09765625" style="39" bestFit="1" customWidth="1"/>
    <col min="14600" max="14610" width="10" style="39" customWidth="1"/>
    <col min="14611" max="14848" width="10" style="39"/>
    <col min="14849" max="14849" width="14.3984375" style="39" customWidth="1"/>
    <col min="14850" max="14850" width="11" style="39" bestFit="1" customWidth="1"/>
    <col min="14851" max="14852" width="10.09765625" style="39" bestFit="1" customWidth="1"/>
    <col min="14853" max="14853" width="10.3984375" style="39" customWidth="1"/>
    <col min="14854" max="14855" width="10.09765625" style="39" bestFit="1" customWidth="1"/>
    <col min="14856" max="14866" width="10" style="39" customWidth="1"/>
    <col min="14867" max="15104" width="10" style="39"/>
    <col min="15105" max="15105" width="14.3984375" style="39" customWidth="1"/>
    <col min="15106" max="15106" width="11" style="39" bestFit="1" customWidth="1"/>
    <col min="15107" max="15108" width="10.09765625" style="39" bestFit="1" customWidth="1"/>
    <col min="15109" max="15109" width="10.3984375" style="39" customWidth="1"/>
    <col min="15110" max="15111" width="10.09765625" style="39" bestFit="1" customWidth="1"/>
    <col min="15112" max="15122" width="10" style="39" customWidth="1"/>
    <col min="15123" max="15360" width="10" style="39"/>
    <col min="15361" max="15361" width="14.3984375" style="39" customWidth="1"/>
    <col min="15362" max="15362" width="11" style="39" bestFit="1" customWidth="1"/>
    <col min="15363" max="15364" width="10.09765625" style="39" bestFit="1" customWidth="1"/>
    <col min="15365" max="15365" width="10.3984375" style="39" customWidth="1"/>
    <col min="15366" max="15367" width="10.09765625" style="39" bestFit="1" customWidth="1"/>
    <col min="15368" max="15378" width="10" style="39" customWidth="1"/>
    <col min="15379" max="15616" width="10" style="39"/>
    <col min="15617" max="15617" width="14.3984375" style="39" customWidth="1"/>
    <col min="15618" max="15618" width="11" style="39" bestFit="1" customWidth="1"/>
    <col min="15619" max="15620" width="10.09765625" style="39" bestFit="1" customWidth="1"/>
    <col min="15621" max="15621" width="10.3984375" style="39" customWidth="1"/>
    <col min="15622" max="15623" width="10.09765625" style="39" bestFit="1" customWidth="1"/>
    <col min="15624" max="15634" width="10" style="39" customWidth="1"/>
    <col min="15635" max="15872" width="10" style="39"/>
    <col min="15873" max="15873" width="14.3984375" style="39" customWidth="1"/>
    <col min="15874" max="15874" width="11" style="39" bestFit="1" customWidth="1"/>
    <col min="15875" max="15876" width="10.09765625" style="39" bestFit="1" customWidth="1"/>
    <col min="15877" max="15877" width="10.3984375" style="39" customWidth="1"/>
    <col min="15878" max="15879" width="10.09765625" style="39" bestFit="1" customWidth="1"/>
    <col min="15880" max="15890" width="10" style="39" customWidth="1"/>
    <col min="15891" max="16128" width="10" style="39"/>
    <col min="16129" max="16129" width="14.3984375" style="39" customWidth="1"/>
    <col min="16130" max="16130" width="11" style="39" bestFit="1" customWidth="1"/>
    <col min="16131" max="16132" width="10.09765625" style="39" bestFit="1" customWidth="1"/>
    <col min="16133" max="16133" width="10.3984375" style="39" customWidth="1"/>
    <col min="16134" max="16135" width="10.09765625" style="39" bestFit="1" customWidth="1"/>
    <col min="16136" max="16146" width="10" style="39" customWidth="1"/>
    <col min="16147" max="16384" width="10" style="39"/>
  </cols>
  <sheetData>
    <row r="1" spans="1:23" ht="21">
      <c r="A1" s="38" t="s">
        <v>356</v>
      </c>
    </row>
    <row r="2" spans="1:23" ht="17.399999999999999">
      <c r="A2" s="40" t="s">
        <v>366</v>
      </c>
      <c r="B2" s="40"/>
      <c r="C2" s="40"/>
    </row>
    <row r="3" spans="1:23" ht="17.399999999999999">
      <c r="A3" s="40"/>
      <c r="B3" s="40"/>
      <c r="C3" s="40"/>
    </row>
    <row r="4" spans="1:23" ht="17.399999999999999">
      <c r="A4" s="41" t="s">
        <v>282</v>
      </c>
      <c r="B4" s="40"/>
      <c r="C4" s="40"/>
    </row>
    <row r="5" spans="1:23" ht="17.399999999999999">
      <c r="A5" s="41" t="s">
        <v>367</v>
      </c>
    </row>
    <row r="6" spans="1:23" ht="15.6">
      <c r="A6" s="83"/>
    </row>
    <row r="7" spans="1:23" ht="15.6">
      <c r="A7" s="83"/>
    </row>
    <row r="8" spans="1:23">
      <c r="A8" s="84" t="s">
        <v>789</v>
      </c>
    </row>
    <row r="9" spans="1:23">
      <c r="A9" s="84"/>
    </row>
    <row r="10" spans="1:23">
      <c r="A10" s="84"/>
    </row>
    <row r="11" spans="1:23">
      <c r="A11" s="84"/>
    </row>
    <row r="12" spans="1:23">
      <c r="A12" s="84"/>
    </row>
    <row r="13" spans="1:23">
      <c r="A13" s="84"/>
      <c r="R13" s="91" t="s">
        <v>787</v>
      </c>
      <c r="S13" s="91"/>
      <c r="T13" s="91" t="s">
        <v>127</v>
      </c>
      <c r="U13" s="91"/>
      <c r="V13" s="91" t="s">
        <v>786</v>
      </c>
      <c r="W13" s="91"/>
    </row>
    <row r="14" spans="1:23">
      <c r="A14" s="84"/>
      <c r="R14" s="91" t="s">
        <v>790</v>
      </c>
      <c r="S14" s="91" t="s">
        <v>791</v>
      </c>
      <c r="T14" s="91" t="s">
        <v>790</v>
      </c>
      <c r="U14" s="91" t="s">
        <v>791</v>
      </c>
      <c r="V14" s="91" t="s">
        <v>790</v>
      </c>
      <c r="W14" s="91" t="s">
        <v>791</v>
      </c>
    </row>
    <row r="15" spans="1:23">
      <c r="A15" s="84"/>
    </row>
    <row r="16" spans="1:23" s="95" customFormat="1">
      <c r="A16" s="104" t="s">
        <v>792</v>
      </c>
      <c r="B16" s="85" t="s">
        <v>793</v>
      </c>
      <c r="R16" s="367">
        <f>R33</f>
        <v>356</v>
      </c>
      <c r="S16" s="367">
        <f>S33</f>
        <v>2529</v>
      </c>
      <c r="T16" s="368">
        <f>T36</f>
        <v>0.438</v>
      </c>
      <c r="U16" s="368">
        <f>U36</f>
        <v>4.9986528948426088</v>
      </c>
      <c r="V16" s="368">
        <f>V34</f>
        <v>0.83800000000000008</v>
      </c>
      <c r="W16" s="368">
        <f>W34</f>
        <v>5.3986528948426091</v>
      </c>
    </row>
    <row r="17" spans="1:23" s="95" customFormat="1">
      <c r="A17" s="104"/>
      <c r="B17" s="85" t="s">
        <v>794</v>
      </c>
      <c r="R17" s="367"/>
      <c r="S17" s="367"/>
      <c r="T17" s="367"/>
      <c r="U17" s="367"/>
      <c r="V17" s="367"/>
      <c r="W17" s="367"/>
    </row>
    <row r="18" spans="1:23" s="95" customFormat="1">
      <c r="B18" s="367"/>
      <c r="R18" s="367"/>
      <c r="S18" s="367"/>
      <c r="T18" s="367"/>
      <c r="U18" s="367"/>
      <c r="V18" s="367"/>
      <c r="W18" s="367"/>
    </row>
    <row r="19" spans="1:23" s="95" customFormat="1">
      <c r="A19" s="104" t="s">
        <v>795</v>
      </c>
      <c r="B19" s="85" t="s">
        <v>796</v>
      </c>
      <c r="R19" s="367">
        <f>R38</f>
        <v>670</v>
      </c>
      <c r="S19" s="367">
        <f>S38</f>
        <v>5059</v>
      </c>
      <c r="T19" s="368">
        <f>T41</f>
        <v>0.46899999999999997</v>
      </c>
      <c r="U19" s="368">
        <f>U41</f>
        <v>4.9957535495568983</v>
      </c>
      <c r="V19" s="368">
        <f>V39</f>
        <v>0.86899999999999999</v>
      </c>
      <c r="W19" s="368">
        <f>W39</f>
        <v>5.3957535495568987</v>
      </c>
    </row>
    <row r="20" spans="1:23" s="95" customFormat="1">
      <c r="B20" s="85" t="s">
        <v>797</v>
      </c>
      <c r="R20" s="367"/>
      <c r="S20" s="367"/>
      <c r="T20" s="368"/>
      <c r="U20" s="368"/>
      <c r="V20" s="368"/>
      <c r="W20" s="368"/>
    </row>
    <row r="21" spans="1:23" s="95" customFormat="1">
      <c r="B21" s="367"/>
    </row>
    <row r="22" spans="1:23" s="95" customFormat="1">
      <c r="A22" s="104" t="s">
        <v>798</v>
      </c>
      <c r="B22" s="85" t="s">
        <v>799</v>
      </c>
      <c r="R22" s="367">
        <f>R43</f>
        <v>368</v>
      </c>
      <c r="S22" s="367">
        <f>S43</f>
        <v>3794</v>
      </c>
      <c r="T22" s="368">
        <f>T46</f>
        <v>0.182</v>
      </c>
      <c r="U22" s="368">
        <f>U46</f>
        <v>8.5034653752438008</v>
      </c>
      <c r="V22" s="368">
        <f>V44</f>
        <v>0.58200000000000007</v>
      </c>
      <c r="W22" s="368">
        <f>W44</f>
        <v>8.9034653752438011</v>
      </c>
    </row>
    <row r="23" spans="1:23" s="95" customFormat="1">
      <c r="B23" s="85" t="s">
        <v>800</v>
      </c>
      <c r="R23" s="367"/>
      <c r="S23" s="367"/>
      <c r="T23" s="368"/>
      <c r="U23" s="368"/>
      <c r="V23" s="368"/>
      <c r="W23" s="368"/>
    </row>
    <row r="24" spans="1:23" s="95" customFormat="1">
      <c r="B24" s="367"/>
      <c r="R24" s="367"/>
      <c r="S24" s="367"/>
      <c r="T24" s="368"/>
      <c r="U24" s="368"/>
      <c r="V24" s="368"/>
      <c r="W24" s="368"/>
    </row>
    <row r="25" spans="1:23" s="95" customFormat="1">
      <c r="A25" s="104" t="s">
        <v>798</v>
      </c>
      <c r="B25" s="85" t="s">
        <v>801</v>
      </c>
      <c r="R25" s="367">
        <f>R48</f>
        <v>816</v>
      </c>
      <c r="S25" s="367">
        <f>S48</f>
        <v>7589</v>
      </c>
      <c r="T25" s="368">
        <f>T51</f>
        <v>0.17699999999999999</v>
      </c>
      <c r="U25" s="368">
        <f>U51</f>
        <v>8.4997815295352268</v>
      </c>
      <c r="V25" s="368">
        <f>V49</f>
        <v>0.57699999999999996</v>
      </c>
      <c r="W25" s="368">
        <f>W49</f>
        <v>8.8997815295352272</v>
      </c>
    </row>
    <row r="26" spans="1:23" s="95" customFormat="1">
      <c r="B26" s="85" t="s">
        <v>802</v>
      </c>
    </row>
    <row r="27" spans="1:23" s="95" customFormat="1">
      <c r="B27" s="104"/>
    </row>
    <row r="28" spans="1:23">
      <c r="B28" s="131"/>
      <c r="R28" s="367"/>
      <c r="S28" s="367"/>
      <c r="T28" s="368"/>
      <c r="U28" s="368"/>
      <c r="V28" s="368"/>
      <c r="W28" s="368"/>
    </row>
    <row r="29" spans="1:23">
      <c r="B29" s="131"/>
      <c r="R29" s="367"/>
      <c r="S29" s="367"/>
      <c r="T29" s="368"/>
      <c r="U29" s="368"/>
      <c r="V29" s="368"/>
      <c r="W29" s="368"/>
    </row>
    <row r="30" spans="1:23">
      <c r="B30" s="85"/>
      <c r="N30" s="89"/>
    </row>
    <row r="31" spans="1:23">
      <c r="A31" s="84" t="s">
        <v>464</v>
      </c>
      <c r="B31" s="85"/>
      <c r="N31" s="89"/>
      <c r="R31" s="369" t="s">
        <v>324</v>
      </c>
      <c r="S31" s="370"/>
      <c r="T31" s="370" t="s">
        <v>300</v>
      </c>
      <c r="U31" s="370"/>
      <c r="V31" s="370" t="s">
        <v>305</v>
      </c>
      <c r="W31" s="370"/>
    </row>
    <row r="32" spans="1:23">
      <c r="B32" s="85"/>
      <c r="M32" s="89"/>
      <c r="N32" s="89"/>
      <c r="O32" s="89"/>
      <c r="P32" s="89"/>
      <c r="Q32" s="89"/>
      <c r="R32" s="371" t="s">
        <v>790</v>
      </c>
      <c r="S32" s="372" t="s">
        <v>791</v>
      </c>
      <c r="T32" s="372" t="s">
        <v>790</v>
      </c>
      <c r="U32" s="372" t="s">
        <v>791</v>
      </c>
      <c r="V32" s="372" t="s">
        <v>790</v>
      </c>
      <c r="W32" s="372" t="s">
        <v>791</v>
      </c>
    </row>
    <row r="33" spans="1:23">
      <c r="A33" s="104" t="s">
        <v>792</v>
      </c>
      <c r="B33" s="373" t="s">
        <v>787</v>
      </c>
      <c r="C33" s="374">
        <v>0</v>
      </c>
      <c r="D33" s="375">
        <v>356</v>
      </c>
      <c r="E33" s="374">
        <f>D33</f>
        <v>356</v>
      </c>
      <c r="F33" s="374">
        <f t="shared" ref="F33:L33" si="0">$E33+($M33-$E33)/8*F$57</f>
        <v>627.625</v>
      </c>
      <c r="G33" s="374">
        <f t="shared" si="0"/>
        <v>899.25</v>
      </c>
      <c r="H33" s="374">
        <f t="shared" si="0"/>
        <v>1170.875</v>
      </c>
      <c r="I33" s="374">
        <f t="shared" si="0"/>
        <v>1442.5</v>
      </c>
      <c r="J33" s="374">
        <f t="shared" si="0"/>
        <v>1714.125</v>
      </c>
      <c r="K33" s="374">
        <f t="shared" si="0"/>
        <v>1985.75</v>
      </c>
      <c r="L33" s="374">
        <f t="shared" si="0"/>
        <v>2257.375</v>
      </c>
      <c r="M33" s="376">
        <v>2529</v>
      </c>
      <c r="N33" s="374">
        <f>M33</f>
        <v>2529</v>
      </c>
      <c r="O33" s="374">
        <f>M33</f>
        <v>2529</v>
      </c>
      <c r="P33" s="374">
        <f>O33</f>
        <v>2529</v>
      </c>
      <c r="Q33" s="376">
        <v>0</v>
      </c>
      <c r="R33" s="377">
        <f>D33</f>
        <v>356</v>
      </c>
      <c r="S33" s="373">
        <f>M33</f>
        <v>2529</v>
      </c>
      <c r="T33" s="89"/>
      <c r="U33" s="89"/>
    </row>
    <row r="34" spans="1:23" s="67" customFormat="1">
      <c r="B34" s="378" t="s">
        <v>786</v>
      </c>
      <c r="C34" s="132">
        <f>C36+0.4</f>
        <v>5.3986528948426091</v>
      </c>
      <c r="D34" s="132">
        <f t="shared" ref="D34:Q34" si="1">D36+0.4</f>
        <v>5.3986528948426091</v>
      </c>
      <c r="E34" s="132">
        <f t="shared" si="1"/>
        <v>5.3986528948426091</v>
      </c>
      <c r="F34" s="132">
        <f t="shared" si="1"/>
        <v>3.9247923916058425</v>
      </c>
      <c r="G34" s="132">
        <f t="shared" si="1"/>
        <v>3.0788141418321566</v>
      </c>
      <c r="H34" s="132">
        <f t="shared" si="1"/>
        <v>2.5015431702289255</v>
      </c>
      <c r="I34" s="132">
        <f t="shared" si="1"/>
        <v>2.0706110200920222</v>
      </c>
      <c r="J34" s="132">
        <f t="shared" si="1"/>
        <v>1.7305451044637641</v>
      </c>
      <c r="K34" s="132">
        <f t="shared" si="1"/>
        <v>1.4518113853400774</v>
      </c>
      <c r="L34" s="132">
        <f t="shared" si="1"/>
        <v>1.2169477082435178</v>
      </c>
      <c r="M34" s="132">
        <f t="shared" si="1"/>
        <v>1.0148335749734871</v>
      </c>
      <c r="N34" s="132">
        <f t="shared" ref="N34:P36" si="2">M34</f>
        <v>1.0148335749734871</v>
      </c>
      <c r="O34" s="132">
        <f t="shared" si="1"/>
        <v>0.83800000000000008</v>
      </c>
      <c r="P34" s="132">
        <f t="shared" si="2"/>
        <v>0.83800000000000008</v>
      </c>
      <c r="Q34" s="132">
        <f t="shared" si="1"/>
        <v>0.83800000000000008</v>
      </c>
      <c r="R34" s="379"/>
      <c r="S34" s="132"/>
      <c r="T34" s="132"/>
      <c r="U34" s="132"/>
      <c r="V34" s="380">
        <f>O34</f>
        <v>0.83800000000000008</v>
      </c>
      <c r="W34" s="380">
        <f>D34</f>
        <v>5.3986528948426091</v>
      </c>
    </row>
    <row r="35" spans="1:23">
      <c r="A35" s="104" t="s">
        <v>792</v>
      </c>
      <c r="B35" s="373" t="s">
        <v>787</v>
      </c>
      <c r="C35" s="374">
        <v>0</v>
      </c>
      <c r="D35" s="374">
        <f>D33</f>
        <v>356</v>
      </c>
      <c r="E35" s="374">
        <f t="shared" ref="E35:M35" si="3">E33</f>
        <v>356</v>
      </c>
      <c r="F35" s="374">
        <f t="shared" si="3"/>
        <v>627.625</v>
      </c>
      <c r="G35" s="374">
        <f t="shared" si="3"/>
        <v>899.25</v>
      </c>
      <c r="H35" s="374">
        <f t="shared" si="3"/>
        <v>1170.875</v>
      </c>
      <c r="I35" s="374">
        <f t="shared" si="3"/>
        <v>1442.5</v>
      </c>
      <c r="J35" s="374">
        <f t="shared" si="3"/>
        <v>1714.125</v>
      </c>
      <c r="K35" s="374">
        <f t="shared" si="3"/>
        <v>1985.75</v>
      </c>
      <c r="L35" s="374">
        <f t="shared" si="3"/>
        <v>2257.375</v>
      </c>
      <c r="M35" s="374">
        <f t="shared" si="3"/>
        <v>2529</v>
      </c>
      <c r="N35" s="374">
        <f t="shared" si="2"/>
        <v>2529</v>
      </c>
      <c r="O35" s="374">
        <f>M35</f>
        <v>2529</v>
      </c>
      <c r="P35" s="374">
        <f t="shared" si="2"/>
        <v>2529</v>
      </c>
      <c r="Q35" s="376">
        <v>0</v>
      </c>
      <c r="R35" s="381"/>
      <c r="S35" s="89"/>
      <c r="T35" s="89"/>
      <c r="U35" s="89"/>
    </row>
    <row r="36" spans="1:23" s="67" customFormat="1">
      <c r="B36" s="378" t="s">
        <v>127</v>
      </c>
      <c r="C36" s="132">
        <f>D36</f>
        <v>4.9986528948426088</v>
      </c>
      <c r="D36" s="132">
        <f>-150*D33^(-1)+60*(D33)^(-0.29)-5.5-(D33/1000)^2/25^2</f>
        <v>4.9986528948426088</v>
      </c>
      <c r="E36" s="132">
        <f t="shared" ref="E36:M36" si="4">-150*E33^(-1)+60*(E33)^(-0.29)-5.5-(E33/1000)^2/25^2</f>
        <v>4.9986528948426088</v>
      </c>
      <c r="F36" s="132">
        <f t="shared" si="4"/>
        <v>3.5247923916058426</v>
      </c>
      <c r="G36" s="132">
        <f t="shared" si="4"/>
        <v>2.6788141418321567</v>
      </c>
      <c r="H36" s="132">
        <f t="shared" si="4"/>
        <v>2.1015431702289256</v>
      </c>
      <c r="I36" s="132">
        <f t="shared" si="4"/>
        <v>1.6706110200920223</v>
      </c>
      <c r="J36" s="132">
        <f t="shared" si="4"/>
        <v>1.330545104463764</v>
      </c>
      <c r="K36" s="132">
        <f t="shared" si="4"/>
        <v>1.0518113853400775</v>
      </c>
      <c r="L36" s="132">
        <f t="shared" si="4"/>
        <v>0.81694770824351792</v>
      </c>
      <c r="M36" s="132">
        <f t="shared" si="4"/>
        <v>0.61483357497348712</v>
      </c>
      <c r="N36" s="132">
        <f t="shared" si="2"/>
        <v>0.61483357497348712</v>
      </c>
      <c r="O36" s="382">
        <v>0.438</v>
      </c>
      <c r="P36" s="132">
        <f t="shared" si="2"/>
        <v>0.438</v>
      </c>
      <c r="Q36" s="132">
        <f>O36</f>
        <v>0.438</v>
      </c>
      <c r="R36" s="379"/>
      <c r="S36" s="132"/>
      <c r="T36" s="378">
        <f>O36</f>
        <v>0.438</v>
      </c>
      <c r="U36" s="378">
        <f>D36</f>
        <v>4.9986528948426088</v>
      </c>
    </row>
    <row r="37" spans="1:23">
      <c r="M37" s="89"/>
      <c r="N37" s="89"/>
      <c r="O37" s="89"/>
      <c r="P37" s="89"/>
      <c r="Q37" s="89"/>
      <c r="R37" s="381"/>
      <c r="S37" s="89"/>
      <c r="T37" s="89"/>
      <c r="U37" s="89"/>
    </row>
    <row r="38" spans="1:23">
      <c r="A38" s="104" t="s">
        <v>795</v>
      </c>
      <c r="B38" s="39" t="s">
        <v>324</v>
      </c>
      <c r="C38" s="374">
        <v>0</v>
      </c>
      <c r="D38" s="375">
        <v>670</v>
      </c>
      <c r="E38" s="374">
        <f>D38</f>
        <v>670</v>
      </c>
      <c r="F38" s="374">
        <f t="shared" ref="F38:L38" si="5">$E38+($M38-$E38)/8*F$57</f>
        <v>1218.625</v>
      </c>
      <c r="G38" s="374">
        <f t="shared" si="5"/>
        <v>1767.25</v>
      </c>
      <c r="H38" s="374">
        <f t="shared" si="5"/>
        <v>2315.875</v>
      </c>
      <c r="I38" s="374">
        <f t="shared" si="5"/>
        <v>2864.5</v>
      </c>
      <c r="J38" s="374">
        <f t="shared" si="5"/>
        <v>3413.125</v>
      </c>
      <c r="K38" s="374">
        <f t="shared" si="5"/>
        <v>3961.75</v>
      </c>
      <c r="L38" s="374">
        <f t="shared" si="5"/>
        <v>4510.375</v>
      </c>
      <c r="M38" s="376">
        <v>5059</v>
      </c>
      <c r="N38" s="374">
        <f>M38</f>
        <v>5059</v>
      </c>
      <c r="O38" s="374">
        <f>M38</f>
        <v>5059</v>
      </c>
      <c r="P38" s="374">
        <f>O38</f>
        <v>5059</v>
      </c>
      <c r="Q38" s="376">
        <v>0</v>
      </c>
      <c r="R38" s="383">
        <f>D38</f>
        <v>670</v>
      </c>
      <c r="S38" s="373">
        <f>M38</f>
        <v>5059</v>
      </c>
      <c r="T38" s="89"/>
      <c r="U38" s="89"/>
    </row>
    <row r="39" spans="1:23" s="67" customFormat="1">
      <c r="B39" s="67" t="s">
        <v>305</v>
      </c>
      <c r="C39" s="132">
        <f>C41+0.4</f>
        <v>5.3957535495568987</v>
      </c>
      <c r="D39" s="132">
        <f t="shared" ref="D39:Q39" si="6">D41+0.4</f>
        <v>5.3957535495568987</v>
      </c>
      <c r="E39" s="132">
        <f t="shared" si="6"/>
        <v>5.3957535495568987</v>
      </c>
      <c r="F39" s="132">
        <f t="shared" si="6"/>
        <v>3.8247384816862038</v>
      </c>
      <c r="G39" s="132">
        <f t="shared" si="6"/>
        <v>2.9827790679763764</v>
      </c>
      <c r="H39" s="132">
        <f t="shared" si="6"/>
        <v>2.4263284774758187</v>
      </c>
      <c r="I39" s="132">
        <f t="shared" si="6"/>
        <v>2.0182735536141849</v>
      </c>
      <c r="J39" s="132">
        <f t="shared" si="6"/>
        <v>1.6995252129969303</v>
      </c>
      <c r="K39" s="132">
        <f t="shared" si="6"/>
        <v>1.4396282575807349</v>
      </c>
      <c r="L39" s="132">
        <f t="shared" si="6"/>
        <v>1.2209864946712443</v>
      </c>
      <c r="M39" s="132">
        <f t="shared" si="6"/>
        <v>1.0325881769031664</v>
      </c>
      <c r="N39" s="132">
        <f t="shared" ref="N39:P41" si="7">M39</f>
        <v>1.0325881769031664</v>
      </c>
      <c r="O39" s="132">
        <f t="shared" si="6"/>
        <v>0.86899999999999999</v>
      </c>
      <c r="P39" s="132">
        <f t="shared" si="7"/>
        <v>0.86899999999999999</v>
      </c>
      <c r="Q39" s="132">
        <f t="shared" si="6"/>
        <v>0.86899999999999999</v>
      </c>
      <c r="R39" s="379"/>
      <c r="S39" s="132"/>
      <c r="T39" s="132"/>
      <c r="U39" s="132"/>
      <c r="V39" s="380">
        <f>O39</f>
        <v>0.86899999999999999</v>
      </c>
      <c r="W39" s="380">
        <f>D39</f>
        <v>5.3957535495568987</v>
      </c>
    </row>
    <row r="40" spans="1:23">
      <c r="A40" s="104" t="s">
        <v>795</v>
      </c>
      <c r="B40" s="39" t="s">
        <v>324</v>
      </c>
      <c r="C40" s="374">
        <v>0</v>
      </c>
      <c r="D40" s="374">
        <f>D38</f>
        <v>670</v>
      </c>
      <c r="E40" s="374">
        <f t="shared" ref="E40:M40" si="8">E38</f>
        <v>670</v>
      </c>
      <c r="F40" s="374">
        <f t="shared" si="8"/>
        <v>1218.625</v>
      </c>
      <c r="G40" s="374">
        <f t="shared" si="8"/>
        <v>1767.25</v>
      </c>
      <c r="H40" s="374">
        <f t="shared" si="8"/>
        <v>2315.875</v>
      </c>
      <c r="I40" s="374">
        <f t="shared" si="8"/>
        <v>2864.5</v>
      </c>
      <c r="J40" s="374">
        <f t="shared" si="8"/>
        <v>3413.125</v>
      </c>
      <c r="K40" s="374">
        <f t="shared" si="8"/>
        <v>3961.75</v>
      </c>
      <c r="L40" s="374">
        <f t="shared" si="8"/>
        <v>4510.375</v>
      </c>
      <c r="M40" s="374">
        <f t="shared" si="8"/>
        <v>5059</v>
      </c>
      <c r="N40" s="374">
        <f t="shared" si="7"/>
        <v>5059</v>
      </c>
      <c r="O40" s="374">
        <f>M40</f>
        <v>5059</v>
      </c>
      <c r="P40" s="374">
        <f t="shared" si="7"/>
        <v>5059</v>
      </c>
      <c r="Q40" s="376">
        <v>0</v>
      </c>
      <c r="R40" s="381"/>
      <c r="S40" s="89"/>
      <c r="T40" s="89"/>
      <c r="U40" s="89"/>
    </row>
    <row r="41" spans="1:23" s="67" customFormat="1">
      <c r="B41" s="67" t="s">
        <v>300</v>
      </c>
      <c r="C41" s="132">
        <f>D41</f>
        <v>4.9957535495568983</v>
      </c>
      <c r="D41" s="132">
        <f>-10*D38^(-1)+70*(D38)^(-0.31)-4.3-(D38/1000)^2/25^2</f>
        <v>4.9957535495568983</v>
      </c>
      <c r="E41" s="132">
        <f t="shared" ref="E41:M41" si="9">-10*E38^(-1)+70*(E38)^(-0.31)-4.3-(E38/1000)^2/25^2</f>
        <v>4.9957535495568983</v>
      </c>
      <c r="F41" s="132">
        <f t="shared" si="9"/>
        <v>3.4247384816862039</v>
      </c>
      <c r="G41" s="132">
        <f t="shared" si="9"/>
        <v>2.5827790679763765</v>
      </c>
      <c r="H41" s="132">
        <f t="shared" si="9"/>
        <v>2.0263284774758188</v>
      </c>
      <c r="I41" s="132">
        <f t="shared" si="9"/>
        <v>1.6182735536141848</v>
      </c>
      <c r="J41" s="132">
        <f t="shared" si="9"/>
        <v>1.2995252129969304</v>
      </c>
      <c r="K41" s="132">
        <f t="shared" si="9"/>
        <v>1.039628257580735</v>
      </c>
      <c r="L41" s="132">
        <f t="shared" si="9"/>
        <v>0.82098649467124418</v>
      </c>
      <c r="M41" s="132">
        <f t="shared" si="9"/>
        <v>0.63258817690316649</v>
      </c>
      <c r="N41" s="132">
        <f t="shared" si="7"/>
        <v>0.63258817690316649</v>
      </c>
      <c r="O41" s="382">
        <v>0.46899999999999997</v>
      </c>
      <c r="P41" s="132">
        <f t="shared" si="7"/>
        <v>0.46899999999999997</v>
      </c>
      <c r="Q41" s="132">
        <f>O41</f>
        <v>0.46899999999999997</v>
      </c>
      <c r="R41" s="379"/>
      <c r="S41" s="132"/>
      <c r="T41" s="378">
        <f>O41</f>
        <v>0.46899999999999997</v>
      </c>
      <c r="U41" s="378">
        <f>D41</f>
        <v>4.9957535495568983</v>
      </c>
    </row>
    <row r="42" spans="1:23">
      <c r="M42" s="89"/>
      <c r="N42" s="89"/>
      <c r="O42" s="89"/>
      <c r="P42" s="89"/>
      <c r="Q42" s="89"/>
      <c r="R42" s="381"/>
      <c r="S42" s="89"/>
      <c r="T42" s="89"/>
      <c r="U42" s="89"/>
    </row>
    <row r="43" spans="1:23">
      <c r="A43" s="104" t="s">
        <v>803</v>
      </c>
      <c r="B43" s="39" t="s">
        <v>324</v>
      </c>
      <c r="C43" s="374">
        <v>0</v>
      </c>
      <c r="D43" s="375">
        <v>368</v>
      </c>
      <c r="E43" s="374">
        <f>D43</f>
        <v>368</v>
      </c>
      <c r="F43" s="374">
        <f t="shared" ref="F43:L43" si="10">$E43+($M43-$E43)/8*F$57</f>
        <v>796.25</v>
      </c>
      <c r="G43" s="374">
        <f t="shared" si="10"/>
        <v>1224.5</v>
      </c>
      <c r="H43" s="374">
        <f t="shared" si="10"/>
        <v>1652.75</v>
      </c>
      <c r="I43" s="374">
        <f t="shared" si="10"/>
        <v>2081</v>
      </c>
      <c r="J43" s="374">
        <f t="shared" si="10"/>
        <v>2509.25</v>
      </c>
      <c r="K43" s="374">
        <f t="shared" si="10"/>
        <v>2937.5</v>
      </c>
      <c r="L43" s="374">
        <f t="shared" si="10"/>
        <v>3365.75</v>
      </c>
      <c r="M43" s="376">
        <v>3794</v>
      </c>
      <c r="N43" s="374">
        <f>M43</f>
        <v>3794</v>
      </c>
      <c r="O43" s="374">
        <f>M43</f>
        <v>3794</v>
      </c>
      <c r="P43" s="374">
        <f>O43</f>
        <v>3794</v>
      </c>
      <c r="Q43" s="376">
        <v>0</v>
      </c>
      <c r="R43" s="383">
        <f>D43</f>
        <v>368</v>
      </c>
      <c r="S43" s="373">
        <f>M43</f>
        <v>3794</v>
      </c>
      <c r="T43" s="89"/>
      <c r="U43" s="89"/>
    </row>
    <row r="44" spans="1:23" s="67" customFormat="1">
      <c r="B44" s="67" t="s">
        <v>305</v>
      </c>
      <c r="C44" s="132">
        <f>C46+0.4</f>
        <v>8.9034653752438011</v>
      </c>
      <c r="D44" s="132">
        <f t="shared" ref="D44:Q44" si="11">D46+0.4</f>
        <v>8.9034653752438011</v>
      </c>
      <c r="E44" s="132">
        <f t="shared" si="11"/>
        <v>8.9034653752438011</v>
      </c>
      <c r="F44" s="132">
        <f t="shared" si="11"/>
        <v>5.1977258222703595</v>
      </c>
      <c r="G44" s="132">
        <f t="shared" si="11"/>
        <v>3.6530624715846951</v>
      </c>
      <c r="H44" s="132">
        <f t="shared" si="11"/>
        <v>2.7450438766688752</v>
      </c>
      <c r="I44" s="132">
        <f t="shared" si="11"/>
        <v>2.1267126016614486</v>
      </c>
      <c r="J44" s="132">
        <f t="shared" si="11"/>
        <v>1.6690516281300942</v>
      </c>
      <c r="K44" s="132">
        <f t="shared" si="11"/>
        <v>1.3114718845546061</v>
      </c>
      <c r="L44" s="132">
        <f t="shared" si="11"/>
        <v>1.0212079104987675</v>
      </c>
      <c r="M44" s="132">
        <f t="shared" si="11"/>
        <v>0.77876392842360453</v>
      </c>
      <c r="N44" s="132">
        <f t="shared" ref="N44:P46" si="12">M44</f>
        <v>0.77876392842360453</v>
      </c>
      <c r="O44" s="132">
        <f t="shared" si="11"/>
        <v>0.58200000000000007</v>
      </c>
      <c r="P44" s="132">
        <f t="shared" si="12"/>
        <v>0.58200000000000007</v>
      </c>
      <c r="Q44" s="132">
        <f t="shared" si="11"/>
        <v>0.58200000000000007</v>
      </c>
      <c r="R44" s="379"/>
      <c r="S44" s="132"/>
      <c r="T44" s="132"/>
      <c r="U44" s="132"/>
      <c r="V44" s="380">
        <f>O44</f>
        <v>0.58200000000000007</v>
      </c>
      <c r="W44" s="380">
        <f>D44</f>
        <v>8.9034653752438011</v>
      </c>
    </row>
    <row r="45" spans="1:23">
      <c r="A45" s="104" t="s">
        <v>803</v>
      </c>
      <c r="B45" s="39" t="s">
        <v>324</v>
      </c>
      <c r="C45" s="374">
        <v>0</v>
      </c>
      <c r="D45" s="374">
        <f>D43</f>
        <v>368</v>
      </c>
      <c r="E45" s="374">
        <f t="shared" ref="E45:M45" si="13">E43</f>
        <v>368</v>
      </c>
      <c r="F45" s="374">
        <f t="shared" si="13"/>
        <v>796.25</v>
      </c>
      <c r="G45" s="374">
        <f t="shared" si="13"/>
        <v>1224.5</v>
      </c>
      <c r="H45" s="374">
        <f t="shared" si="13"/>
        <v>1652.75</v>
      </c>
      <c r="I45" s="374">
        <f t="shared" si="13"/>
        <v>2081</v>
      </c>
      <c r="J45" s="374">
        <f t="shared" si="13"/>
        <v>2509.25</v>
      </c>
      <c r="K45" s="374">
        <f t="shared" si="13"/>
        <v>2937.5</v>
      </c>
      <c r="L45" s="374">
        <f t="shared" si="13"/>
        <v>3365.75</v>
      </c>
      <c r="M45" s="374">
        <f t="shared" si="13"/>
        <v>3794</v>
      </c>
      <c r="N45" s="374">
        <f t="shared" si="12"/>
        <v>3794</v>
      </c>
      <c r="O45" s="374">
        <f>M45</f>
        <v>3794</v>
      </c>
      <c r="P45" s="374">
        <f t="shared" si="12"/>
        <v>3794</v>
      </c>
      <c r="Q45" s="376">
        <v>0</v>
      </c>
      <c r="R45" s="381"/>
      <c r="S45" s="89"/>
      <c r="T45" s="89"/>
      <c r="U45" s="89"/>
    </row>
    <row r="46" spans="1:23" s="67" customFormat="1">
      <c r="B46" s="67" t="s">
        <v>300</v>
      </c>
      <c r="C46" s="132">
        <f>D46</f>
        <v>8.5034653752438008</v>
      </c>
      <c r="D46" s="132">
        <f>250*D43^(-1)+150*(D43)^(-0.43)-4-(D43/1000)^2/25^2</f>
        <v>8.5034653752438008</v>
      </c>
      <c r="E46" s="132">
        <f t="shared" ref="E46:M46" si="14">250*E43^(-1)+150*(E43)^(-0.43)-4-(E43/1000)^2/25^2</f>
        <v>8.5034653752438008</v>
      </c>
      <c r="F46" s="132">
        <f t="shared" si="14"/>
        <v>4.7977258222703592</v>
      </c>
      <c r="G46" s="132">
        <f t="shared" si="14"/>
        <v>3.2530624715846952</v>
      </c>
      <c r="H46" s="132">
        <f t="shared" si="14"/>
        <v>2.3450438766688753</v>
      </c>
      <c r="I46" s="132">
        <f t="shared" si="14"/>
        <v>1.7267126016614487</v>
      </c>
      <c r="J46" s="132">
        <f t="shared" si="14"/>
        <v>1.2690516281300941</v>
      </c>
      <c r="K46" s="132">
        <f t="shared" si="14"/>
        <v>0.91147188455460615</v>
      </c>
      <c r="L46" s="132">
        <f t="shared" si="14"/>
        <v>0.62120791049876756</v>
      </c>
      <c r="M46" s="132">
        <f t="shared" si="14"/>
        <v>0.37876392842360451</v>
      </c>
      <c r="N46" s="132">
        <f t="shared" si="12"/>
        <v>0.37876392842360451</v>
      </c>
      <c r="O46" s="382">
        <v>0.182</v>
      </c>
      <c r="P46" s="132">
        <f t="shared" si="12"/>
        <v>0.182</v>
      </c>
      <c r="Q46" s="132">
        <f>O46</f>
        <v>0.182</v>
      </c>
      <c r="R46" s="379"/>
      <c r="S46" s="132"/>
      <c r="T46" s="378">
        <f>O46</f>
        <v>0.182</v>
      </c>
      <c r="U46" s="378">
        <f>D46</f>
        <v>8.5034653752438008</v>
      </c>
    </row>
    <row r="47" spans="1:23">
      <c r="M47" s="89"/>
      <c r="N47" s="89"/>
      <c r="O47" s="89"/>
      <c r="P47" s="89"/>
      <c r="Q47" s="89"/>
      <c r="R47" s="381"/>
      <c r="S47" s="89"/>
      <c r="T47" s="89"/>
      <c r="U47" s="89"/>
    </row>
    <row r="48" spans="1:23">
      <c r="A48" s="104" t="s">
        <v>798</v>
      </c>
      <c r="B48" s="39" t="s">
        <v>324</v>
      </c>
      <c r="C48" s="374">
        <v>0</v>
      </c>
      <c r="D48" s="375">
        <v>816</v>
      </c>
      <c r="E48" s="374">
        <f>D48</f>
        <v>816</v>
      </c>
      <c r="F48" s="374">
        <f t="shared" ref="F48:L48" si="15">$E48+($M48-$E48)/8*F$57</f>
        <v>1662.625</v>
      </c>
      <c r="G48" s="374">
        <f t="shared" si="15"/>
        <v>2509.25</v>
      </c>
      <c r="H48" s="374">
        <f t="shared" si="15"/>
        <v>3355.875</v>
      </c>
      <c r="I48" s="374">
        <f t="shared" si="15"/>
        <v>4202.5</v>
      </c>
      <c r="J48" s="374">
        <f t="shared" si="15"/>
        <v>5049.125</v>
      </c>
      <c r="K48" s="374">
        <f t="shared" si="15"/>
        <v>5895.75</v>
      </c>
      <c r="L48" s="374">
        <f t="shared" si="15"/>
        <v>6742.375</v>
      </c>
      <c r="M48" s="376">
        <v>7589</v>
      </c>
      <c r="N48" s="374">
        <f>M48</f>
        <v>7589</v>
      </c>
      <c r="O48" s="374">
        <f>M48</f>
        <v>7589</v>
      </c>
      <c r="P48" s="374">
        <f>O48</f>
        <v>7589</v>
      </c>
      <c r="Q48" s="376">
        <v>0</v>
      </c>
      <c r="R48" s="383">
        <f>D48</f>
        <v>816</v>
      </c>
      <c r="S48" s="373">
        <f>M48</f>
        <v>7589</v>
      </c>
      <c r="T48" s="89"/>
      <c r="U48" s="89"/>
    </row>
    <row r="49" spans="1:23" s="67" customFormat="1">
      <c r="B49" s="67" t="s">
        <v>305</v>
      </c>
      <c r="C49" s="132">
        <f>C51+0.4</f>
        <v>8.8997815295352272</v>
      </c>
      <c r="D49" s="132">
        <f t="shared" ref="D49:Q49" si="16">D51+0.4</f>
        <v>8.8997815295352272</v>
      </c>
      <c r="E49" s="132">
        <f t="shared" si="16"/>
        <v>8.8997815295352272</v>
      </c>
      <c r="F49" s="132">
        <f t="shared" si="16"/>
        <v>5.2625335894512419</v>
      </c>
      <c r="G49" s="132">
        <f t="shared" si="16"/>
        <v>3.7138328013400819</v>
      </c>
      <c r="H49" s="132">
        <f t="shared" si="16"/>
        <v>2.799255607767372</v>
      </c>
      <c r="I49" s="132">
        <f t="shared" si="16"/>
        <v>2.1741620990337895</v>
      </c>
      <c r="J49" s="132">
        <f t="shared" si="16"/>
        <v>1.70902076842343</v>
      </c>
      <c r="K49" s="132">
        <f t="shared" si="16"/>
        <v>1.3427858871876741</v>
      </c>
      <c r="L49" s="132">
        <f t="shared" si="16"/>
        <v>1.0424163104741022</v>
      </c>
      <c r="M49" s="132">
        <f t="shared" si="16"/>
        <v>0.78825824459880445</v>
      </c>
      <c r="N49" s="132">
        <f t="shared" ref="N49:P51" si="17">M49</f>
        <v>0.78825824459880445</v>
      </c>
      <c r="O49" s="132">
        <f t="shared" si="16"/>
        <v>0.57699999999999996</v>
      </c>
      <c r="P49" s="132">
        <f t="shared" si="17"/>
        <v>0.57699999999999996</v>
      </c>
      <c r="Q49" s="132">
        <f t="shared" si="16"/>
        <v>0.57699999999999996</v>
      </c>
      <c r="R49" s="379"/>
      <c r="S49" s="132"/>
      <c r="T49" s="132"/>
      <c r="U49" s="132"/>
      <c r="V49" s="380">
        <f>O49</f>
        <v>0.57699999999999996</v>
      </c>
      <c r="W49" s="380">
        <f>D49</f>
        <v>8.8997815295352272</v>
      </c>
    </row>
    <row r="50" spans="1:23">
      <c r="A50" s="104" t="s">
        <v>798</v>
      </c>
      <c r="B50" s="39" t="s">
        <v>324</v>
      </c>
      <c r="C50" s="374">
        <v>0</v>
      </c>
      <c r="D50" s="374">
        <f>D48</f>
        <v>816</v>
      </c>
      <c r="E50" s="374">
        <f t="shared" ref="E50:M50" si="18">E48</f>
        <v>816</v>
      </c>
      <c r="F50" s="374">
        <f t="shared" si="18"/>
        <v>1662.625</v>
      </c>
      <c r="G50" s="374">
        <f t="shared" si="18"/>
        <v>2509.25</v>
      </c>
      <c r="H50" s="374">
        <f t="shared" si="18"/>
        <v>3355.875</v>
      </c>
      <c r="I50" s="374">
        <f t="shared" si="18"/>
        <v>4202.5</v>
      </c>
      <c r="J50" s="374">
        <f t="shared" si="18"/>
        <v>5049.125</v>
      </c>
      <c r="K50" s="374">
        <f t="shared" si="18"/>
        <v>5895.75</v>
      </c>
      <c r="L50" s="374">
        <f t="shared" si="18"/>
        <v>6742.375</v>
      </c>
      <c r="M50" s="374">
        <f t="shared" si="18"/>
        <v>7589</v>
      </c>
      <c r="N50" s="374">
        <f t="shared" si="17"/>
        <v>7589</v>
      </c>
      <c r="O50" s="374">
        <f>M50</f>
        <v>7589</v>
      </c>
      <c r="P50" s="374">
        <f t="shared" si="17"/>
        <v>7589</v>
      </c>
      <c r="Q50" s="376">
        <v>0</v>
      </c>
      <c r="R50" s="381"/>
      <c r="S50" s="89"/>
      <c r="T50" s="89"/>
      <c r="U50" s="89"/>
    </row>
    <row r="51" spans="1:23" s="67" customFormat="1">
      <c r="B51" s="67" t="s">
        <v>300</v>
      </c>
      <c r="C51" s="132">
        <f>D51</f>
        <v>8.4997815295352268</v>
      </c>
      <c r="D51" s="132">
        <f>1200*D48^(-1)+205*(D48)^(-0.44)-3.7-(D48/1000)^2/25^2</f>
        <v>8.4997815295352268</v>
      </c>
      <c r="E51" s="132">
        <f t="shared" ref="E51:M51" si="19">1200*E48^(-1)+205*(E48)^(-0.44)-3.7-(E48/1000)^2/25^2</f>
        <v>8.4997815295352268</v>
      </c>
      <c r="F51" s="132">
        <f t="shared" si="19"/>
        <v>4.8625335894512416</v>
      </c>
      <c r="G51" s="132">
        <f t="shared" si="19"/>
        <v>3.313832801340082</v>
      </c>
      <c r="H51" s="132">
        <f t="shared" si="19"/>
        <v>2.3992556077673721</v>
      </c>
      <c r="I51" s="132">
        <f t="shared" si="19"/>
        <v>1.7741620990337894</v>
      </c>
      <c r="J51" s="132">
        <f t="shared" si="19"/>
        <v>1.3090207684234301</v>
      </c>
      <c r="K51" s="132">
        <f t="shared" si="19"/>
        <v>0.9427858871876742</v>
      </c>
      <c r="L51" s="132">
        <f t="shared" si="19"/>
        <v>0.64241631047410219</v>
      </c>
      <c r="M51" s="132">
        <f t="shared" si="19"/>
        <v>0.38825824459880443</v>
      </c>
      <c r="N51" s="132">
        <f t="shared" si="17"/>
        <v>0.38825824459880443</v>
      </c>
      <c r="O51" s="382">
        <v>0.17699999999999999</v>
      </c>
      <c r="P51" s="132">
        <f t="shared" si="17"/>
        <v>0.17699999999999999</v>
      </c>
      <c r="Q51" s="132">
        <f>O51</f>
        <v>0.17699999999999999</v>
      </c>
      <c r="R51" s="379"/>
      <c r="S51" s="132"/>
      <c r="T51" s="378">
        <f>O51</f>
        <v>0.17699999999999999</v>
      </c>
      <c r="U51" s="378">
        <f>D51</f>
        <v>8.4997815295352268</v>
      </c>
    </row>
    <row r="52" spans="1:23">
      <c r="D52" s="135"/>
      <c r="E52" s="135"/>
      <c r="F52" s="135"/>
      <c r="G52" s="135"/>
      <c r="H52" s="135"/>
      <c r="I52" s="135"/>
      <c r="J52" s="135"/>
      <c r="K52" s="136"/>
      <c r="L52" s="136"/>
      <c r="M52" s="136"/>
      <c r="N52" s="136"/>
      <c r="O52" s="136"/>
      <c r="P52" s="136"/>
      <c r="Q52" s="136"/>
      <c r="R52" s="381"/>
      <c r="S52" s="89"/>
      <c r="T52" s="89"/>
      <c r="U52" s="89"/>
    </row>
    <row r="53" spans="1:23">
      <c r="D53" s="135"/>
      <c r="E53" s="135"/>
      <c r="F53" s="135"/>
      <c r="G53" s="135"/>
      <c r="H53" s="135"/>
      <c r="I53" s="135"/>
      <c r="J53" s="135"/>
      <c r="K53" s="136"/>
      <c r="L53" s="136"/>
      <c r="M53" s="136"/>
      <c r="N53" s="136"/>
      <c r="O53" s="136"/>
      <c r="P53" s="136"/>
      <c r="Q53" s="136"/>
      <c r="R53" s="381"/>
      <c r="S53" s="89"/>
      <c r="T53" s="89"/>
      <c r="U53" s="89"/>
    </row>
    <row r="54" spans="1:23">
      <c r="D54" s="135"/>
      <c r="E54" s="135"/>
      <c r="F54" s="135"/>
      <c r="G54" s="135"/>
      <c r="H54" s="135"/>
      <c r="I54" s="135"/>
      <c r="J54" s="135"/>
      <c r="K54" s="136"/>
      <c r="L54" s="136"/>
      <c r="M54" s="136"/>
      <c r="N54" s="136"/>
      <c r="O54" s="136"/>
      <c r="P54" s="136"/>
      <c r="Q54" s="136"/>
      <c r="R54" s="381"/>
      <c r="S54" s="89"/>
      <c r="T54" s="89"/>
      <c r="U54" s="89"/>
    </row>
    <row r="55" spans="1:23" s="384" customFormat="1" ht="13.8" thickBot="1">
      <c r="D55" s="385"/>
      <c r="E55" s="385"/>
      <c r="F55" s="385"/>
      <c r="G55" s="385"/>
      <c r="H55" s="385"/>
      <c r="I55" s="385"/>
      <c r="J55" s="385"/>
      <c r="K55" s="386"/>
      <c r="L55" s="386"/>
      <c r="M55" s="386"/>
      <c r="N55" s="386"/>
      <c r="O55" s="386"/>
      <c r="P55" s="386"/>
      <c r="Q55" s="386"/>
      <c r="R55" s="387"/>
      <c r="S55" s="388"/>
      <c r="T55" s="388"/>
      <c r="U55" s="388"/>
    </row>
    <row r="56" spans="1:23" s="389" customFormat="1">
      <c r="R56" s="390"/>
    </row>
    <row r="57" spans="1:23">
      <c r="A57" s="39" t="s">
        <v>468</v>
      </c>
      <c r="E57" s="39">
        <v>0</v>
      </c>
      <c r="F57" s="39">
        <v>1</v>
      </c>
      <c r="G57" s="39">
        <v>2</v>
      </c>
      <c r="H57" s="39">
        <v>3</v>
      </c>
      <c r="I57" s="39">
        <v>4</v>
      </c>
      <c r="J57" s="39">
        <v>5</v>
      </c>
      <c r="K57" s="39">
        <v>6</v>
      </c>
      <c r="L57" s="39">
        <v>7</v>
      </c>
      <c r="M57" s="39">
        <v>8</v>
      </c>
    </row>
    <row r="60" spans="1:23">
      <c r="A60" s="39" t="s">
        <v>337</v>
      </c>
      <c r="B60" s="39" t="s">
        <v>338</v>
      </c>
      <c r="C60" s="39" t="s">
        <v>339</v>
      </c>
      <c r="D60" s="39" t="s">
        <v>340</v>
      </c>
      <c r="E60" s="39" t="s">
        <v>341</v>
      </c>
      <c r="F60" s="39" t="s">
        <v>342</v>
      </c>
      <c r="G60" s="39" t="s">
        <v>343</v>
      </c>
      <c r="H60" s="39" t="s">
        <v>344</v>
      </c>
      <c r="I60" s="39" t="s">
        <v>345</v>
      </c>
      <c r="J60" s="39" t="s">
        <v>346</v>
      </c>
    </row>
    <row r="61" spans="1:23">
      <c r="A61" s="39">
        <v>0</v>
      </c>
      <c r="B61" s="39">
        <v>-6.7000000000000004E-8</v>
      </c>
      <c r="C61" s="39">
        <v>-9.9999999999999995E-7</v>
      </c>
      <c r="D61" s="39">
        <v>9.0499999999999999E-4</v>
      </c>
      <c r="E61" s="39">
        <v>1.1199999999999999E-5</v>
      </c>
      <c r="F61" s="39">
        <v>1.6000000000000001E-4</v>
      </c>
      <c r="G61" s="39">
        <v>-0.1525</v>
      </c>
      <c r="H61" s="39">
        <v>-5.6999999999999998E-4</v>
      </c>
      <c r="I61" s="39">
        <v>-5.4999999999999997E-3</v>
      </c>
      <c r="J61" s="39">
        <v>7.2283999999999997</v>
      </c>
    </row>
    <row r="63" spans="1:23">
      <c r="A63" s="39" t="s">
        <v>347</v>
      </c>
      <c r="B63" s="39">
        <v>144</v>
      </c>
    </row>
    <row r="64" spans="1:23">
      <c r="A64" s="39" t="s">
        <v>469</v>
      </c>
      <c r="B64" s="39">
        <f>($B$68*POWER('[1]Auswahl pman'!$P$15,2)+$C$68*'[1]Auswahl pman'!$P$15+D61)*POWER('[1]Auswahl pman'!$P$11,2)+($E$68*POWER('[1]Auswahl pman'!$P$15,2)+$F$68*'[1]Auswahl pman'!$P$15+$G$68)*'[1]Auswahl pman'!$P$11+($H$68*POWER('[1]Auswahl pman'!$P$15,2)+$I$68*'[1]Auswahl pman'!$P$15+$J$68)-1</f>
        <v>2.8400000000000425E-2</v>
      </c>
    </row>
    <row r="67" spans="1:10">
      <c r="A67" s="93" t="s">
        <v>337</v>
      </c>
      <c r="B67" s="94" t="s">
        <v>338</v>
      </c>
      <c r="C67" s="94" t="s">
        <v>339</v>
      </c>
      <c r="D67" s="94" t="s">
        <v>340</v>
      </c>
      <c r="E67" s="94" t="s">
        <v>341</v>
      </c>
      <c r="F67" s="94" t="s">
        <v>342</v>
      </c>
      <c r="G67" s="94" t="s">
        <v>343</v>
      </c>
      <c r="H67" s="94" t="s">
        <v>344</v>
      </c>
      <c r="I67" s="94" t="s">
        <v>345</v>
      </c>
      <c r="J67" s="94" t="s">
        <v>346</v>
      </c>
    </row>
    <row r="68" spans="1:10">
      <c r="B68" s="96">
        <v>-6.7000000000000004E-8</v>
      </c>
      <c r="C68" s="97">
        <v>-9.9999999999999995E-7</v>
      </c>
      <c r="D68" s="98">
        <v>9.0499999999999999E-4</v>
      </c>
      <c r="E68" s="97">
        <v>1.1199999999999999E-5</v>
      </c>
      <c r="F68" s="98">
        <v>1.6000000000000001E-4</v>
      </c>
      <c r="G68" s="98">
        <v>-0.1525</v>
      </c>
      <c r="H68" s="98">
        <v>-5.6999999999999998E-4</v>
      </c>
      <c r="I68" s="98">
        <v>-5.4999999999999997E-3</v>
      </c>
      <c r="J68" s="98">
        <v>7.2283999999999997</v>
      </c>
    </row>
    <row r="69" spans="1:10" ht="15.6">
      <c r="A69" s="99"/>
      <c r="B69" s="100"/>
      <c r="C69" s="100"/>
      <c r="D69" s="100"/>
      <c r="E69" s="101"/>
      <c r="F69" s="100"/>
      <c r="G69" s="100"/>
      <c r="H69" s="100"/>
      <c r="I69" s="100"/>
      <c r="J69" s="100"/>
    </row>
    <row r="70" spans="1:10" ht="16.2" thickBot="1">
      <c r="A70" s="102" t="s">
        <v>347</v>
      </c>
      <c r="B70" s="104"/>
      <c r="C70" s="100"/>
      <c r="D70" s="100"/>
      <c r="E70" s="101"/>
      <c r="F70" s="100"/>
      <c r="G70" s="100"/>
      <c r="H70" s="100"/>
      <c r="I70" s="100"/>
      <c r="J70" s="100"/>
    </row>
    <row r="71" spans="1:10" ht="16.8" thickBot="1">
      <c r="A71" s="103" t="s">
        <v>348</v>
      </c>
      <c r="B71" s="104"/>
      <c r="C71" s="100"/>
      <c r="D71" s="100"/>
      <c r="E71" s="101"/>
      <c r="F71" s="100"/>
      <c r="G71" s="100"/>
      <c r="H71" s="100"/>
      <c r="I71" s="100"/>
      <c r="J71" s="100"/>
    </row>
  </sheetData>
  <pageMargins left="0.78740157499999996" right="0.78740157499999996" top="0.984251969" bottom="0.984251969" header="0.4921259845" footer="0.492125984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0"/>
  <dimension ref="A3:X24"/>
  <sheetViews>
    <sheetView view="pageBreakPreview" zoomScale="70" zoomScaleNormal="70" zoomScaleSheetLayoutView="70" workbookViewId="0">
      <selection activeCell="P15" sqref="P15"/>
    </sheetView>
  </sheetViews>
  <sheetFormatPr defaultColWidth="10" defaultRowHeight="13.2"/>
  <cols>
    <col min="1" max="3" width="10" style="39"/>
    <col min="4" max="4" width="11.19921875" style="39" customWidth="1"/>
    <col min="5" max="10" width="10" style="39"/>
    <col min="11" max="11" width="2.19921875" style="39" customWidth="1"/>
    <col min="12" max="12" width="4.8984375" style="39" customWidth="1"/>
    <col min="13" max="13" width="12.59765625" style="39" customWidth="1"/>
    <col min="14" max="14" width="45.19921875" style="39" bestFit="1" customWidth="1"/>
    <col min="15" max="15" width="7.19921875" style="39" customWidth="1"/>
    <col min="16" max="16" width="11.09765625" style="39" customWidth="1"/>
    <col min="17" max="17" width="6.5" style="39" customWidth="1"/>
    <col min="18" max="18" width="46.59765625" style="39" customWidth="1"/>
    <col min="19" max="19" width="9.09765625" style="39" bestFit="1" customWidth="1"/>
    <col min="20" max="20" width="8.19921875" style="39" bestFit="1" customWidth="1"/>
    <col min="21" max="21" width="10.3984375" style="39" customWidth="1"/>
    <col min="22" max="22" width="25.3984375" style="39" hidden="1" customWidth="1"/>
    <col min="23" max="23" width="10" style="39"/>
    <col min="24" max="24" width="6.09765625" style="39" customWidth="1"/>
    <col min="25" max="259" width="10" style="39"/>
    <col min="260" max="260" width="11.19921875" style="39" customWidth="1"/>
    <col min="261" max="266" width="10" style="39"/>
    <col min="267" max="267" width="2.19921875" style="39" customWidth="1"/>
    <col min="268" max="268" width="4.8984375" style="39" customWidth="1"/>
    <col min="269" max="269" width="12.59765625" style="39" customWidth="1"/>
    <col min="270" max="270" width="45.19921875" style="39" bestFit="1" customWidth="1"/>
    <col min="271" max="271" width="7.19921875" style="39" customWidth="1"/>
    <col min="272" max="272" width="11.09765625" style="39" customWidth="1"/>
    <col min="273" max="273" width="6.5" style="39" customWidth="1"/>
    <col min="274" max="274" width="46.59765625" style="39" customWidth="1"/>
    <col min="275" max="275" width="9.09765625" style="39" bestFit="1" customWidth="1"/>
    <col min="276" max="276" width="8.19921875" style="39" bestFit="1" customWidth="1"/>
    <col min="277" max="277" width="10.3984375" style="39" customWidth="1"/>
    <col min="278" max="278" width="0" style="39" hidden="1" customWidth="1"/>
    <col min="279" max="279" width="10" style="39"/>
    <col min="280" max="280" width="6.09765625" style="39" customWidth="1"/>
    <col min="281" max="515" width="10" style="39"/>
    <col min="516" max="516" width="11.19921875" style="39" customWidth="1"/>
    <col min="517" max="522" width="10" style="39"/>
    <col min="523" max="523" width="2.19921875" style="39" customWidth="1"/>
    <col min="524" max="524" width="4.8984375" style="39" customWidth="1"/>
    <col min="525" max="525" width="12.59765625" style="39" customWidth="1"/>
    <col min="526" max="526" width="45.19921875" style="39" bestFit="1" customWidth="1"/>
    <col min="527" max="527" width="7.19921875" style="39" customWidth="1"/>
    <col min="528" max="528" width="11.09765625" style="39" customWidth="1"/>
    <col min="529" max="529" width="6.5" style="39" customWidth="1"/>
    <col min="530" max="530" width="46.59765625" style="39" customWidth="1"/>
    <col min="531" max="531" width="9.09765625" style="39" bestFit="1" customWidth="1"/>
    <col min="532" max="532" width="8.19921875" style="39" bestFit="1" customWidth="1"/>
    <col min="533" max="533" width="10.3984375" style="39" customWidth="1"/>
    <col min="534" max="534" width="0" style="39" hidden="1" customWidth="1"/>
    <col min="535" max="535" width="10" style="39"/>
    <col min="536" max="536" width="6.09765625" style="39" customWidth="1"/>
    <col min="537" max="771" width="10" style="39"/>
    <col min="772" max="772" width="11.19921875" style="39" customWidth="1"/>
    <col min="773" max="778" width="10" style="39"/>
    <col min="779" max="779" width="2.19921875" style="39" customWidth="1"/>
    <col min="780" max="780" width="4.8984375" style="39" customWidth="1"/>
    <col min="781" max="781" width="12.59765625" style="39" customWidth="1"/>
    <col min="782" max="782" width="45.19921875" style="39" bestFit="1" customWidth="1"/>
    <col min="783" max="783" width="7.19921875" style="39" customWidth="1"/>
    <col min="784" max="784" width="11.09765625" style="39" customWidth="1"/>
    <col min="785" max="785" width="6.5" style="39" customWidth="1"/>
    <col min="786" max="786" width="46.59765625" style="39" customWidth="1"/>
    <col min="787" max="787" width="9.09765625" style="39" bestFit="1" customWidth="1"/>
    <col min="788" max="788" width="8.19921875" style="39" bestFit="1" customWidth="1"/>
    <col min="789" max="789" width="10.3984375" style="39" customWidth="1"/>
    <col min="790" max="790" width="0" style="39" hidden="1" customWidth="1"/>
    <col min="791" max="791" width="10" style="39"/>
    <col min="792" max="792" width="6.09765625" style="39" customWidth="1"/>
    <col min="793" max="1027" width="10" style="39"/>
    <col min="1028" max="1028" width="11.19921875" style="39" customWidth="1"/>
    <col min="1029" max="1034" width="10" style="39"/>
    <col min="1035" max="1035" width="2.19921875" style="39" customWidth="1"/>
    <col min="1036" max="1036" width="4.8984375" style="39" customWidth="1"/>
    <col min="1037" max="1037" width="12.59765625" style="39" customWidth="1"/>
    <col min="1038" max="1038" width="45.19921875" style="39" bestFit="1" customWidth="1"/>
    <col min="1039" max="1039" width="7.19921875" style="39" customWidth="1"/>
    <col min="1040" max="1040" width="11.09765625" style="39" customWidth="1"/>
    <col min="1041" max="1041" width="6.5" style="39" customWidth="1"/>
    <col min="1042" max="1042" width="46.59765625" style="39" customWidth="1"/>
    <col min="1043" max="1043" width="9.09765625" style="39" bestFit="1" customWidth="1"/>
    <col min="1044" max="1044" width="8.19921875" style="39" bestFit="1" customWidth="1"/>
    <col min="1045" max="1045" width="10.3984375" style="39" customWidth="1"/>
    <col min="1046" max="1046" width="0" style="39" hidden="1" customWidth="1"/>
    <col min="1047" max="1047" width="10" style="39"/>
    <col min="1048" max="1048" width="6.09765625" style="39" customWidth="1"/>
    <col min="1049" max="1283" width="10" style="39"/>
    <col min="1284" max="1284" width="11.19921875" style="39" customWidth="1"/>
    <col min="1285" max="1290" width="10" style="39"/>
    <col min="1291" max="1291" width="2.19921875" style="39" customWidth="1"/>
    <col min="1292" max="1292" width="4.8984375" style="39" customWidth="1"/>
    <col min="1293" max="1293" width="12.59765625" style="39" customWidth="1"/>
    <col min="1294" max="1294" width="45.19921875" style="39" bestFit="1" customWidth="1"/>
    <col min="1295" max="1295" width="7.19921875" style="39" customWidth="1"/>
    <col min="1296" max="1296" width="11.09765625" style="39" customWidth="1"/>
    <col min="1297" max="1297" width="6.5" style="39" customWidth="1"/>
    <col min="1298" max="1298" width="46.59765625" style="39" customWidth="1"/>
    <col min="1299" max="1299" width="9.09765625" style="39" bestFit="1" customWidth="1"/>
    <col min="1300" max="1300" width="8.19921875" style="39" bestFit="1" customWidth="1"/>
    <col min="1301" max="1301" width="10.3984375" style="39" customWidth="1"/>
    <col min="1302" max="1302" width="0" style="39" hidden="1" customWidth="1"/>
    <col min="1303" max="1303" width="10" style="39"/>
    <col min="1304" max="1304" width="6.09765625" style="39" customWidth="1"/>
    <col min="1305" max="1539" width="10" style="39"/>
    <col min="1540" max="1540" width="11.19921875" style="39" customWidth="1"/>
    <col min="1541" max="1546" width="10" style="39"/>
    <col min="1547" max="1547" width="2.19921875" style="39" customWidth="1"/>
    <col min="1548" max="1548" width="4.8984375" style="39" customWidth="1"/>
    <col min="1549" max="1549" width="12.59765625" style="39" customWidth="1"/>
    <col min="1550" max="1550" width="45.19921875" style="39" bestFit="1" customWidth="1"/>
    <col min="1551" max="1551" width="7.19921875" style="39" customWidth="1"/>
    <col min="1552" max="1552" width="11.09765625" style="39" customWidth="1"/>
    <col min="1553" max="1553" width="6.5" style="39" customWidth="1"/>
    <col min="1554" max="1554" width="46.59765625" style="39" customWidth="1"/>
    <col min="1555" max="1555" width="9.09765625" style="39" bestFit="1" customWidth="1"/>
    <col min="1556" max="1556" width="8.19921875" style="39" bestFit="1" customWidth="1"/>
    <col min="1557" max="1557" width="10.3984375" style="39" customWidth="1"/>
    <col min="1558" max="1558" width="0" style="39" hidden="1" customWidth="1"/>
    <col min="1559" max="1559" width="10" style="39"/>
    <col min="1560" max="1560" width="6.09765625" style="39" customWidth="1"/>
    <col min="1561" max="1795" width="10" style="39"/>
    <col min="1796" max="1796" width="11.19921875" style="39" customWidth="1"/>
    <col min="1797" max="1802" width="10" style="39"/>
    <col min="1803" max="1803" width="2.19921875" style="39" customWidth="1"/>
    <col min="1804" max="1804" width="4.8984375" style="39" customWidth="1"/>
    <col min="1805" max="1805" width="12.59765625" style="39" customWidth="1"/>
    <col min="1806" max="1806" width="45.19921875" style="39" bestFit="1" customWidth="1"/>
    <col min="1807" max="1807" width="7.19921875" style="39" customWidth="1"/>
    <col min="1808" max="1808" width="11.09765625" style="39" customWidth="1"/>
    <col min="1809" max="1809" width="6.5" style="39" customWidth="1"/>
    <col min="1810" max="1810" width="46.59765625" style="39" customWidth="1"/>
    <col min="1811" max="1811" width="9.09765625" style="39" bestFit="1" customWidth="1"/>
    <col min="1812" max="1812" width="8.19921875" style="39" bestFit="1" customWidth="1"/>
    <col min="1813" max="1813" width="10.3984375" style="39" customWidth="1"/>
    <col min="1814" max="1814" width="0" style="39" hidden="1" customWidth="1"/>
    <col min="1815" max="1815" width="10" style="39"/>
    <col min="1816" max="1816" width="6.09765625" style="39" customWidth="1"/>
    <col min="1817" max="2051" width="10" style="39"/>
    <col min="2052" max="2052" width="11.19921875" style="39" customWidth="1"/>
    <col min="2053" max="2058" width="10" style="39"/>
    <col min="2059" max="2059" width="2.19921875" style="39" customWidth="1"/>
    <col min="2060" max="2060" width="4.8984375" style="39" customWidth="1"/>
    <col min="2061" max="2061" width="12.59765625" style="39" customWidth="1"/>
    <col min="2062" max="2062" width="45.19921875" style="39" bestFit="1" customWidth="1"/>
    <col min="2063" max="2063" width="7.19921875" style="39" customWidth="1"/>
    <col min="2064" max="2064" width="11.09765625" style="39" customWidth="1"/>
    <col min="2065" max="2065" width="6.5" style="39" customWidth="1"/>
    <col min="2066" max="2066" width="46.59765625" style="39" customWidth="1"/>
    <col min="2067" max="2067" width="9.09765625" style="39" bestFit="1" customWidth="1"/>
    <col min="2068" max="2068" width="8.19921875" style="39" bestFit="1" customWidth="1"/>
    <col min="2069" max="2069" width="10.3984375" style="39" customWidth="1"/>
    <col min="2070" max="2070" width="0" style="39" hidden="1" customWidth="1"/>
    <col min="2071" max="2071" width="10" style="39"/>
    <col min="2072" max="2072" width="6.09765625" style="39" customWidth="1"/>
    <col min="2073" max="2307" width="10" style="39"/>
    <col min="2308" max="2308" width="11.19921875" style="39" customWidth="1"/>
    <col min="2309" max="2314" width="10" style="39"/>
    <col min="2315" max="2315" width="2.19921875" style="39" customWidth="1"/>
    <col min="2316" max="2316" width="4.8984375" style="39" customWidth="1"/>
    <col min="2317" max="2317" width="12.59765625" style="39" customWidth="1"/>
    <col min="2318" max="2318" width="45.19921875" style="39" bestFit="1" customWidth="1"/>
    <col min="2319" max="2319" width="7.19921875" style="39" customWidth="1"/>
    <col min="2320" max="2320" width="11.09765625" style="39" customWidth="1"/>
    <col min="2321" max="2321" width="6.5" style="39" customWidth="1"/>
    <col min="2322" max="2322" width="46.59765625" style="39" customWidth="1"/>
    <col min="2323" max="2323" width="9.09765625" style="39" bestFit="1" customWidth="1"/>
    <col min="2324" max="2324" width="8.19921875" style="39" bestFit="1" customWidth="1"/>
    <col min="2325" max="2325" width="10.3984375" style="39" customWidth="1"/>
    <col min="2326" max="2326" width="0" style="39" hidden="1" customWidth="1"/>
    <col min="2327" max="2327" width="10" style="39"/>
    <col min="2328" max="2328" width="6.09765625" style="39" customWidth="1"/>
    <col min="2329" max="2563" width="10" style="39"/>
    <col min="2564" max="2564" width="11.19921875" style="39" customWidth="1"/>
    <col min="2565" max="2570" width="10" style="39"/>
    <col min="2571" max="2571" width="2.19921875" style="39" customWidth="1"/>
    <col min="2572" max="2572" width="4.8984375" style="39" customWidth="1"/>
    <col min="2573" max="2573" width="12.59765625" style="39" customWidth="1"/>
    <col min="2574" max="2574" width="45.19921875" style="39" bestFit="1" customWidth="1"/>
    <col min="2575" max="2575" width="7.19921875" style="39" customWidth="1"/>
    <col min="2576" max="2576" width="11.09765625" style="39" customWidth="1"/>
    <col min="2577" max="2577" width="6.5" style="39" customWidth="1"/>
    <col min="2578" max="2578" width="46.59765625" style="39" customWidth="1"/>
    <col min="2579" max="2579" width="9.09765625" style="39" bestFit="1" customWidth="1"/>
    <col min="2580" max="2580" width="8.19921875" style="39" bestFit="1" customWidth="1"/>
    <col min="2581" max="2581" width="10.3984375" style="39" customWidth="1"/>
    <col min="2582" max="2582" width="0" style="39" hidden="1" customWidth="1"/>
    <col min="2583" max="2583" width="10" style="39"/>
    <col min="2584" max="2584" width="6.09765625" style="39" customWidth="1"/>
    <col min="2585" max="2819" width="10" style="39"/>
    <col min="2820" max="2820" width="11.19921875" style="39" customWidth="1"/>
    <col min="2821" max="2826" width="10" style="39"/>
    <col min="2827" max="2827" width="2.19921875" style="39" customWidth="1"/>
    <col min="2828" max="2828" width="4.8984375" style="39" customWidth="1"/>
    <col min="2829" max="2829" width="12.59765625" style="39" customWidth="1"/>
    <col min="2830" max="2830" width="45.19921875" style="39" bestFit="1" customWidth="1"/>
    <col min="2831" max="2831" width="7.19921875" style="39" customWidth="1"/>
    <col min="2832" max="2832" width="11.09765625" style="39" customWidth="1"/>
    <col min="2833" max="2833" width="6.5" style="39" customWidth="1"/>
    <col min="2834" max="2834" width="46.59765625" style="39" customWidth="1"/>
    <col min="2835" max="2835" width="9.09765625" style="39" bestFit="1" customWidth="1"/>
    <col min="2836" max="2836" width="8.19921875" style="39" bestFit="1" customWidth="1"/>
    <col min="2837" max="2837" width="10.3984375" style="39" customWidth="1"/>
    <col min="2838" max="2838" width="0" style="39" hidden="1" customWidth="1"/>
    <col min="2839" max="2839" width="10" style="39"/>
    <col min="2840" max="2840" width="6.09765625" style="39" customWidth="1"/>
    <col min="2841" max="3075" width="10" style="39"/>
    <col min="3076" max="3076" width="11.19921875" style="39" customWidth="1"/>
    <col min="3077" max="3082" width="10" style="39"/>
    <col min="3083" max="3083" width="2.19921875" style="39" customWidth="1"/>
    <col min="3084" max="3084" width="4.8984375" style="39" customWidth="1"/>
    <col min="3085" max="3085" width="12.59765625" style="39" customWidth="1"/>
    <col min="3086" max="3086" width="45.19921875" style="39" bestFit="1" customWidth="1"/>
    <col min="3087" max="3087" width="7.19921875" style="39" customWidth="1"/>
    <col min="3088" max="3088" width="11.09765625" style="39" customWidth="1"/>
    <col min="3089" max="3089" width="6.5" style="39" customWidth="1"/>
    <col min="3090" max="3090" width="46.59765625" style="39" customWidth="1"/>
    <col min="3091" max="3091" width="9.09765625" style="39" bestFit="1" customWidth="1"/>
    <col min="3092" max="3092" width="8.19921875" style="39" bestFit="1" customWidth="1"/>
    <col min="3093" max="3093" width="10.3984375" style="39" customWidth="1"/>
    <col min="3094" max="3094" width="0" style="39" hidden="1" customWidth="1"/>
    <col min="3095" max="3095" width="10" style="39"/>
    <col min="3096" max="3096" width="6.09765625" style="39" customWidth="1"/>
    <col min="3097" max="3331" width="10" style="39"/>
    <col min="3332" max="3332" width="11.19921875" style="39" customWidth="1"/>
    <col min="3333" max="3338" width="10" style="39"/>
    <col min="3339" max="3339" width="2.19921875" style="39" customWidth="1"/>
    <col min="3340" max="3340" width="4.8984375" style="39" customWidth="1"/>
    <col min="3341" max="3341" width="12.59765625" style="39" customWidth="1"/>
    <col min="3342" max="3342" width="45.19921875" style="39" bestFit="1" customWidth="1"/>
    <col min="3343" max="3343" width="7.19921875" style="39" customWidth="1"/>
    <col min="3344" max="3344" width="11.09765625" style="39" customWidth="1"/>
    <col min="3345" max="3345" width="6.5" style="39" customWidth="1"/>
    <col min="3346" max="3346" width="46.59765625" style="39" customWidth="1"/>
    <col min="3347" max="3347" width="9.09765625" style="39" bestFit="1" customWidth="1"/>
    <col min="3348" max="3348" width="8.19921875" style="39" bestFit="1" customWidth="1"/>
    <col min="3349" max="3349" width="10.3984375" style="39" customWidth="1"/>
    <col min="3350" max="3350" width="0" style="39" hidden="1" customWidth="1"/>
    <col min="3351" max="3351" width="10" style="39"/>
    <col min="3352" max="3352" width="6.09765625" style="39" customWidth="1"/>
    <col min="3353" max="3587" width="10" style="39"/>
    <col min="3588" max="3588" width="11.19921875" style="39" customWidth="1"/>
    <col min="3589" max="3594" width="10" style="39"/>
    <col min="3595" max="3595" width="2.19921875" style="39" customWidth="1"/>
    <col min="3596" max="3596" width="4.8984375" style="39" customWidth="1"/>
    <col min="3597" max="3597" width="12.59765625" style="39" customWidth="1"/>
    <col min="3598" max="3598" width="45.19921875" style="39" bestFit="1" customWidth="1"/>
    <col min="3599" max="3599" width="7.19921875" style="39" customWidth="1"/>
    <col min="3600" max="3600" width="11.09765625" style="39" customWidth="1"/>
    <col min="3601" max="3601" width="6.5" style="39" customWidth="1"/>
    <col min="3602" max="3602" width="46.59765625" style="39" customWidth="1"/>
    <col min="3603" max="3603" width="9.09765625" style="39" bestFit="1" customWidth="1"/>
    <col min="3604" max="3604" width="8.19921875" style="39" bestFit="1" customWidth="1"/>
    <col min="3605" max="3605" width="10.3984375" style="39" customWidth="1"/>
    <col min="3606" max="3606" width="0" style="39" hidden="1" customWidth="1"/>
    <col min="3607" max="3607" width="10" style="39"/>
    <col min="3608" max="3608" width="6.09765625" style="39" customWidth="1"/>
    <col min="3609" max="3843" width="10" style="39"/>
    <col min="3844" max="3844" width="11.19921875" style="39" customWidth="1"/>
    <col min="3845" max="3850" width="10" style="39"/>
    <col min="3851" max="3851" width="2.19921875" style="39" customWidth="1"/>
    <col min="3852" max="3852" width="4.8984375" style="39" customWidth="1"/>
    <col min="3853" max="3853" width="12.59765625" style="39" customWidth="1"/>
    <col min="3854" max="3854" width="45.19921875" style="39" bestFit="1" customWidth="1"/>
    <col min="3855" max="3855" width="7.19921875" style="39" customWidth="1"/>
    <col min="3856" max="3856" width="11.09765625" style="39" customWidth="1"/>
    <col min="3857" max="3857" width="6.5" style="39" customWidth="1"/>
    <col min="3858" max="3858" width="46.59765625" style="39" customWidth="1"/>
    <col min="3859" max="3859" width="9.09765625" style="39" bestFit="1" customWidth="1"/>
    <col min="3860" max="3860" width="8.19921875" style="39" bestFit="1" customWidth="1"/>
    <col min="3861" max="3861" width="10.3984375" style="39" customWidth="1"/>
    <col min="3862" max="3862" width="0" style="39" hidden="1" customWidth="1"/>
    <col min="3863" max="3863" width="10" style="39"/>
    <col min="3864" max="3864" width="6.09765625" style="39" customWidth="1"/>
    <col min="3865" max="4099" width="10" style="39"/>
    <col min="4100" max="4100" width="11.19921875" style="39" customWidth="1"/>
    <col min="4101" max="4106" width="10" style="39"/>
    <col min="4107" max="4107" width="2.19921875" style="39" customWidth="1"/>
    <col min="4108" max="4108" width="4.8984375" style="39" customWidth="1"/>
    <col min="4109" max="4109" width="12.59765625" style="39" customWidth="1"/>
    <col min="4110" max="4110" width="45.19921875" style="39" bestFit="1" customWidth="1"/>
    <col min="4111" max="4111" width="7.19921875" style="39" customWidth="1"/>
    <col min="4112" max="4112" width="11.09765625" style="39" customWidth="1"/>
    <col min="4113" max="4113" width="6.5" style="39" customWidth="1"/>
    <col min="4114" max="4114" width="46.59765625" style="39" customWidth="1"/>
    <col min="4115" max="4115" width="9.09765625" style="39" bestFit="1" customWidth="1"/>
    <col min="4116" max="4116" width="8.19921875" style="39" bestFit="1" customWidth="1"/>
    <col min="4117" max="4117" width="10.3984375" style="39" customWidth="1"/>
    <col min="4118" max="4118" width="0" style="39" hidden="1" customWidth="1"/>
    <col min="4119" max="4119" width="10" style="39"/>
    <col min="4120" max="4120" width="6.09765625" style="39" customWidth="1"/>
    <col min="4121" max="4355" width="10" style="39"/>
    <col min="4356" max="4356" width="11.19921875" style="39" customWidth="1"/>
    <col min="4357" max="4362" width="10" style="39"/>
    <col min="4363" max="4363" width="2.19921875" style="39" customWidth="1"/>
    <col min="4364" max="4364" width="4.8984375" style="39" customWidth="1"/>
    <col min="4365" max="4365" width="12.59765625" style="39" customWidth="1"/>
    <col min="4366" max="4366" width="45.19921875" style="39" bestFit="1" customWidth="1"/>
    <col min="4367" max="4367" width="7.19921875" style="39" customWidth="1"/>
    <col min="4368" max="4368" width="11.09765625" style="39" customWidth="1"/>
    <col min="4369" max="4369" width="6.5" style="39" customWidth="1"/>
    <col min="4370" max="4370" width="46.59765625" style="39" customWidth="1"/>
    <col min="4371" max="4371" width="9.09765625" style="39" bestFit="1" customWidth="1"/>
    <col min="4372" max="4372" width="8.19921875" style="39" bestFit="1" customWidth="1"/>
    <col min="4373" max="4373" width="10.3984375" style="39" customWidth="1"/>
    <col min="4374" max="4374" width="0" style="39" hidden="1" customWidth="1"/>
    <col min="4375" max="4375" width="10" style="39"/>
    <col min="4376" max="4376" width="6.09765625" style="39" customWidth="1"/>
    <col min="4377" max="4611" width="10" style="39"/>
    <col min="4612" max="4612" width="11.19921875" style="39" customWidth="1"/>
    <col min="4613" max="4618" width="10" style="39"/>
    <col min="4619" max="4619" width="2.19921875" style="39" customWidth="1"/>
    <col min="4620" max="4620" width="4.8984375" style="39" customWidth="1"/>
    <col min="4621" max="4621" width="12.59765625" style="39" customWidth="1"/>
    <col min="4622" max="4622" width="45.19921875" style="39" bestFit="1" customWidth="1"/>
    <col min="4623" max="4623" width="7.19921875" style="39" customWidth="1"/>
    <col min="4624" max="4624" width="11.09765625" style="39" customWidth="1"/>
    <col min="4625" max="4625" width="6.5" style="39" customWidth="1"/>
    <col min="4626" max="4626" width="46.59765625" style="39" customWidth="1"/>
    <col min="4627" max="4627" width="9.09765625" style="39" bestFit="1" customWidth="1"/>
    <col min="4628" max="4628" width="8.19921875" style="39" bestFit="1" customWidth="1"/>
    <col min="4629" max="4629" width="10.3984375" style="39" customWidth="1"/>
    <col min="4630" max="4630" width="0" style="39" hidden="1" customWidth="1"/>
    <col min="4631" max="4631" width="10" style="39"/>
    <col min="4632" max="4632" width="6.09765625" style="39" customWidth="1"/>
    <col min="4633" max="4867" width="10" style="39"/>
    <col min="4868" max="4868" width="11.19921875" style="39" customWidth="1"/>
    <col min="4869" max="4874" width="10" style="39"/>
    <col min="4875" max="4875" width="2.19921875" style="39" customWidth="1"/>
    <col min="4876" max="4876" width="4.8984375" style="39" customWidth="1"/>
    <col min="4877" max="4877" width="12.59765625" style="39" customWidth="1"/>
    <col min="4878" max="4878" width="45.19921875" style="39" bestFit="1" customWidth="1"/>
    <col min="4879" max="4879" width="7.19921875" style="39" customWidth="1"/>
    <col min="4880" max="4880" width="11.09765625" style="39" customWidth="1"/>
    <col min="4881" max="4881" width="6.5" style="39" customWidth="1"/>
    <col min="4882" max="4882" width="46.59765625" style="39" customWidth="1"/>
    <col min="4883" max="4883" width="9.09765625" style="39" bestFit="1" customWidth="1"/>
    <col min="4884" max="4884" width="8.19921875" style="39" bestFit="1" customWidth="1"/>
    <col min="4885" max="4885" width="10.3984375" style="39" customWidth="1"/>
    <col min="4886" max="4886" width="0" style="39" hidden="1" customWidth="1"/>
    <col min="4887" max="4887" width="10" style="39"/>
    <col min="4888" max="4888" width="6.09765625" style="39" customWidth="1"/>
    <col min="4889" max="5123" width="10" style="39"/>
    <col min="5124" max="5124" width="11.19921875" style="39" customWidth="1"/>
    <col min="5125" max="5130" width="10" style="39"/>
    <col min="5131" max="5131" width="2.19921875" style="39" customWidth="1"/>
    <col min="5132" max="5132" width="4.8984375" style="39" customWidth="1"/>
    <col min="5133" max="5133" width="12.59765625" style="39" customWidth="1"/>
    <col min="5134" max="5134" width="45.19921875" style="39" bestFit="1" customWidth="1"/>
    <col min="5135" max="5135" width="7.19921875" style="39" customWidth="1"/>
    <col min="5136" max="5136" width="11.09765625" style="39" customWidth="1"/>
    <col min="5137" max="5137" width="6.5" style="39" customWidth="1"/>
    <col min="5138" max="5138" width="46.59765625" style="39" customWidth="1"/>
    <col min="5139" max="5139" width="9.09765625" style="39" bestFit="1" customWidth="1"/>
    <col min="5140" max="5140" width="8.19921875" style="39" bestFit="1" customWidth="1"/>
    <col min="5141" max="5141" width="10.3984375" style="39" customWidth="1"/>
    <col min="5142" max="5142" width="0" style="39" hidden="1" customWidth="1"/>
    <col min="5143" max="5143" width="10" style="39"/>
    <col min="5144" max="5144" width="6.09765625" style="39" customWidth="1"/>
    <col min="5145" max="5379" width="10" style="39"/>
    <col min="5380" max="5380" width="11.19921875" style="39" customWidth="1"/>
    <col min="5381" max="5386" width="10" style="39"/>
    <col min="5387" max="5387" width="2.19921875" style="39" customWidth="1"/>
    <col min="5388" max="5388" width="4.8984375" style="39" customWidth="1"/>
    <col min="5389" max="5389" width="12.59765625" style="39" customWidth="1"/>
    <col min="5390" max="5390" width="45.19921875" style="39" bestFit="1" customWidth="1"/>
    <col min="5391" max="5391" width="7.19921875" style="39" customWidth="1"/>
    <col min="5392" max="5392" width="11.09765625" style="39" customWidth="1"/>
    <col min="5393" max="5393" width="6.5" style="39" customWidth="1"/>
    <col min="5394" max="5394" width="46.59765625" style="39" customWidth="1"/>
    <col min="5395" max="5395" width="9.09765625" style="39" bestFit="1" customWidth="1"/>
    <col min="5396" max="5396" width="8.19921875" style="39" bestFit="1" customWidth="1"/>
    <col min="5397" max="5397" width="10.3984375" style="39" customWidth="1"/>
    <col min="5398" max="5398" width="0" style="39" hidden="1" customWidth="1"/>
    <col min="5399" max="5399" width="10" style="39"/>
    <col min="5400" max="5400" width="6.09765625" style="39" customWidth="1"/>
    <col min="5401" max="5635" width="10" style="39"/>
    <col min="5636" max="5636" width="11.19921875" style="39" customWidth="1"/>
    <col min="5637" max="5642" width="10" style="39"/>
    <col min="5643" max="5643" width="2.19921875" style="39" customWidth="1"/>
    <col min="5644" max="5644" width="4.8984375" style="39" customWidth="1"/>
    <col min="5645" max="5645" width="12.59765625" style="39" customWidth="1"/>
    <col min="5646" max="5646" width="45.19921875" style="39" bestFit="1" customWidth="1"/>
    <col min="5647" max="5647" width="7.19921875" style="39" customWidth="1"/>
    <col min="5648" max="5648" width="11.09765625" style="39" customWidth="1"/>
    <col min="5649" max="5649" width="6.5" style="39" customWidth="1"/>
    <col min="5650" max="5650" width="46.59765625" style="39" customWidth="1"/>
    <col min="5651" max="5651" width="9.09765625" style="39" bestFit="1" customWidth="1"/>
    <col min="5652" max="5652" width="8.19921875" style="39" bestFit="1" customWidth="1"/>
    <col min="5653" max="5653" width="10.3984375" style="39" customWidth="1"/>
    <col min="5654" max="5654" width="0" style="39" hidden="1" customWidth="1"/>
    <col min="5655" max="5655" width="10" style="39"/>
    <col min="5656" max="5656" width="6.09765625" style="39" customWidth="1"/>
    <col min="5657" max="5891" width="10" style="39"/>
    <col min="5892" max="5892" width="11.19921875" style="39" customWidth="1"/>
    <col min="5893" max="5898" width="10" style="39"/>
    <col min="5899" max="5899" width="2.19921875" style="39" customWidth="1"/>
    <col min="5900" max="5900" width="4.8984375" style="39" customWidth="1"/>
    <col min="5901" max="5901" width="12.59765625" style="39" customWidth="1"/>
    <col min="5902" max="5902" width="45.19921875" style="39" bestFit="1" customWidth="1"/>
    <col min="5903" max="5903" width="7.19921875" style="39" customWidth="1"/>
    <col min="5904" max="5904" width="11.09765625" style="39" customWidth="1"/>
    <col min="5905" max="5905" width="6.5" style="39" customWidth="1"/>
    <col min="5906" max="5906" width="46.59765625" style="39" customWidth="1"/>
    <col min="5907" max="5907" width="9.09765625" style="39" bestFit="1" customWidth="1"/>
    <col min="5908" max="5908" width="8.19921875" style="39" bestFit="1" customWidth="1"/>
    <col min="5909" max="5909" width="10.3984375" style="39" customWidth="1"/>
    <col min="5910" max="5910" width="0" style="39" hidden="1" customWidth="1"/>
    <col min="5911" max="5911" width="10" style="39"/>
    <col min="5912" max="5912" width="6.09765625" style="39" customWidth="1"/>
    <col min="5913" max="6147" width="10" style="39"/>
    <col min="6148" max="6148" width="11.19921875" style="39" customWidth="1"/>
    <col min="6149" max="6154" width="10" style="39"/>
    <col min="6155" max="6155" width="2.19921875" style="39" customWidth="1"/>
    <col min="6156" max="6156" width="4.8984375" style="39" customWidth="1"/>
    <col min="6157" max="6157" width="12.59765625" style="39" customWidth="1"/>
    <col min="6158" max="6158" width="45.19921875" style="39" bestFit="1" customWidth="1"/>
    <col min="6159" max="6159" width="7.19921875" style="39" customWidth="1"/>
    <col min="6160" max="6160" width="11.09765625" style="39" customWidth="1"/>
    <col min="6161" max="6161" width="6.5" style="39" customWidth="1"/>
    <col min="6162" max="6162" width="46.59765625" style="39" customWidth="1"/>
    <col min="6163" max="6163" width="9.09765625" style="39" bestFit="1" customWidth="1"/>
    <col min="6164" max="6164" width="8.19921875" style="39" bestFit="1" customWidth="1"/>
    <col min="6165" max="6165" width="10.3984375" style="39" customWidth="1"/>
    <col min="6166" max="6166" width="0" style="39" hidden="1" customWidth="1"/>
    <col min="6167" max="6167" width="10" style="39"/>
    <col min="6168" max="6168" width="6.09765625" style="39" customWidth="1"/>
    <col min="6169" max="6403" width="10" style="39"/>
    <col min="6404" max="6404" width="11.19921875" style="39" customWidth="1"/>
    <col min="6405" max="6410" width="10" style="39"/>
    <col min="6411" max="6411" width="2.19921875" style="39" customWidth="1"/>
    <col min="6412" max="6412" width="4.8984375" style="39" customWidth="1"/>
    <col min="6413" max="6413" width="12.59765625" style="39" customWidth="1"/>
    <col min="6414" max="6414" width="45.19921875" style="39" bestFit="1" customWidth="1"/>
    <col min="6415" max="6415" width="7.19921875" style="39" customWidth="1"/>
    <col min="6416" max="6416" width="11.09765625" style="39" customWidth="1"/>
    <col min="6417" max="6417" width="6.5" style="39" customWidth="1"/>
    <col min="6418" max="6418" width="46.59765625" style="39" customWidth="1"/>
    <col min="6419" max="6419" width="9.09765625" style="39" bestFit="1" customWidth="1"/>
    <col min="6420" max="6420" width="8.19921875" style="39" bestFit="1" customWidth="1"/>
    <col min="6421" max="6421" width="10.3984375" style="39" customWidth="1"/>
    <col min="6422" max="6422" width="0" style="39" hidden="1" customWidth="1"/>
    <col min="6423" max="6423" width="10" style="39"/>
    <col min="6424" max="6424" width="6.09765625" style="39" customWidth="1"/>
    <col min="6425" max="6659" width="10" style="39"/>
    <col min="6660" max="6660" width="11.19921875" style="39" customWidth="1"/>
    <col min="6661" max="6666" width="10" style="39"/>
    <col min="6667" max="6667" width="2.19921875" style="39" customWidth="1"/>
    <col min="6668" max="6668" width="4.8984375" style="39" customWidth="1"/>
    <col min="6669" max="6669" width="12.59765625" style="39" customWidth="1"/>
    <col min="6670" max="6670" width="45.19921875" style="39" bestFit="1" customWidth="1"/>
    <col min="6671" max="6671" width="7.19921875" style="39" customWidth="1"/>
    <col min="6672" max="6672" width="11.09765625" style="39" customWidth="1"/>
    <col min="6673" max="6673" width="6.5" style="39" customWidth="1"/>
    <col min="6674" max="6674" width="46.59765625" style="39" customWidth="1"/>
    <col min="6675" max="6675" width="9.09765625" style="39" bestFit="1" customWidth="1"/>
    <col min="6676" max="6676" width="8.19921875" style="39" bestFit="1" customWidth="1"/>
    <col min="6677" max="6677" width="10.3984375" style="39" customWidth="1"/>
    <col min="6678" max="6678" width="0" style="39" hidden="1" customWidth="1"/>
    <col min="6679" max="6679" width="10" style="39"/>
    <col min="6680" max="6680" width="6.09765625" style="39" customWidth="1"/>
    <col min="6681" max="6915" width="10" style="39"/>
    <col min="6916" max="6916" width="11.19921875" style="39" customWidth="1"/>
    <col min="6917" max="6922" width="10" style="39"/>
    <col min="6923" max="6923" width="2.19921875" style="39" customWidth="1"/>
    <col min="6924" max="6924" width="4.8984375" style="39" customWidth="1"/>
    <col min="6925" max="6925" width="12.59765625" style="39" customWidth="1"/>
    <col min="6926" max="6926" width="45.19921875" style="39" bestFit="1" customWidth="1"/>
    <col min="6927" max="6927" width="7.19921875" style="39" customWidth="1"/>
    <col min="6928" max="6928" width="11.09765625" style="39" customWidth="1"/>
    <col min="6929" max="6929" width="6.5" style="39" customWidth="1"/>
    <col min="6930" max="6930" width="46.59765625" style="39" customWidth="1"/>
    <col min="6931" max="6931" width="9.09765625" style="39" bestFit="1" customWidth="1"/>
    <col min="6932" max="6932" width="8.19921875" style="39" bestFit="1" customWidth="1"/>
    <col min="6933" max="6933" width="10.3984375" style="39" customWidth="1"/>
    <col min="6934" max="6934" width="0" style="39" hidden="1" customWidth="1"/>
    <col min="6935" max="6935" width="10" style="39"/>
    <col min="6936" max="6936" width="6.09765625" style="39" customWidth="1"/>
    <col min="6937" max="7171" width="10" style="39"/>
    <col min="7172" max="7172" width="11.19921875" style="39" customWidth="1"/>
    <col min="7173" max="7178" width="10" style="39"/>
    <col min="7179" max="7179" width="2.19921875" style="39" customWidth="1"/>
    <col min="7180" max="7180" width="4.8984375" style="39" customWidth="1"/>
    <col min="7181" max="7181" width="12.59765625" style="39" customWidth="1"/>
    <col min="7182" max="7182" width="45.19921875" style="39" bestFit="1" customWidth="1"/>
    <col min="7183" max="7183" width="7.19921875" style="39" customWidth="1"/>
    <col min="7184" max="7184" width="11.09765625" style="39" customWidth="1"/>
    <col min="7185" max="7185" width="6.5" style="39" customWidth="1"/>
    <col min="7186" max="7186" width="46.59765625" style="39" customWidth="1"/>
    <col min="7187" max="7187" width="9.09765625" style="39" bestFit="1" customWidth="1"/>
    <col min="7188" max="7188" width="8.19921875" style="39" bestFit="1" customWidth="1"/>
    <col min="7189" max="7189" width="10.3984375" style="39" customWidth="1"/>
    <col min="7190" max="7190" width="0" style="39" hidden="1" customWidth="1"/>
    <col min="7191" max="7191" width="10" style="39"/>
    <col min="7192" max="7192" width="6.09765625" style="39" customWidth="1"/>
    <col min="7193" max="7427" width="10" style="39"/>
    <col min="7428" max="7428" width="11.19921875" style="39" customWidth="1"/>
    <col min="7429" max="7434" width="10" style="39"/>
    <col min="7435" max="7435" width="2.19921875" style="39" customWidth="1"/>
    <col min="7436" max="7436" width="4.8984375" style="39" customWidth="1"/>
    <col min="7437" max="7437" width="12.59765625" style="39" customWidth="1"/>
    <col min="7438" max="7438" width="45.19921875" style="39" bestFit="1" customWidth="1"/>
    <col min="7439" max="7439" width="7.19921875" style="39" customWidth="1"/>
    <col min="7440" max="7440" width="11.09765625" style="39" customWidth="1"/>
    <col min="7441" max="7441" width="6.5" style="39" customWidth="1"/>
    <col min="7442" max="7442" width="46.59765625" style="39" customWidth="1"/>
    <col min="7443" max="7443" width="9.09765625" style="39" bestFit="1" customWidth="1"/>
    <col min="7444" max="7444" width="8.19921875" style="39" bestFit="1" customWidth="1"/>
    <col min="7445" max="7445" width="10.3984375" style="39" customWidth="1"/>
    <col min="7446" max="7446" width="0" style="39" hidden="1" customWidth="1"/>
    <col min="7447" max="7447" width="10" style="39"/>
    <col min="7448" max="7448" width="6.09765625" style="39" customWidth="1"/>
    <col min="7449" max="7683" width="10" style="39"/>
    <col min="7684" max="7684" width="11.19921875" style="39" customWidth="1"/>
    <col min="7685" max="7690" width="10" style="39"/>
    <col min="7691" max="7691" width="2.19921875" style="39" customWidth="1"/>
    <col min="7692" max="7692" width="4.8984375" style="39" customWidth="1"/>
    <col min="7693" max="7693" width="12.59765625" style="39" customWidth="1"/>
    <col min="7694" max="7694" width="45.19921875" style="39" bestFit="1" customWidth="1"/>
    <col min="7695" max="7695" width="7.19921875" style="39" customWidth="1"/>
    <col min="7696" max="7696" width="11.09765625" style="39" customWidth="1"/>
    <col min="7697" max="7697" width="6.5" style="39" customWidth="1"/>
    <col min="7698" max="7698" width="46.59765625" style="39" customWidth="1"/>
    <col min="7699" max="7699" width="9.09765625" style="39" bestFit="1" customWidth="1"/>
    <col min="7700" max="7700" width="8.19921875" style="39" bestFit="1" customWidth="1"/>
    <col min="7701" max="7701" width="10.3984375" style="39" customWidth="1"/>
    <col min="7702" max="7702" width="0" style="39" hidden="1" customWidth="1"/>
    <col min="7703" max="7703" width="10" style="39"/>
    <col min="7704" max="7704" width="6.09765625" style="39" customWidth="1"/>
    <col min="7705" max="7939" width="10" style="39"/>
    <col min="7940" max="7940" width="11.19921875" style="39" customWidth="1"/>
    <col min="7941" max="7946" width="10" style="39"/>
    <col min="7947" max="7947" width="2.19921875" style="39" customWidth="1"/>
    <col min="7948" max="7948" width="4.8984375" style="39" customWidth="1"/>
    <col min="7949" max="7949" width="12.59765625" style="39" customWidth="1"/>
    <col min="7950" max="7950" width="45.19921875" style="39" bestFit="1" customWidth="1"/>
    <col min="7951" max="7951" width="7.19921875" style="39" customWidth="1"/>
    <col min="7952" max="7952" width="11.09765625" style="39" customWidth="1"/>
    <col min="7953" max="7953" width="6.5" style="39" customWidth="1"/>
    <col min="7954" max="7954" width="46.59765625" style="39" customWidth="1"/>
    <col min="7955" max="7955" width="9.09765625" style="39" bestFit="1" customWidth="1"/>
    <col min="7956" max="7956" width="8.19921875" style="39" bestFit="1" customWidth="1"/>
    <col min="7957" max="7957" width="10.3984375" style="39" customWidth="1"/>
    <col min="7958" max="7958" width="0" style="39" hidden="1" customWidth="1"/>
    <col min="7959" max="7959" width="10" style="39"/>
    <col min="7960" max="7960" width="6.09765625" style="39" customWidth="1"/>
    <col min="7961" max="8195" width="10" style="39"/>
    <col min="8196" max="8196" width="11.19921875" style="39" customWidth="1"/>
    <col min="8197" max="8202" width="10" style="39"/>
    <col min="8203" max="8203" width="2.19921875" style="39" customWidth="1"/>
    <col min="8204" max="8204" width="4.8984375" style="39" customWidth="1"/>
    <col min="8205" max="8205" width="12.59765625" style="39" customWidth="1"/>
    <col min="8206" max="8206" width="45.19921875" style="39" bestFit="1" customWidth="1"/>
    <col min="8207" max="8207" width="7.19921875" style="39" customWidth="1"/>
    <col min="8208" max="8208" width="11.09765625" style="39" customWidth="1"/>
    <col min="8209" max="8209" width="6.5" style="39" customWidth="1"/>
    <col min="8210" max="8210" width="46.59765625" style="39" customWidth="1"/>
    <col min="8211" max="8211" width="9.09765625" style="39" bestFit="1" customWidth="1"/>
    <col min="8212" max="8212" width="8.19921875" style="39" bestFit="1" customWidth="1"/>
    <col min="8213" max="8213" width="10.3984375" style="39" customWidth="1"/>
    <col min="8214" max="8214" width="0" style="39" hidden="1" customWidth="1"/>
    <col min="8215" max="8215" width="10" style="39"/>
    <col min="8216" max="8216" width="6.09765625" style="39" customWidth="1"/>
    <col min="8217" max="8451" width="10" style="39"/>
    <col min="8452" max="8452" width="11.19921875" style="39" customWidth="1"/>
    <col min="8453" max="8458" width="10" style="39"/>
    <col min="8459" max="8459" width="2.19921875" style="39" customWidth="1"/>
    <col min="8460" max="8460" width="4.8984375" style="39" customWidth="1"/>
    <col min="8461" max="8461" width="12.59765625" style="39" customWidth="1"/>
    <col min="8462" max="8462" width="45.19921875" style="39" bestFit="1" customWidth="1"/>
    <col min="8463" max="8463" width="7.19921875" style="39" customWidth="1"/>
    <col min="8464" max="8464" width="11.09765625" style="39" customWidth="1"/>
    <col min="8465" max="8465" width="6.5" style="39" customWidth="1"/>
    <col min="8466" max="8466" width="46.59765625" style="39" customWidth="1"/>
    <col min="8467" max="8467" width="9.09765625" style="39" bestFit="1" customWidth="1"/>
    <col min="8468" max="8468" width="8.19921875" style="39" bestFit="1" customWidth="1"/>
    <col min="8469" max="8469" width="10.3984375" style="39" customWidth="1"/>
    <col min="8470" max="8470" width="0" style="39" hidden="1" customWidth="1"/>
    <col min="8471" max="8471" width="10" style="39"/>
    <col min="8472" max="8472" width="6.09765625" style="39" customWidth="1"/>
    <col min="8473" max="8707" width="10" style="39"/>
    <col min="8708" max="8708" width="11.19921875" style="39" customWidth="1"/>
    <col min="8709" max="8714" width="10" style="39"/>
    <col min="8715" max="8715" width="2.19921875" style="39" customWidth="1"/>
    <col min="8716" max="8716" width="4.8984375" style="39" customWidth="1"/>
    <col min="8717" max="8717" width="12.59765625" style="39" customWidth="1"/>
    <col min="8718" max="8718" width="45.19921875" style="39" bestFit="1" customWidth="1"/>
    <col min="8719" max="8719" width="7.19921875" style="39" customWidth="1"/>
    <col min="8720" max="8720" width="11.09765625" style="39" customWidth="1"/>
    <col min="8721" max="8721" width="6.5" style="39" customWidth="1"/>
    <col min="8722" max="8722" width="46.59765625" style="39" customWidth="1"/>
    <col min="8723" max="8723" width="9.09765625" style="39" bestFit="1" customWidth="1"/>
    <col min="8724" max="8724" width="8.19921875" style="39" bestFit="1" customWidth="1"/>
    <col min="8725" max="8725" width="10.3984375" style="39" customWidth="1"/>
    <col min="8726" max="8726" width="0" style="39" hidden="1" customWidth="1"/>
    <col min="8727" max="8727" width="10" style="39"/>
    <col min="8728" max="8728" width="6.09765625" style="39" customWidth="1"/>
    <col min="8729" max="8963" width="10" style="39"/>
    <col min="8964" max="8964" width="11.19921875" style="39" customWidth="1"/>
    <col min="8965" max="8970" width="10" style="39"/>
    <col min="8971" max="8971" width="2.19921875" style="39" customWidth="1"/>
    <col min="8972" max="8972" width="4.8984375" style="39" customWidth="1"/>
    <col min="8973" max="8973" width="12.59765625" style="39" customWidth="1"/>
    <col min="8974" max="8974" width="45.19921875" style="39" bestFit="1" customWidth="1"/>
    <col min="8975" max="8975" width="7.19921875" style="39" customWidth="1"/>
    <col min="8976" max="8976" width="11.09765625" style="39" customWidth="1"/>
    <col min="8977" max="8977" width="6.5" style="39" customWidth="1"/>
    <col min="8978" max="8978" width="46.59765625" style="39" customWidth="1"/>
    <col min="8979" max="8979" width="9.09765625" style="39" bestFit="1" customWidth="1"/>
    <col min="8980" max="8980" width="8.19921875" style="39" bestFit="1" customWidth="1"/>
    <col min="8981" max="8981" width="10.3984375" style="39" customWidth="1"/>
    <col min="8982" max="8982" width="0" style="39" hidden="1" customWidth="1"/>
    <col min="8983" max="8983" width="10" style="39"/>
    <col min="8984" max="8984" width="6.09765625" style="39" customWidth="1"/>
    <col min="8985" max="9219" width="10" style="39"/>
    <col min="9220" max="9220" width="11.19921875" style="39" customWidth="1"/>
    <col min="9221" max="9226" width="10" style="39"/>
    <col min="9227" max="9227" width="2.19921875" style="39" customWidth="1"/>
    <col min="9228" max="9228" width="4.8984375" style="39" customWidth="1"/>
    <col min="9229" max="9229" width="12.59765625" style="39" customWidth="1"/>
    <col min="9230" max="9230" width="45.19921875" style="39" bestFit="1" customWidth="1"/>
    <col min="9231" max="9231" width="7.19921875" style="39" customWidth="1"/>
    <col min="9232" max="9232" width="11.09765625" style="39" customWidth="1"/>
    <col min="9233" max="9233" width="6.5" style="39" customWidth="1"/>
    <col min="9234" max="9234" width="46.59765625" style="39" customWidth="1"/>
    <col min="9235" max="9235" width="9.09765625" style="39" bestFit="1" customWidth="1"/>
    <col min="9236" max="9236" width="8.19921875" style="39" bestFit="1" customWidth="1"/>
    <col min="9237" max="9237" width="10.3984375" style="39" customWidth="1"/>
    <col min="9238" max="9238" width="0" style="39" hidden="1" customWidth="1"/>
    <col min="9239" max="9239" width="10" style="39"/>
    <col min="9240" max="9240" width="6.09765625" style="39" customWidth="1"/>
    <col min="9241" max="9475" width="10" style="39"/>
    <col min="9476" max="9476" width="11.19921875" style="39" customWidth="1"/>
    <col min="9477" max="9482" width="10" style="39"/>
    <col min="9483" max="9483" width="2.19921875" style="39" customWidth="1"/>
    <col min="9484" max="9484" width="4.8984375" style="39" customWidth="1"/>
    <col min="9485" max="9485" width="12.59765625" style="39" customWidth="1"/>
    <col min="9486" max="9486" width="45.19921875" style="39" bestFit="1" customWidth="1"/>
    <col min="9487" max="9487" width="7.19921875" style="39" customWidth="1"/>
    <col min="9488" max="9488" width="11.09765625" style="39" customWidth="1"/>
    <col min="9489" max="9489" width="6.5" style="39" customWidth="1"/>
    <col min="9490" max="9490" width="46.59765625" style="39" customWidth="1"/>
    <col min="9491" max="9491" width="9.09765625" style="39" bestFit="1" customWidth="1"/>
    <col min="9492" max="9492" width="8.19921875" style="39" bestFit="1" customWidth="1"/>
    <col min="9493" max="9493" width="10.3984375" style="39" customWidth="1"/>
    <col min="9494" max="9494" width="0" style="39" hidden="1" customWidth="1"/>
    <col min="9495" max="9495" width="10" style="39"/>
    <col min="9496" max="9496" width="6.09765625" style="39" customWidth="1"/>
    <col min="9497" max="9731" width="10" style="39"/>
    <col min="9732" max="9732" width="11.19921875" style="39" customWidth="1"/>
    <col min="9733" max="9738" width="10" style="39"/>
    <col min="9739" max="9739" width="2.19921875" style="39" customWidth="1"/>
    <col min="9740" max="9740" width="4.8984375" style="39" customWidth="1"/>
    <col min="9741" max="9741" width="12.59765625" style="39" customWidth="1"/>
    <col min="9742" max="9742" width="45.19921875" style="39" bestFit="1" customWidth="1"/>
    <col min="9743" max="9743" width="7.19921875" style="39" customWidth="1"/>
    <col min="9744" max="9744" width="11.09765625" style="39" customWidth="1"/>
    <col min="9745" max="9745" width="6.5" style="39" customWidth="1"/>
    <col min="9746" max="9746" width="46.59765625" style="39" customWidth="1"/>
    <col min="9747" max="9747" width="9.09765625" style="39" bestFit="1" customWidth="1"/>
    <col min="9748" max="9748" width="8.19921875" style="39" bestFit="1" customWidth="1"/>
    <col min="9749" max="9749" width="10.3984375" style="39" customWidth="1"/>
    <col min="9750" max="9750" width="0" style="39" hidden="1" customWidth="1"/>
    <col min="9751" max="9751" width="10" style="39"/>
    <col min="9752" max="9752" width="6.09765625" style="39" customWidth="1"/>
    <col min="9753" max="9987" width="10" style="39"/>
    <col min="9988" max="9988" width="11.19921875" style="39" customWidth="1"/>
    <col min="9989" max="9994" width="10" style="39"/>
    <col min="9995" max="9995" width="2.19921875" style="39" customWidth="1"/>
    <col min="9996" max="9996" width="4.8984375" style="39" customWidth="1"/>
    <col min="9997" max="9997" width="12.59765625" style="39" customWidth="1"/>
    <col min="9998" max="9998" width="45.19921875" style="39" bestFit="1" customWidth="1"/>
    <col min="9999" max="9999" width="7.19921875" style="39" customWidth="1"/>
    <col min="10000" max="10000" width="11.09765625" style="39" customWidth="1"/>
    <col min="10001" max="10001" width="6.5" style="39" customWidth="1"/>
    <col min="10002" max="10002" width="46.59765625" style="39" customWidth="1"/>
    <col min="10003" max="10003" width="9.09765625" style="39" bestFit="1" customWidth="1"/>
    <col min="10004" max="10004" width="8.19921875" style="39" bestFit="1" customWidth="1"/>
    <col min="10005" max="10005" width="10.3984375" style="39" customWidth="1"/>
    <col min="10006" max="10006" width="0" style="39" hidden="1" customWidth="1"/>
    <col min="10007" max="10007" width="10" style="39"/>
    <col min="10008" max="10008" width="6.09765625" style="39" customWidth="1"/>
    <col min="10009" max="10243" width="10" style="39"/>
    <col min="10244" max="10244" width="11.19921875" style="39" customWidth="1"/>
    <col min="10245" max="10250" width="10" style="39"/>
    <col min="10251" max="10251" width="2.19921875" style="39" customWidth="1"/>
    <col min="10252" max="10252" width="4.8984375" style="39" customWidth="1"/>
    <col min="10253" max="10253" width="12.59765625" style="39" customWidth="1"/>
    <col min="10254" max="10254" width="45.19921875" style="39" bestFit="1" customWidth="1"/>
    <col min="10255" max="10255" width="7.19921875" style="39" customWidth="1"/>
    <col min="10256" max="10256" width="11.09765625" style="39" customWidth="1"/>
    <col min="10257" max="10257" width="6.5" style="39" customWidth="1"/>
    <col min="10258" max="10258" width="46.59765625" style="39" customWidth="1"/>
    <col min="10259" max="10259" width="9.09765625" style="39" bestFit="1" customWidth="1"/>
    <col min="10260" max="10260" width="8.19921875" style="39" bestFit="1" customWidth="1"/>
    <col min="10261" max="10261" width="10.3984375" style="39" customWidth="1"/>
    <col min="10262" max="10262" width="0" style="39" hidden="1" customWidth="1"/>
    <col min="10263" max="10263" width="10" style="39"/>
    <col min="10264" max="10264" width="6.09765625" style="39" customWidth="1"/>
    <col min="10265" max="10499" width="10" style="39"/>
    <col min="10500" max="10500" width="11.19921875" style="39" customWidth="1"/>
    <col min="10501" max="10506" width="10" style="39"/>
    <col min="10507" max="10507" width="2.19921875" style="39" customWidth="1"/>
    <col min="10508" max="10508" width="4.8984375" style="39" customWidth="1"/>
    <col min="10509" max="10509" width="12.59765625" style="39" customWidth="1"/>
    <col min="10510" max="10510" width="45.19921875" style="39" bestFit="1" customWidth="1"/>
    <col min="10511" max="10511" width="7.19921875" style="39" customWidth="1"/>
    <col min="10512" max="10512" width="11.09765625" style="39" customWidth="1"/>
    <col min="10513" max="10513" width="6.5" style="39" customWidth="1"/>
    <col min="10514" max="10514" width="46.59765625" style="39" customWidth="1"/>
    <col min="10515" max="10515" width="9.09765625" style="39" bestFit="1" customWidth="1"/>
    <col min="10516" max="10516" width="8.19921875" style="39" bestFit="1" customWidth="1"/>
    <col min="10517" max="10517" width="10.3984375" style="39" customWidth="1"/>
    <col min="10518" max="10518" width="0" style="39" hidden="1" customWidth="1"/>
    <col min="10519" max="10519" width="10" style="39"/>
    <col min="10520" max="10520" width="6.09765625" style="39" customWidth="1"/>
    <col min="10521" max="10755" width="10" style="39"/>
    <col min="10756" max="10756" width="11.19921875" style="39" customWidth="1"/>
    <col min="10757" max="10762" width="10" style="39"/>
    <col min="10763" max="10763" width="2.19921875" style="39" customWidth="1"/>
    <col min="10764" max="10764" width="4.8984375" style="39" customWidth="1"/>
    <col min="10765" max="10765" width="12.59765625" style="39" customWidth="1"/>
    <col min="10766" max="10766" width="45.19921875" style="39" bestFit="1" customWidth="1"/>
    <col min="10767" max="10767" width="7.19921875" style="39" customWidth="1"/>
    <col min="10768" max="10768" width="11.09765625" style="39" customWidth="1"/>
    <col min="10769" max="10769" width="6.5" style="39" customWidth="1"/>
    <col min="10770" max="10770" width="46.59765625" style="39" customWidth="1"/>
    <col min="10771" max="10771" width="9.09765625" style="39" bestFit="1" customWidth="1"/>
    <col min="10772" max="10772" width="8.19921875" style="39" bestFit="1" customWidth="1"/>
    <col min="10773" max="10773" width="10.3984375" style="39" customWidth="1"/>
    <col min="10774" max="10774" width="0" style="39" hidden="1" customWidth="1"/>
    <col min="10775" max="10775" width="10" style="39"/>
    <col min="10776" max="10776" width="6.09765625" style="39" customWidth="1"/>
    <col min="10777" max="11011" width="10" style="39"/>
    <col min="11012" max="11012" width="11.19921875" style="39" customWidth="1"/>
    <col min="11013" max="11018" width="10" style="39"/>
    <col min="11019" max="11019" width="2.19921875" style="39" customWidth="1"/>
    <col min="11020" max="11020" width="4.8984375" style="39" customWidth="1"/>
    <col min="11021" max="11021" width="12.59765625" style="39" customWidth="1"/>
    <col min="11022" max="11022" width="45.19921875" style="39" bestFit="1" customWidth="1"/>
    <col min="11023" max="11023" width="7.19921875" style="39" customWidth="1"/>
    <col min="11024" max="11024" width="11.09765625" style="39" customWidth="1"/>
    <col min="11025" max="11025" width="6.5" style="39" customWidth="1"/>
    <col min="11026" max="11026" width="46.59765625" style="39" customWidth="1"/>
    <col min="11027" max="11027" width="9.09765625" style="39" bestFit="1" customWidth="1"/>
    <col min="11028" max="11028" width="8.19921875" style="39" bestFit="1" customWidth="1"/>
    <col min="11029" max="11029" width="10.3984375" style="39" customWidth="1"/>
    <col min="11030" max="11030" width="0" style="39" hidden="1" customWidth="1"/>
    <col min="11031" max="11031" width="10" style="39"/>
    <col min="11032" max="11032" width="6.09765625" style="39" customWidth="1"/>
    <col min="11033" max="11267" width="10" style="39"/>
    <col min="11268" max="11268" width="11.19921875" style="39" customWidth="1"/>
    <col min="11269" max="11274" width="10" style="39"/>
    <col min="11275" max="11275" width="2.19921875" style="39" customWidth="1"/>
    <col min="11276" max="11276" width="4.8984375" style="39" customWidth="1"/>
    <col min="11277" max="11277" width="12.59765625" style="39" customWidth="1"/>
    <col min="11278" max="11278" width="45.19921875" style="39" bestFit="1" customWidth="1"/>
    <col min="11279" max="11279" width="7.19921875" style="39" customWidth="1"/>
    <col min="11280" max="11280" width="11.09765625" style="39" customWidth="1"/>
    <col min="11281" max="11281" width="6.5" style="39" customWidth="1"/>
    <col min="11282" max="11282" width="46.59765625" style="39" customWidth="1"/>
    <col min="11283" max="11283" width="9.09765625" style="39" bestFit="1" customWidth="1"/>
    <col min="11284" max="11284" width="8.19921875" style="39" bestFit="1" customWidth="1"/>
    <col min="11285" max="11285" width="10.3984375" style="39" customWidth="1"/>
    <col min="11286" max="11286" width="0" style="39" hidden="1" customWidth="1"/>
    <col min="11287" max="11287" width="10" style="39"/>
    <col min="11288" max="11288" width="6.09765625" style="39" customWidth="1"/>
    <col min="11289" max="11523" width="10" style="39"/>
    <col min="11524" max="11524" width="11.19921875" style="39" customWidth="1"/>
    <col min="11525" max="11530" width="10" style="39"/>
    <col min="11531" max="11531" width="2.19921875" style="39" customWidth="1"/>
    <col min="11532" max="11532" width="4.8984375" style="39" customWidth="1"/>
    <col min="11533" max="11533" width="12.59765625" style="39" customWidth="1"/>
    <col min="11534" max="11534" width="45.19921875" style="39" bestFit="1" customWidth="1"/>
    <col min="11535" max="11535" width="7.19921875" style="39" customWidth="1"/>
    <col min="11536" max="11536" width="11.09765625" style="39" customWidth="1"/>
    <col min="11537" max="11537" width="6.5" style="39" customWidth="1"/>
    <col min="11538" max="11538" width="46.59765625" style="39" customWidth="1"/>
    <col min="11539" max="11539" width="9.09765625" style="39" bestFit="1" customWidth="1"/>
    <col min="11540" max="11540" width="8.19921875" style="39" bestFit="1" customWidth="1"/>
    <col min="11541" max="11541" width="10.3984375" style="39" customWidth="1"/>
    <col min="11542" max="11542" width="0" style="39" hidden="1" customWidth="1"/>
    <col min="11543" max="11543" width="10" style="39"/>
    <col min="11544" max="11544" width="6.09765625" style="39" customWidth="1"/>
    <col min="11545" max="11779" width="10" style="39"/>
    <col min="11780" max="11780" width="11.19921875" style="39" customWidth="1"/>
    <col min="11781" max="11786" width="10" style="39"/>
    <col min="11787" max="11787" width="2.19921875" style="39" customWidth="1"/>
    <col min="11788" max="11788" width="4.8984375" style="39" customWidth="1"/>
    <col min="11789" max="11789" width="12.59765625" style="39" customWidth="1"/>
    <col min="11790" max="11790" width="45.19921875" style="39" bestFit="1" customWidth="1"/>
    <col min="11791" max="11791" width="7.19921875" style="39" customWidth="1"/>
    <col min="11792" max="11792" width="11.09765625" style="39" customWidth="1"/>
    <col min="11793" max="11793" width="6.5" style="39" customWidth="1"/>
    <col min="11794" max="11794" width="46.59765625" style="39" customWidth="1"/>
    <col min="11795" max="11795" width="9.09765625" style="39" bestFit="1" customWidth="1"/>
    <col min="11796" max="11796" width="8.19921875" style="39" bestFit="1" customWidth="1"/>
    <col min="11797" max="11797" width="10.3984375" style="39" customWidth="1"/>
    <col min="11798" max="11798" width="0" style="39" hidden="1" customWidth="1"/>
    <col min="11799" max="11799" width="10" style="39"/>
    <col min="11800" max="11800" width="6.09765625" style="39" customWidth="1"/>
    <col min="11801" max="12035" width="10" style="39"/>
    <col min="12036" max="12036" width="11.19921875" style="39" customWidth="1"/>
    <col min="12037" max="12042" width="10" style="39"/>
    <col min="12043" max="12043" width="2.19921875" style="39" customWidth="1"/>
    <col min="12044" max="12044" width="4.8984375" style="39" customWidth="1"/>
    <col min="12045" max="12045" width="12.59765625" style="39" customWidth="1"/>
    <col min="12046" max="12046" width="45.19921875" style="39" bestFit="1" customWidth="1"/>
    <col min="12047" max="12047" width="7.19921875" style="39" customWidth="1"/>
    <col min="12048" max="12048" width="11.09765625" style="39" customWidth="1"/>
    <col min="12049" max="12049" width="6.5" style="39" customWidth="1"/>
    <col min="12050" max="12050" width="46.59765625" style="39" customWidth="1"/>
    <col min="12051" max="12051" width="9.09765625" style="39" bestFit="1" customWidth="1"/>
    <col min="12052" max="12052" width="8.19921875" style="39" bestFit="1" customWidth="1"/>
    <col min="12053" max="12053" width="10.3984375" style="39" customWidth="1"/>
    <col min="12054" max="12054" width="0" style="39" hidden="1" customWidth="1"/>
    <col min="12055" max="12055" width="10" style="39"/>
    <col min="12056" max="12056" width="6.09765625" style="39" customWidth="1"/>
    <col min="12057" max="12291" width="10" style="39"/>
    <col min="12292" max="12292" width="11.19921875" style="39" customWidth="1"/>
    <col min="12293" max="12298" width="10" style="39"/>
    <col min="12299" max="12299" width="2.19921875" style="39" customWidth="1"/>
    <col min="12300" max="12300" width="4.8984375" style="39" customWidth="1"/>
    <col min="12301" max="12301" width="12.59765625" style="39" customWidth="1"/>
    <col min="12302" max="12302" width="45.19921875" style="39" bestFit="1" customWidth="1"/>
    <col min="12303" max="12303" width="7.19921875" style="39" customWidth="1"/>
    <col min="12304" max="12304" width="11.09765625" style="39" customWidth="1"/>
    <col min="12305" max="12305" width="6.5" style="39" customWidth="1"/>
    <col min="12306" max="12306" width="46.59765625" style="39" customWidth="1"/>
    <col min="12307" max="12307" width="9.09765625" style="39" bestFit="1" customWidth="1"/>
    <col min="12308" max="12308" width="8.19921875" style="39" bestFit="1" customWidth="1"/>
    <col min="12309" max="12309" width="10.3984375" style="39" customWidth="1"/>
    <col min="12310" max="12310" width="0" style="39" hidden="1" customWidth="1"/>
    <col min="12311" max="12311" width="10" style="39"/>
    <col min="12312" max="12312" width="6.09765625" style="39" customWidth="1"/>
    <col min="12313" max="12547" width="10" style="39"/>
    <col min="12548" max="12548" width="11.19921875" style="39" customWidth="1"/>
    <col min="12549" max="12554" width="10" style="39"/>
    <col min="12555" max="12555" width="2.19921875" style="39" customWidth="1"/>
    <col min="12556" max="12556" width="4.8984375" style="39" customWidth="1"/>
    <col min="12557" max="12557" width="12.59765625" style="39" customWidth="1"/>
    <col min="12558" max="12558" width="45.19921875" style="39" bestFit="1" customWidth="1"/>
    <col min="12559" max="12559" width="7.19921875" style="39" customWidth="1"/>
    <col min="12560" max="12560" width="11.09765625" style="39" customWidth="1"/>
    <col min="12561" max="12561" width="6.5" style="39" customWidth="1"/>
    <col min="12562" max="12562" width="46.59765625" style="39" customWidth="1"/>
    <col min="12563" max="12563" width="9.09765625" style="39" bestFit="1" customWidth="1"/>
    <col min="12564" max="12564" width="8.19921875" style="39" bestFit="1" customWidth="1"/>
    <col min="12565" max="12565" width="10.3984375" style="39" customWidth="1"/>
    <col min="12566" max="12566" width="0" style="39" hidden="1" customWidth="1"/>
    <col min="12567" max="12567" width="10" style="39"/>
    <col min="12568" max="12568" width="6.09765625" style="39" customWidth="1"/>
    <col min="12569" max="12803" width="10" style="39"/>
    <col min="12804" max="12804" width="11.19921875" style="39" customWidth="1"/>
    <col min="12805" max="12810" width="10" style="39"/>
    <col min="12811" max="12811" width="2.19921875" style="39" customWidth="1"/>
    <col min="12812" max="12812" width="4.8984375" style="39" customWidth="1"/>
    <col min="12813" max="12813" width="12.59765625" style="39" customWidth="1"/>
    <col min="12814" max="12814" width="45.19921875" style="39" bestFit="1" customWidth="1"/>
    <col min="12815" max="12815" width="7.19921875" style="39" customWidth="1"/>
    <col min="12816" max="12816" width="11.09765625" style="39" customWidth="1"/>
    <col min="12817" max="12817" width="6.5" style="39" customWidth="1"/>
    <col min="12818" max="12818" width="46.59765625" style="39" customWidth="1"/>
    <col min="12819" max="12819" width="9.09765625" style="39" bestFit="1" customWidth="1"/>
    <col min="12820" max="12820" width="8.19921875" style="39" bestFit="1" customWidth="1"/>
    <col min="12821" max="12821" width="10.3984375" style="39" customWidth="1"/>
    <col min="12822" max="12822" width="0" style="39" hidden="1" customWidth="1"/>
    <col min="12823" max="12823" width="10" style="39"/>
    <col min="12824" max="12824" width="6.09765625" style="39" customWidth="1"/>
    <col min="12825" max="13059" width="10" style="39"/>
    <col min="13060" max="13060" width="11.19921875" style="39" customWidth="1"/>
    <col min="13061" max="13066" width="10" style="39"/>
    <col min="13067" max="13067" width="2.19921875" style="39" customWidth="1"/>
    <col min="13068" max="13068" width="4.8984375" style="39" customWidth="1"/>
    <col min="13069" max="13069" width="12.59765625" style="39" customWidth="1"/>
    <col min="13070" max="13070" width="45.19921875" style="39" bestFit="1" customWidth="1"/>
    <col min="13071" max="13071" width="7.19921875" style="39" customWidth="1"/>
    <col min="13072" max="13072" width="11.09765625" style="39" customWidth="1"/>
    <col min="13073" max="13073" width="6.5" style="39" customWidth="1"/>
    <col min="13074" max="13074" width="46.59765625" style="39" customWidth="1"/>
    <col min="13075" max="13075" width="9.09765625" style="39" bestFit="1" customWidth="1"/>
    <col min="13076" max="13076" width="8.19921875" style="39" bestFit="1" customWidth="1"/>
    <col min="13077" max="13077" width="10.3984375" style="39" customWidth="1"/>
    <col min="13078" max="13078" width="0" style="39" hidden="1" customWidth="1"/>
    <col min="13079" max="13079" width="10" style="39"/>
    <col min="13080" max="13080" width="6.09765625" style="39" customWidth="1"/>
    <col min="13081" max="13315" width="10" style="39"/>
    <col min="13316" max="13316" width="11.19921875" style="39" customWidth="1"/>
    <col min="13317" max="13322" width="10" style="39"/>
    <col min="13323" max="13323" width="2.19921875" style="39" customWidth="1"/>
    <col min="13324" max="13324" width="4.8984375" style="39" customWidth="1"/>
    <col min="13325" max="13325" width="12.59765625" style="39" customWidth="1"/>
    <col min="13326" max="13326" width="45.19921875" style="39" bestFit="1" customWidth="1"/>
    <col min="13327" max="13327" width="7.19921875" style="39" customWidth="1"/>
    <col min="13328" max="13328" width="11.09765625" style="39" customWidth="1"/>
    <col min="13329" max="13329" width="6.5" style="39" customWidth="1"/>
    <col min="13330" max="13330" width="46.59765625" style="39" customWidth="1"/>
    <col min="13331" max="13331" width="9.09765625" style="39" bestFit="1" customWidth="1"/>
    <col min="13332" max="13332" width="8.19921875" style="39" bestFit="1" customWidth="1"/>
    <col min="13333" max="13333" width="10.3984375" style="39" customWidth="1"/>
    <col min="13334" max="13334" width="0" style="39" hidden="1" customWidth="1"/>
    <col min="13335" max="13335" width="10" style="39"/>
    <col min="13336" max="13336" width="6.09765625" style="39" customWidth="1"/>
    <col min="13337" max="13571" width="10" style="39"/>
    <col min="13572" max="13572" width="11.19921875" style="39" customWidth="1"/>
    <col min="13573" max="13578" width="10" style="39"/>
    <col min="13579" max="13579" width="2.19921875" style="39" customWidth="1"/>
    <col min="13580" max="13580" width="4.8984375" style="39" customWidth="1"/>
    <col min="13581" max="13581" width="12.59765625" style="39" customWidth="1"/>
    <col min="13582" max="13582" width="45.19921875" style="39" bestFit="1" customWidth="1"/>
    <col min="13583" max="13583" width="7.19921875" style="39" customWidth="1"/>
    <col min="13584" max="13584" width="11.09765625" style="39" customWidth="1"/>
    <col min="13585" max="13585" width="6.5" style="39" customWidth="1"/>
    <col min="13586" max="13586" width="46.59765625" style="39" customWidth="1"/>
    <col min="13587" max="13587" width="9.09765625" style="39" bestFit="1" customWidth="1"/>
    <col min="13588" max="13588" width="8.19921875" style="39" bestFit="1" customWidth="1"/>
    <col min="13589" max="13589" width="10.3984375" style="39" customWidth="1"/>
    <col min="13590" max="13590" width="0" style="39" hidden="1" customWidth="1"/>
    <col min="13591" max="13591" width="10" style="39"/>
    <col min="13592" max="13592" width="6.09765625" style="39" customWidth="1"/>
    <col min="13593" max="13827" width="10" style="39"/>
    <col min="13828" max="13828" width="11.19921875" style="39" customWidth="1"/>
    <col min="13829" max="13834" width="10" style="39"/>
    <col min="13835" max="13835" width="2.19921875" style="39" customWidth="1"/>
    <col min="13836" max="13836" width="4.8984375" style="39" customWidth="1"/>
    <col min="13837" max="13837" width="12.59765625" style="39" customWidth="1"/>
    <col min="13838" max="13838" width="45.19921875" style="39" bestFit="1" customWidth="1"/>
    <col min="13839" max="13839" width="7.19921875" style="39" customWidth="1"/>
    <col min="13840" max="13840" width="11.09765625" style="39" customWidth="1"/>
    <col min="13841" max="13841" width="6.5" style="39" customWidth="1"/>
    <col min="13842" max="13842" width="46.59765625" style="39" customWidth="1"/>
    <col min="13843" max="13843" width="9.09765625" style="39" bestFit="1" customWidth="1"/>
    <col min="13844" max="13844" width="8.19921875" style="39" bestFit="1" customWidth="1"/>
    <col min="13845" max="13845" width="10.3984375" style="39" customWidth="1"/>
    <col min="13846" max="13846" width="0" style="39" hidden="1" customWidth="1"/>
    <col min="13847" max="13847" width="10" style="39"/>
    <col min="13848" max="13848" width="6.09765625" style="39" customWidth="1"/>
    <col min="13849" max="14083" width="10" style="39"/>
    <col min="14084" max="14084" width="11.19921875" style="39" customWidth="1"/>
    <col min="14085" max="14090" width="10" style="39"/>
    <col min="14091" max="14091" width="2.19921875" style="39" customWidth="1"/>
    <col min="14092" max="14092" width="4.8984375" style="39" customWidth="1"/>
    <col min="14093" max="14093" width="12.59765625" style="39" customWidth="1"/>
    <col min="14094" max="14094" width="45.19921875" style="39" bestFit="1" customWidth="1"/>
    <col min="14095" max="14095" width="7.19921875" style="39" customWidth="1"/>
    <col min="14096" max="14096" width="11.09765625" style="39" customWidth="1"/>
    <col min="14097" max="14097" width="6.5" style="39" customWidth="1"/>
    <col min="14098" max="14098" width="46.59765625" style="39" customWidth="1"/>
    <col min="14099" max="14099" width="9.09765625" style="39" bestFit="1" customWidth="1"/>
    <col min="14100" max="14100" width="8.19921875" style="39" bestFit="1" customWidth="1"/>
    <col min="14101" max="14101" width="10.3984375" style="39" customWidth="1"/>
    <col min="14102" max="14102" width="0" style="39" hidden="1" customWidth="1"/>
    <col min="14103" max="14103" width="10" style="39"/>
    <col min="14104" max="14104" width="6.09765625" style="39" customWidth="1"/>
    <col min="14105" max="14339" width="10" style="39"/>
    <col min="14340" max="14340" width="11.19921875" style="39" customWidth="1"/>
    <col min="14341" max="14346" width="10" style="39"/>
    <col min="14347" max="14347" width="2.19921875" style="39" customWidth="1"/>
    <col min="14348" max="14348" width="4.8984375" style="39" customWidth="1"/>
    <col min="14349" max="14349" width="12.59765625" style="39" customWidth="1"/>
    <col min="14350" max="14350" width="45.19921875" style="39" bestFit="1" customWidth="1"/>
    <col min="14351" max="14351" width="7.19921875" style="39" customWidth="1"/>
    <col min="14352" max="14352" width="11.09765625" style="39" customWidth="1"/>
    <col min="14353" max="14353" width="6.5" style="39" customWidth="1"/>
    <col min="14354" max="14354" width="46.59765625" style="39" customWidth="1"/>
    <col min="14355" max="14355" width="9.09765625" style="39" bestFit="1" customWidth="1"/>
    <col min="14356" max="14356" width="8.19921875" style="39" bestFit="1" customWidth="1"/>
    <col min="14357" max="14357" width="10.3984375" style="39" customWidth="1"/>
    <col min="14358" max="14358" width="0" style="39" hidden="1" customWidth="1"/>
    <col min="14359" max="14359" width="10" style="39"/>
    <col min="14360" max="14360" width="6.09765625" style="39" customWidth="1"/>
    <col min="14361" max="14595" width="10" style="39"/>
    <col min="14596" max="14596" width="11.19921875" style="39" customWidth="1"/>
    <col min="14597" max="14602" width="10" style="39"/>
    <col min="14603" max="14603" width="2.19921875" style="39" customWidth="1"/>
    <col min="14604" max="14604" width="4.8984375" style="39" customWidth="1"/>
    <col min="14605" max="14605" width="12.59765625" style="39" customWidth="1"/>
    <col min="14606" max="14606" width="45.19921875" style="39" bestFit="1" customWidth="1"/>
    <col min="14607" max="14607" width="7.19921875" style="39" customWidth="1"/>
    <col min="14608" max="14608" width="11.09765625" style="39" customWidth="1"/>
    <col min="14609" max="14609" width="6.5" style="39" customWidth="1"/>
    <col min="14610" max="14610" width="46.59765625" style="39" customWidth="1"/>
    <col min="14611" max="14611" width="9.09765625" style="39" bestFit="1" customWidth="1"/>
    <col min="14612" max="14612" width="8.19921875" style="39" bestFit="1" customWidth="1"/>
    <col min="14613" max="14613" width="10.3984375" style="39" customWidth="1"/>
    <col min="14614" max="14614" width="0" style="39" hidden="1" customWidth="1"/>
    <col min="14615" max="14615" width="10" style="39"/>
    <col min="14616" max="14616" width="6.09765625" style="39" customWidth="1"/>
    <col min="14617" max="14851" width="10" style="39"/>
    <col min="14852" max="14852" width="11.19921875" style="39" customWidth="1"/>
    <col min="14853" max="14858" width="10" style="39"/>
    <col min="14859" max="14859" width="2.19921875" style="39" customWidth="1"/>
    <col min="14860" max="14860" width="4.8984375" style="39" customWidth="1"/>
    <col min="14861" max="14861" width="12.59765625" style="39" customWidth="1"/>
    <col min="14862" max="14862" width="45.19921875" style="39" bestFit="1" customWidth="1"/>
    <col min="14863" max="14863" width="7.19921875" style="39" customWidth="1"/>
    <col min="14864" max="14864" width="11.09765625" style="39" customWidth="1"/>
    <col min="14865" max="14865" width="6.5" style="39" customWidth="1"/>
    <col min="14866" max="14866" width="46.59765625" style="39" customWidth="1"/>
    <col min="14867" max="14867" width="9.09765625" style="39" bestFit="1" customWidth="1"/>
    <col min="14868" max="14868" width="8.19921875" style="39" bestFit="1" customWidth="1"/>
    <col min="14869" max="14869" width="10.3984375" style="39" customWidth="1"/>
    <col min="14870" max="14870" width="0" style="39" hidden="1" customWidth="1"/>
    <col min="14871" max="14871" width="10" style="39"/>
    <col min="14872" max="14872" width="6.09765625" style="39" customWidth="1"/>
    <col min="14873" max="15107" width="10" style="39"/>
    <col min="15108" max="15108" width="11.19921875" style="39" customWidth="1"/>
    <col min="15109" max="15114" width="10" style="39"/>
    <col min="15115" max="15115" width="2.19921875" style="39" customWidth="1"/>
    <col min="15116" max="15116" width="4.8984375" style="39" customWidth="1"/>
    <col min="15117" max="15117" width="12.59765625" style="39" customWidth="1"/>
    <col min="15118" max="15118" width="45.19921875" style="39" bestFit="1" customWidth="1"/>
    <col min="15119" max="15119" width="7.19921875" style="39" customWidth="1"/>
    <col min="15120" max="15120" width="11.09765625" style="39" customWidth="1"/>
    <col min="15121" max="15121" width="6.5" style="39" customWidth="1"/>
    <col min="15122" max="15122" width="46.59765625" style="39" customWidth="1"/>
    <col min="15123" max="15123" width="9.09765625" style="39" bestFit="1" customWidth="1"/>
    <col min="15124" max="15124" width="8.19921875" style="39" bestFit="1" customWidth="1"/>
    <col min="15125" max="15125" width="10.3984375" style="39" customWidth="1"/>
    <col min="15126" max="15126" width="0" style="39" hidden="1" customWidth="1"/>
    <col min="15127" max="15127" width="10" style="39"/>
    <col min="15128" max="15128" width="6.09765625" style="39" customWidth="1"/>
    <col min="15129" max="15363" width="10" style="39"/>
    <col min="15364" max="15364" width="11.19921875" style="39" customWidth="1"/>
    <col min="15365" max="15370" width="10" style="39"/>
    <col min="15371" max="15371" width="2.19921875" style="39" customWidth="1"/>
    <col min="15372" max="15372" width="4.8984375" style="39" customWidth="1"/>
    <col min="15373" max="15373" width="12.59765625" style="39" customWidth="1"/>
    <col min="15374" max="15374" width="45.19921875" style="39" bestFit="1" customWidth="1"/>
    <col min="15375" max="15375" width="7.19921875" style="39" customWidth="1"/>
    <col min="15376" max="15376" width="11.09765625" style="39" customWidth="1"/>
    <col min="15377" max="15377" width="6.5" style="39" customWidth="1"/>
    <col min="15378" max="15378" width="46.59765625" style="39" customWidth="1"/>
    <col min="15379" max="15379" width="9.09765625" style="39" bestFit="1" customWidth="1"/>
    <col min="15380" max="15380" width="8.19921875" style="39" bestFit="1" customWidth="1"/>
    <col min="15381" max="15381" width="10.3984375" style="39" customWidth="1"/>
    <col min="15382" max="15382" width="0" style="39" hidden="1" customWidth="1"/>
    <col min="15383" max="15383" width="10" style="39"/>
    <col min="15384" max="15384" width="6.09765625" style="39" customWidth="1"/>
    <col min="15385" max="15619" width="10" style="39"/>
    <col min="15620" max="15620" width="11.19921875" style="39" customWidth="1"/>
    <col min="15621" max="15626" width="10" style="39"/>
    <col min="15627" max="15627" width="2.19921875" style="39" customWidth="1"/>
    <col min="15628" max="15628" width="4.8984375" style="39" customWidth="1"/>
    <col min="15629" max="15629" width="12.59765625" style="39" customWidth="1"/>
    <col min="15630" max="15630" width="45.19921875" style="39" bestFit="1" customWidth="1"/>
    <col min="15631" max="15631" width="7.19921875" style="39" customWidth="1"/>
    <col min="15632" max="15632" width="11.09765625" style="39" customWidth="1"/>
    <col min="15633" max="15633" width="6.5" style="39" customWidth="1"/>
    <col min="15634" max="15634" width="46.59765625" style="39" customWidth="1"/>
    <col min="15635" max="15635" width="9.09765625" style="39" bestFit="1" customWidth="1"/>
    <col min="15636" max="15636" width="8.19921875" style="39" bestFit="1" customWidth="1"/>
    <col min="15637" max="15637" width="10.3984375" style="39" customWidth="1"/>
    <col min="15638" max="15638" width="0" style="39" hidden="1" customWidth="1"/>
    <col min="15639" max="15639" width="10" style="39"/>
    <col min="15640" max="15640" width="6.09765625" style="39" customWidth="1"/>
    <col min="15641" max="15875" width="10" style="39"/>
    <col min="15876" max="15876" width="11.19921875" style="39" customWidth="1"/>
    <col min="15877" max="15882" width="10" style="39"/>
    <col min="15883" max="15883" width="2.19921875" style="39" customWidth="1"/>
    <col min="15884" max="15884" width="4.8984375" style="39" customWidth="1"/>
    <col min="15885" max="15885" width="12.59765625" style="39" customWidth="1"/>
    <col min="15886" max="15886" width="45.19921875" style="39" bestFit="1" customWidth="1"/>
    <col min="15887" max="15887" width="7.19921875" style="39" customWidth="1"/>
    <col min="15888" max="15888" width="11.09765625" style="39" customWidth="1"/>
    <col min="15889" max="15889" width="6.5" style="39" customWidth="1"/>
    <col min="15890" max="15890" width="46.59765625" style="39" customWidth="1"/>
    <col min="15891" max="15891" width="9.09765625" style="39" bestFit="1" customWidth="1"/>
    <col min="15892" max="15892" width="8.19921875" style="39" bestFit="1" customWidth="1"/>
    <col min="15893" max="15893" width="10.3984375" style="39" customWidth="1"/>
    <col min="15894" max="15894" width="0" style="39" hidden="1" customWidth="1"/>
    <col min="15895" max="15895" width="10" style="39"/>
    <col min="15896" max="15896" width="6.09765625" style="39" customWidth="1"/>
    <col min="15897" max="16131" width="10" style="39"/>
    <col min="16132" max="16132" width="11.19921875" style="39" customWidth="1"/>
    <col min="16133" max="16138" width="10" style="39"/>
    <col min="16139" max="16139" width="2.19921875" style="39" customWidth="1"/>
    <col min="16140" max="16140" width="4.8984375" style="39" customWidth="1"/>
    <col min="16141" max="16141" width="12.59765625" style="39" customWidth="1"/>
    <col min="16142" max="16142" width="45.19921875" style="39" bestFit="1" customWidth="1"/>
    <col min="16143" max="16143" width="7.19921875" style="39" customWidth="1"/>
    <col min="16144" max="16144" width="11.09765625" style="39" customWidth="1"/>
    <col min="16145" max="16145" width="6.5" style="39" customWidth="1"/>
    <col min="16146" max="16146" width="46.59765625" style="39" customWidth="1"/>
    <col min="16147" max="16147" width="9.09765625" style="39" bestFit="1" customWidth="1"/>
    <col min="16148" max="16148" width="8.19921875" style="39" bestFit="1" customWidth="1"/>
    <col min="16149" max="16149" width="10.3984375" style="39" customWidth="1"/>
    <col min="16150" max="16150" width="0" style="39" hidden="1" customWidth="1"/>
    <col min="16151" max="16151" width="10" style="39"/>
    <col min="16152" max="16152" width="6.09765625" style="39" customWidth="1"/>
    <col min="16153" max="16384" width="10" style="39"/>
  </cols>
  <sheetData>
    <row r="3" spans="1:24" ht="21">
      <c r="A3" s="38" t="s">
        <v>365</v>
      </c>
    </row>
    <row r="4" spans="1:24" ht="17.399999999999999">
      <c r="A4" s="40" t="s">
        <v>366</v>
      </c>
      <c r="B4" s="40"/>
      <c r="C4" s="40"/>
    </row>
    <row r="5" spans="1:24" ht="17.399999999999999">
      <c r="A5" s="40"/>
      <c r="B5" s="40"/>
      <c r="C5" s="40"/>
    </row>
    <row r="6" spans="1:24" ht="17.399999999999999">
      <c r="A6" s="41" t="s">
        <v>282</v>
      </c>
      <c r="B6" s="40"/>
      <c r="C6" s="40"/>
    </row>
    <row r="7" spans="1:24" ht="17.399999999999999">
      <c r="A7" s="41" t="s">
        <v>367</v>
      </c>
    </row>
    <row r="8" spans="1:24" ht="15.6">
      <c r="A8" s="83"/>
    </row>
    <row r="9" spans="1:24" ht="17.399999999999999">
      <c r="A9" s="83"/>
      <c r="M9" s="40"/>
      <c r="N9" s="40"/>
      <c r="O9" s="40"/>
      <c r="P9" s="40"/>
      <c r="Q9" s="40"/>
      <c r="R9" s="40"/>
      <c r="S9" s="40"/>
      <c r="T9" s="40"/>
      <c r="U9" s="40"/>
    </row>
    <row r="10" spans="1:24" ht="17.399999999999999">
      <c r="A10" s="83"/>
      <c r="M10" s="40"/>
      <c r="N10" s="40"/>
      <c r="O10" s="40"/>
      <c r="P10" s="40"/>
      <c r="Q10" s="40"/>
      <c r="R10" s="40"/>
      <c r="S10" s="42"/>
      <c r="T10" s="42"/>
      <c r="U10" s="40"/>
    </row>
    <row r="11" spans="1:24" ht="18" thickBot="1">
      <c r="M11" s="43" t="s">
        <v>284</v>
      </c>
      <c r="N11" s="44" t="s">
        <v>285</v>
      </c>
      <c r="O11" s="106" t="s">
        <v>286</v>
      </c>
      <c r="P11" s="107">
        <v>100</v>
      </c>
      <c r="Q11" s="44" t="s">
        <v>49</v>
      </c>
      <c r="R11" s="108" t="s">
        <v>368</v>
      </c>
      <c r="S11" s="48"/>
      <c r="T11" s="48"/>
      <c r="U11" s="48"/>
      <c r="V11" s="49"/>
      <c r="W11" s="49"/>
      <c r="X11" s="49"/>
    </row>
    <row r="12" spans="1:24" ht="18" thickBot="1">
      <c r="N12" s="44" t="s">
        <v>288</v>
      </c>
      <c r="O12" s="106" t="s">
        <v>289</v>
      </c>
      <c r="P12" s="109">
        <f>Transfero!K9</f>
        <v>40</v>
      </c>
      <c r="Q12" s="44" t="s">
        <v>49</v>
      </c>
      <c r="R12" s="40"/>
      <c r="S12" s="51"/>
      <c r="T12" s="51"/>
      <c r="U12" s="40"/>
    </row>
    <row r="13" spans="1:24" ht="18" thickBot="1">
      <c r="I13" s="82"/>
      <c r="M13" s="40"/>
      <c r="N13" s="52" t="s">
        <v>290</v>
      </c>
      <c r="O13" s="110" t="s">
        <v>291</v>
      </c>
      <c r="P13" s="57">
        <f>Transfero!K24</f>
        <v>4530</v>
      </c>
      <c r="Q13" s="52" t="s">
        <v>212</v>
      </c>
      <c r="R13" s="40"/>
      <c r="S13" s="42"/>
      <c r="T13" s="55"/>
      <c r="U13" s="40"/>
    </row>
    <row r="14" spans="1:24" ht="19.8">
      <c r="I14" s="82"/>
      <c r="M14" s="40"/>
      <c r="N14" s="52" t="s">
        <v>292</v>
      </c>
      <c r="O14" s="111" t="s">
        <v>293</v>
      </c>
      <c r="P14" s="112">
        <f>Transfero!K17</f>
        <v>26</v>
      </c>
      <c r="Q14" s="52" t="s">
        <v>7</v>
      </c>
      <c r="R14" s="40"/>
      <c r="S14" s="42"/>
      <c r="T14" s="55"/>
      <c r="U14" s="40"/>
    </row>
    <row r="15" spans="1:24" ht="18" thickBot="1">
      <c r="I15" s="82"/>
      <c r="M15" s="40"/>
      <c r="N15" s="52" t="s">
        <v>369</v>
      </c>
      <c r="O15" s="113" t="s">
        <v>295</v>
      </c>
      <c r="P15" s="114">
        <f>'4'!D2</f>
        <v>0</v>
      </c>
      <c r="Q15" s="52" t="s">
        <v>5</v>
      </c>
      <c r="R15" s="40"/>
      <c r="S15" s="42"/>
      <c r="T15" s="55"/>
      <c r="U15" s="40"/>
    </row>
    <row r="16" spans="1:24" ht="17.399999999999999">
      <c r="I16" s="82"/>
      <c r="M16" s="40"/>
      <c r="N16" s="59"/>
      <c r="O16" s="59"/>
      <c r="P16" s="60"/>
      <c r="Q16" s="59"/>
      <c r="R16" s="40"/>
      <c r="S16" s="42"/>
      <c r="T16" s="55"/>
      <c r="U16" s="40"/>
    </row>
    <row r="17" spans="9:24" ht="19.8">
      <c r="I17" s="82"/>
      <c r="M17" s="43" t="s">
        <v>296</v>
      </c>
      <c r="N17" s="44" t="s">
        <v>297</v>
      </c>
      <c r="O17" s="44" t="s">
        <v>298</v>
      </c>
      <c r="P17" s="61">
        <f>IF(P11&lt;100,0,IF(('[2]T Daten'!$B$280*POWER('T Auswahl'!$P$15,2)+'[2]T Daten'!$C$280*'T Auswahl'!$P$15+'[2]T Daten'!D280)*POWER('T Auswahl'!$P$11,2)+('[2]T Daten'!$E$280*POWER('T Auswahl'!$P$15,2)+'[2]T Daten'!$F$280*'T Auswahl'!$P$15+'[2]T Daten'!$G$280)*'T Auswahl'!$P$11+('[2]T Daten'!$H$280*POWER('T Auswahl'!$P$15,2)+'[2]T Daten'!$I$280*'T Auswahl'!$P$15+'[2]T Daten'!$J$280)-1&lt;0,0,('[2]T Daten'!$B$280*POWER('T Auswahl'!$P$15,2)+'[2]T Daten'!$C$280*'T Auswahl'!$P$15+'[2]T Daten'!D280)*POWER('T Auswahl'!$P$11,2)+('[2]T Daten'!$E$280*POWER('T Auswahl'!$P$15,2)+'[2]T Daten'!$F$280*'T Auswahl'!$P$15+'[2]T Daten'!$G$280)*'T Auswahl'!$P$11+('[2]T Daten'!$H$280*POWER('T Auswahl'!$P$15,2)+'[2]T Daten'!$I$280*'T Auswahl'!$P$15+'[2]T Daten'!$J$280)-1))</f>
        <v>2.8400000000000425E-2</v>
      </c>
      <c r="Q17" s="44" t="s">
        <v>3</v>
      </c>
      <c r="R17" s="40"/>
      <c r="S17" s="40"/>
      <c r="T17" s="40"/>
      <c r="U17" s="40"/>
    </row>
    <row r="18" spans="9:24" ht="17.399999999999999">
      <c r="I18" s="82"/>
      <c r="N18" s="62" t="s">
        <v>299</v>
      </c>
      <c r="O18" s="52" t="s">
        <v>300</v>
      </c>
      <c r="P18" s="115">
        <f>P14/10+0.3+P17</f>
        <v>2.9284000000000003</v>
      </c>
      <c r="Q18" s="52" t="s">
        <v>3</v>
      </c>
      <c r="R18" s="47" t="s">
        <v>370</v>
      </c>
      <c r="S18" s="48"/>
      <c r="T18" s="48"/>
      <c r="U18" s="48"/>
      <c r="V18" s="49"/>
      <c r="W18" s="49"/>
      <c r="X18" s="49"/>
    </row>
    <row r="19" spans="9:24" ht="17.399999999999999">
      <c r="I19" s="82"/>
      <c r="M19" s="40"/>
      <c r="N19" s="52" t="s">
        <v>371</v>
      </c>
      <c r="O19" s="52" t="s">
        <v>157</v>
      </c>
      <c r="P19" s="63">
        <f>P20-0.2</f>
        <v>3.2284000000000002</v>
      </c>
      <c r="Q19" s="52" t="s">
        <v>3</v>
      </c>
      <c r="R19" s="64" t="s">
        <v>303</v>
      </c>
      <c r="S19" s="65"/>
      <c r="T19" s="58"/>
      <c r="U19" s="58"/>
      <c r="V19" s="66"/>
      <c r="W19" s="66"/>
      <c r="X19" s="116"/>
    </row>
    <row r="20" spans="9:24" ht="17.399999999999999">
      <c r="I20" s="82"/>
      <c r="M20" s="40"/>
      <c r="N20" s="52" t="s">
        <v>372</v>
      </c>
      <c r="O20" s="68" t="s">
        <v>305</v>
      </c>
      <c r="P20" s="69">
        <f>P18+0.5</f>
        <v>3.4284000000000003</v>
      </c>
      <c r="Q20" s="52" t="s">
        <v>3</v>
      </c>
      <c r="R20" s="64"/>
      <c r="S20" s="52"/>
      <c r="T20" s="58"/>
      <c r="U20" s="58"/>
      <c r="V20" s="70"/>
      <c r="W20" s="70"/>
      <c r="X20" s="116"/>
    </row>
    <row r="21" spans="9:24" ht="17.399999999999999">
      <c r="I21" s="82"/>
      <c r="M21" s="40"/>
      <c r="N21" s="52" t="s">
        <v>373</v>
      </c>
      <c r="O21" s="72" t="s">
        <v>307</v>
      </c>
      <c r="P21" s="73">
        <f>P20+0.2</f>
        <v>3.6284000000000005</v>
      </c>
      <c r="Q21" s="58"/>
      <c r="R21" s="64" t="s">
        <v>303</v>
      </c>
      <c r="S21" s="58"/>
      <c r="T21" s="58"/>
      <c r="U21" s="58"/>
      <c r="V21" s="66"/>
      <c r="W21" s="66"/>
      <c r="X21" s="116"/>
    </row>
    <row r="22" spans="9:24" ht="19.8">
      <c r="I22" s="82"/>
      <c r="M22" s="40"/>
      <c r="N22" s="52" t="s">
        <v>308</v>
      </c>
      <c r="O22" s="52" t="s">
        <v>309</v>
      </c>
      <c r="P22" s="74">
        <f>IF(0.0058*P12+ 0.094&lt;0.384,0.384,0.0058*P12+ 0.094)</f>
        <v>0.38400000000000001</v>
      </c>
      <c r="Q22" s="52" t="s">
        <v>310</v>
      </c>
      <c r="R22" s="42"/>
      <c r="S22" s="42"/>
      <c r="T22" s="42"/>
      <c r="U22" s="42"/>
      <c r="V22" s="79"/>
    </row>
    <row r="23" spans="9:24" ht="19.8">
      <c r="I23" s="82"/>
      <c r="M23" s="77"/>
      <c r="N23" s="52" t="s">
        <v>311</v>
      </c>
      <c r="O23" s="68" t="s">
        <v>312</v>
      </c>
      <c r="P23" s="78">
        <f>P22*P13</f>
        <v>1739.52</v>
      </c>
      <c r="Q23" s="52" t="s">
        <v>313</v>
      </c>
      <c r="R23" s="59"/>
      <c r="S23" s="59"/>
      <c r="T23" s="59"/>
      <c r="U23" s="59"/>
      <c r="V23" s="79"/>
    </row>
    <row r="24" spans="9:24" ht="17.399999999999999">
      <c r="M24" s="77"/>
      <c r="N24" s="117"/>
      <c r="O24" s="117"/>
      <c r="P24" s="118"/>
      <c r="Q24" s="117"/>
      <c r="R24" s="59"/>
      <c r="S24" s="59"/>
      <c r="T24" s="59"/>
      <c r="U24" s="59"/>
      <c r="V24" s="79"/>
    </row>
  </sheetData>
  <pageMargins left="0.59055118110236227" right="0.59055118110236227" top="0.39370078740157483" bottom="0.39370078740157483" header="0.51181102362204722" footer="0.31496062992125984"/>
  <pageSetup paperSize="9" scale="50" orientation="landscape" r:id="rId1"/>
  <headerFooter alignWithMargins="0">
    <oddFooter>&amp;LProjekt:&amp;CProjektnummer:&amp;RDatum: xx.xx.xx    Bearbeiter:</oddFooter>
  </headerFooter>
  <rowBreaks count="3" manualBreakCount="3">
    <brk id="72" max="17" man="1"/>
    <brk id="132" max="17" man="1"/>
    <brk id="194" max="1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1"/>
  <dimension ref="A1:S283"/>
  <sheetViews>
    <sheetView topLeftCell="A3" workbookViewId="0">
      <selection activeCell="B89" sqref="B89"/>
    </sheetView>
  </sheetViews>
  <sheetFormatPr defaultColWidth="10" defaultRowHeight="13.2"/>
  <cols>
    <col min="1" max="1" width="14.3984375" style="39" customWidth="1"/>
    <col min="2" max="2" width="11" style="39" bestFit="1" customWidth="1"/>
    <col min="3" max="4" width="10.09765625" style="39" bestFit="1" customWidth="1"/>
    <col min="5" max="5" width="10.3984375" style="39" customWidth="1"/>
    <col min="6" max="7" width="10.09765625" style="39" bestFit="1" customWidth="1"/>
    <col min="8" max="256" width="10" style="39"/>
    <col min="257" max="257" width="14.3984375" style="39" customWidth="1"/>
    <col min="258" max="258" width="11" style="39" bestFit="1" customWidth="1"/>
    <col min="259" max="260" width="10.09765625" style="39" bestFit="1" customWidth="1"/>
    <col min="261" max="261" width="10.3984375" style="39" customWidth="1"/>
    <col min="262" max="263" width="10.09765625" style="39" bestFit="1" customWidth="1"/>
    <col min="264" max="512" width="10" style="39"/>
    <col min="513" max="513" width="14.3984375" style="39" customWidth="1"/>
    <col min="514" max="514" width="11" style="39" bestFit="1" customWidth="1"/>
    <col min="515" max="516" width="10.09765625" style="39" bestFit="1" customWidth="1"/>
    <col min="517" max="517" width="10.3984375" style="39" customWidth="1"/>
    <col min="518" max="519" width="10.09765625" style="39" bestFit="1" customWidth="1"/>
    <col min="520" max="768" width="10" style="39"/>
    <col min="769" max="769" width="14.3984375" style="39" customWidth="1"/>
    <col min="770" max="770" width="11" style="39" bestFit="1" customWidth="1"/>
    <col min="771" max="772" width="10.09765625" style="39" bestFit="1" customWidth="1"/>
    <col min="773" max="773" width="10.3984375" style="39" customWidth="1"/>
    <col min="774" max="775" width="10.09765625" style="39" bestFit="1" customWidth="1"/>
    <col min="776" max="1024" width="10" style="39"/>
    <col min="1025" max="1025" width="14.3984375" style="39" customWidth="1"/>
    <col min="1026" max="1026" width="11" style="39" bestFit="1" customWidth="1"/>
    <col min="1027" max="1028" width="10.09765625" style="39" bestFit="1" customWidth="1"/>
    <col min="1029" max="1029" width="10.3984375" style="39" customWidth="1"/>
    <col min="1030" max="1031" width="10.09765625" style="39" bestFit="1" customWidth="1"/>
    <col min="1032" max="1280" width="10" style="39"/>
    <col min="1281" max="1281" width="14.3984375" style="39" customWidth="1"/>
    <col min="1282" max="1282" width="11" style="39" bestFit="1" customWidth="1"/>
    <col min="1283" max="1284" width="10.09765625" style="39" bestFit="1" customWidth="1"/>
    <col min="1285" max="1285" width="10.3984375" style="39" customWidth="1"/>
    <col min="1286" max="1287" width="10.09765625" style="39" bestFit="1" customWidth="1"/>
    <col min="1288" max="1536" width="10" style="39"/>
    <col min="1537" max="1537" width="14.3984375" style="39" customWidth="1"/>
    <col min="1538" max="1538" width="11" style="39" bestFit="1" customWidth="1"/>
    <col min="1539" max="1540" width="10.09765625" style="39" bestFit="1" customWidth="1"/>
    <col min="1541" max="1541" width="10.3984375" style="39" customWidth="1"/>
    <col min="1542" max="1543" width="10.09765625" style="39" bestFit="1" customWidth="1"/>
    <col min="1544" max="1792" width="10" style="39"/>
    <col min="1793" max="1793" width="14.3984375" style="39" customWidth="1"/>
    <col min="1794" max="1794" width="11" style="39" bestFit="1" customWidth="1"/>
    <col min="1795" max="1796" width="10.09765625" style="39" bestFit="1" customWidth="1"/>
    <col min="1797" max="1797" width="10.3984375" style="39" customWidth="1"/>
    <col min="1798" max="1799" width="10.09765625" style="39" bestFit="1" customWidth="1"/>
    <col min="1800" max="2048" width="10" style="39"/>
    <col min="2049" max="2049" width="14.3984375" style="39" customWidth="1"/>
    <col min="2050" max="2050" width="11" style="39" bestFit="1" customWidth="1"/>
    <col min="2051" max="2052" width="10.09765625" style="39" bestFit="1" customWidth="1"/>
    <col min="2053" max="2053" width="10.3984375" style="39" customWidth="1"/>
    <col min="2054" max="2055" width="10.09765625" style="39" bestFit="1" customWidth="1"/>
    <col min="2056" max="2304" width="10" style="39"/>
    <col min="2305" max="2305" width="14.3984375" style="39" customWidth="1"/>
    <col min="2306" max="2306" width="11" style="39" bestFit="1" customWidth="1"/>
    <col min="2307" max="2308" width="10.09765625" style="39" bestFit="1" customWidth="1"/>
    <col min="2309" max="2309" width="10.3984375" style="39" customWidth="1"/>
    <col min="2310" max="2311" width="10.09765625" style="39" bestFit="1" customWidth="1"/>
    <col min="2312" max="2560" width="10" style="39"/>
    <col min="2561" max="2561" width="14.3984375" style="39" customWidth="1"/>
    <col min="2562" max="2562" width="11" style="39" bestFit="1" customWidth="1"/>
    <col min="2563" max="2564" width="10.09765625" style="39" bestFit="1" customWidth="1"/>
    <col min="2565" max="2565" width="10.3984375" style="39" customWidth="1"/>
    <col min="2566" max="2567" width="10.09765625" style="39" bestFit="1" customWidth="1"/>
    <col min="2568" max="2816" width="10" style="39"/>
    <col min="2817" max="2817" width="14.3984375" style="39" customWidth="1"/>
    <col min="2818" max="2818" width="11" style="39" bestFit="1" customWidth="1"/>
    <col min="2819" max="2820" width="10.09765625" style="39" bestFit="1" customWidth="1"/>
    <col min="2821" max="2821" width="10.3984375" style="39" customWidth="1"/>
    <col min="2822" max="2823" width="10.09765625" style="39" bestFit="1" customWidth="1"/>
    <col min="2824" max="3072" width="10" style="39"/>
    <col min="3073" max="3073" width="14.3984375" style="39" customWidth="1"/>
    <col min="3074" max="3074" width="11" style="39" bestFit="1" customWidth="1"/>
    <col min="3075" max="3076" width="10.09765625" style="39" bestFit="1" customWidth="1"/>
    <col min="3077" max="3077" width="10.3984375" style="39" customWidth="1"/>
    <col min="3078" max="3079" width="10.09765625" style="39" bestFit="1" customWidth="1"/>
    <col min="3080" max="3328" width="10" style="39"/>
    <col min="3329" max="3329" width="14.3984375" style="39" customWidth="1"/>
    <col min="3330" max="3330" width="11" style="39" bestFit="1" customWidth="1"/>
    <col min="3331" max="3332" width="10.09765625" style="39" bestFit="1" customWidth="1"/>
    <col min="3333" max="3333" width="10.3984375" style="39" customWidth="1"/>
    <col min="3334" max="3335" width="10.09765625" style="39" bestFit="1" customWidth="1"/>
    <col min="3336" max="3584" width="10" style="39"/>
    <col min="3585" max="3585" width="14.3984375" style="39" customWidth="1"/>
    <col min="3586" max="3586" width="11" style="39" bestFit="1" customWidth="1"/>
    <col min="3587" max="3588" width="10.09765625" style="39" bestFit="1" customWidth="1"/>
    <col min="3589" max="3589" width="10.3984375" style="39" customWidth="1"/>
    <col min="3590" max="3591" width="10.09765625" style="39" bestFit="1" customWidth="1"/>
    <col min="3592" max="3840" width="10" style="39"/>
    <col min="3841" max="3841" width="14.3984375" style="39" customWidth="1"/>
    <col min="3842" max="3842" width="11" style="39" bestFit="1" customWidth="1"/>
    <col min="3843" max="3844" width="10.09765625" style="39" bestFit="1" customWidth="1"/>
    <col min="3845" max="3845" width="10.3984375" style="39" customWidth="1"/>
    <col min="3846" max="3847" width="10.09765625" style="39" bestFit="1" customWidth="1"/>
    <col min="3848" max="4096" width="10" style="39"/>
    <col min="4097" max="4097" width="14.3984375" style="39" customWidth="1"/>
    <col min="4098" max="4098" width="11" style="39" bestFit="1" customWidth="1"/>
    <col min="4099" max="4100" width="10.09765625" style="39" bestFit="1" customWidth="1"/>
    <col min="4101" max="4101" width="10.3984375" style="39" customWidth="1"/>
    <col min="4102" max="4103" width="10.09765625" style="39" bestFit="1" customWidth="1"/>
    <col min="4104" max="4352" width="10" style="39"/>
    <col min="4353" max="4353" width="14.3984375" style="39" customWidth="1"/>
    <col min="4354" max="4354" width="11" style="39" bestFit="1" customWidth="1"/>
    <col min="4355" max="4356" width="10.09765625" style="39" bestFit="1" customWidth="1"/>
    <col min="4357" max="4357" width="10.3984375" style="39" customWidth="1"/>
    <col min="4358" max="4359" width="10.09765625" style="39" bestFit="1" customWidth="1"/>
    <col min="4360" max="4608" width="10" style="39"/>
    <col min="4609" max="4609" width="14.3984375" style="39" customWidth="1"/>
    <col min="4610" max="4610" width="11" style="39" bestFit="1" customWidth="1"/>
    <col min="4611" max="4612" width="10.09765625" style="39" bestFit="1" customWidth="1"/>
    <col min="4613" max="4613" width="10.3984375" style="39" customWidth="1"/>
    <col min="4614" max="4615" width="10.09765625" style="39" bestFit="1" customWidth="1"/>
    <col min="4616" max="4864" width="10" style="39"/>
    <col min="4865" max="4865" width="14.3984375" style="39" customWidth="1"/>
    <col min="4866" max="4866" width="11" style="39" bestFit="1" customWidth="1"/>
    <col min="4867" max="4868" width="10.09765625" style="39" bestFit="1" customWidth="1"/>
    <col min="4869" max="4869" width="10.3984375" style="39" customWidth="1"/>
    <col min="4870" max="4871" width="10.09765625" style="39" bestFit="1" customWidth="1"/>
    <col min="4872" max="5120" width="10" style="39"/>
    <col min="5121" max="5121" width="14.3984375" style="39" customWidth="1"/>
    <col min="5122" max="5122" width="11" style="39" bestFit="1" customWidth="1"/>
    <col min="5123" max="5124" width="10.09765625" style="39" bestFit="1" customWidth="1"/>
    <col min="5125" max="5125" width="10.3984375" style="39" customWidth="1"/>
    <col min="5126" max="5127" width="10.09765625" style="39" bestFit="1" customWidth="1"/>
    <col min="5128" max="5376" width="10" style="39"/>
    <col min="5377" max="5377" width="14.3984375" style="39" customWidth="1"/>
    <col min="5378" max="5378" width="11" style="39" bestFit="1" customWidth="1"/>
    <col min="5379" max="5380" width="10.09765625" style="39" bestFit="1" customWidth="1"/>
    <col min="5381" max="5381" width="10.3984375" style="39" customWidth="1"/>
    <col min="5382" max="5383" width="10.09765625" style="39" bestFit="1" customWidth="1"/>
    <col min="5384" max="5632" width="10" style="39"/>
    <col min="5633" max="5633" width="14.3984375" style="39" customWidth="1"/>
    <col min="5634" max="5634" width="11" style="39" bestFit="1" customWidth="1"/>
    <col min="5635" max="5636" width="10.09765625" style="39" bestFit="1" customWidth="1"/>
    <col min="5637" max="5637" width="10.3984375" style="39" customWidth="1"/>
    <col min="5638" max="5639" width="10.09765625" style="39" bestFit="1" customWidth="1"/>
    <col min="5640" max="5888" width="10" style="39"/>
    <col min="5889" max="5889" width="14.3984375" style="39" customWidth="1"/>
    <col min="5890" max="5890" width="11" style="39" bestFit="1" customWidth="1"/>
    <col min="5891" max="5892" width="10.09765625" style="39" bestFit="1" customWidth="1"/>
    <col min="5893" max="5893" width="10.3984375" style="39" customWidth="1"/>
    <col min="5894" max="5895" width="10.09765625" style="39" bestFit="1" customWidth="1"/>
    <col min="5896" max="6144" width="10" style="39"/>
    <col min="6145" max="6145" width="14.3984375" style="39" customWidth="1"/>
    <col min="6146" max="6146" width="11" style="39" bestFit="1" customWidth="1"/>
    <col min="6147" max="6148" width="10.09765625" style="39" bestFit="1" customWidth="1"/>
    <col min="6149" max="6149" width="10.3984375" style="39" customWidth="1"/>
    <col min="6150" max="6151" width="10.09765625" style="39" bestFit="1" customWidth="1"/>
    <col min="6152" max="6400" width="10" style="39"/>
    <col min="6401" max="6401" width="14.3984375" style="39" customWidth="1"/>
    <col min="6402" max="6402" width="11" style="39" bestFit="1" customWidth="1"/>
    <col min="6403" max="6404" width="10.09765625" style="39" bestFit="1" customWidth="1"/>
    <col min="6405" max="6405" width="10.3984375" style="39" customWidth="1"/>
    <col min="6406" max="6407" width="10.09765625" style="39" bestFit="1" customWidth="1"/>
    <col min="6408" max="6656" width="10" style="39"/>
    <col min="6657" max="6657" width="14.3984375" style="39" customWidth="1"/>
    <col min="6658" max="6658" width="11" style="39" bestFit="1" customWidth="1"/>
    <col min="6659" max="6660" width="10.09765625" style="39" bestFit="1" customWidth="1"/>
    <col min="6661" max="6661" width="10.3984375" style="39" customWidth="1"/>
    <col min="6662" max="6663" width="10.09765625" style="39" bestFit="1" customWidth="1"/>
    <col min="6664" max="6912" width="10" style="39"/>
    <col min="6913" max="6913" width="14.3984375" style="39" customWidth="1"/>
    <col min="6914" max="6914" width="11" style="39" bestFit="1" customWidth="1"/>
    <col min="6915" max="6916" width="10.09765625" style="39" bestFit="1" customWidth="1"/>
    <col min="6917" max="6917" width="10.3984375" style="39" customWidth="1"/>
    <col min="6918" max="6919" width="10.09765625" style="39" bestFit="1" customWidth="1"/>
    <col min="6920" max="7168" width="10" style="39"/>
    <col min="7169" max="7169" width="14.3984375" style="39" customWidth="1"/>
    <col min="7170" max="7170" width="11" style="39" bestFit="1" customWidth="1"/>
    <col min="7171" max="7172" width="10.09765625" style="39" bestFit="1" customWidth="1"/>
    <col min="7173" max="7173" width="10.3984375" style="39" customWidth="1"/>
    <col min="7174" max="7175" width="10.09765625" style="39" bestFit="1" customWidth="1"/>
    <col min="7176" max="7424" width="10" style="39"/>
    <col min="7425" max="7425" width="14.3984375" style="39" customWidth="1"/>
    <col min="7426" max="7426" width="11" style="39" bestFit="1" customWidth="1"/>
    <col min="7427" max="7428" width="10.09765625" style="39" bestFit="1" customWidth="1"/>
    <col min="7429" max="7429" width="10.3984375" style="39" customWidth="1"/>
    <col min="7430" max="7431" width="10.09765625" style="39" bestFit="1" customWidth="1"/>
    <col min="7432" max="7680" width="10" style="39"/>
    <col min="7681" max="7681" width="14.3984375" style="39" customWidth="1"/>
    <col min="7682" max="7682" width="11" style="39" bestFit="1" customWidth="1"/>
    <col min="7683" max="7684" width="10.09765625" style="39" bestFit="1" customWidth="1"/>
    <col min="7685" max="7685" width="10.3984375" style="39" customWidth="1"/>
    <col min="7686" max="7687" width="10.09765625" style="39" bestFit="1" customWidth="1"/>
    <col min="7688" max="7936" width="10" style="39"/>
    <col min="7937" max="7937" width="14.3984375" style="39" customWidth="1"/>
    <col min="7938" max="7938" width="11" style="39" bestFit="1" customWidth="1"/>
    <col min="7939" max="7940" width="10.09765625" style="39" bestFit="1" customWidth="1"/>
    <col min="7941" max="7941" width="10.3984375" style="39" customWidth="1"/>
    <col min="7942" max="7943" width="10.09765625" style="39" bestFit="1" customWidth="1"/>
    <col min="7944" max="8192" width="10" style="39"/>
    <col min="8193" max="8193" width="14.3984375" style="39" customWidth="1"/>
    <col min="8194" max="8194" width="11" style="39" bestFit="1" customWidth="1"/>
    <col min="8195" max="8196" width="10.09765625" style="39" bestFit="1" customWidth="1"/>
    <col min="8197" max="8197" width="10.3984375" style="39" customWidth="1"/>
    <col min="8198" max="8199" width="10.09765625" style="39" bestFit="1" customWidth="1"/>
    <col min="8200" max="8448" width="10" style="39"/>
    <col min="8449" max="8449" width="14.3984375" style="39" customWidth="1"/>
    <col min="8450" max="8450" width="11" style="39" bestFit="1" customWidth="1"/>
    <col min="8451" max="8452" width="10.09765625" style="39" bestFit="1" customWidth="1"/>
    <col min="8453" max="8453" width="10.3984375" style="39" customWidth="1"/>
    <col min="8454" max="8455" width="10.09765625" style="39" bestFit="1" customWidth="1"/>
    <col min="8456" max="8704" width="10" style="39"/>
    <col min="8705" max="8705" width="14.3984375" style="39" customWidth="1"/>
    <col min="8706" max="8706" width="11" style="39" bestFit="1" customWidth="1"/>
    <col min="8707" max="8708" width="10.09765625" style="39" bestFit="1" customWidth="1"/>
    <col min="8709" max="8709" width="10.3984375" style="39" customWidth="1"/>
    <col min="8710" max="8711" width="10.09765625" style="39" bestFit="1" customWidth="1"/>
    <col min="8712" max="8960" width="10" style="39"/>
    <col min="8961" max="8961" width="14.3984375" style="39" customWidth="1"/>
    <col min="8962" max="8962" width="11" style="39" bestFit="1" customWidth="1"/>
    <col min="8963" max="8964" width="10.09765625" style="39" bestFit="1" customWidth="1"/>
    <col min="8965" max="8965" width="10.3984375" style="39" customWidth="1"/>
    <col min="8966" max="8967" width="10.09765625" style="39" bestFit="1" customWidth="1"/>
    <col min="8968" max="9216" width="10" style="39"/>
    <col min="9217" max="9217" width="14.3984375" style="39" customWidth="1"/>
    <col min="9218" max="9218" width="11" style="39" bestFit="1" customWidth="1"/>
    <col min="9219" max="9220" width="10.09765625" style="39" bestFit="1" customWidth="1"/>
    <col min="9221" max="9221" width="10.3984375" style="39" customWidth="1"/>
    <col min="9222" max="9223" width="10.09765625" style="39" bestFit="1" customWidth="1"/>
    <col min="9224" max="9472" width="10" style="39"/>
    <col min="9473" max="9473" width="14.3984375" style="39" customWidth="1"/>
    <col min="9474" max="9474" width="11" style="39" bestFit="1" customWidth="1"/>
    <col min="9475" max="9476" width="10.09765625" style="39" bestFit="1" customWidth="1"/>
    <col min="9477" max="9477" width="10.3984375" style="39" customWidth="1"/>
    <col min="9478" max="9479" width="10.09765625" style="39" bestFit="1" customWidth="1"/>
    <col min="9480" max="9728" width="10" style="39"/>
    <col min="9729" max="9729" width="14.3984375" style="39" customWidth="1"/>
    <col min="9730" max="9730" width="11" style="39" bestFit="1" customWidth="1"/>
    <col min="9731" max="9732" width="10.09765625" style="39" bestFit="1" customWidth="1"/>
    <col min="9733" max="9733" width="10.3984375" style="39" customWidth="1"/>
    <col min="9734" max="9735" width="10.09765625" style="39" bestFit="1" customWidth="1"/>
    <col min="9736" max="9984" width="10" style="39"/>
    <col min="9985" max="9985" width="14.3984375" style="39" customWidth="1"/>
    <col min="9986" max="9986" width="11" style="39" bestFit="1" customWidth="1"/>
    <col min="9987" max="9988" width="10.09765625" style="39" bestFit="1" customWidth="1"/>
    <col min="9989" max="9989" width="10.3984375" style="39" customWidth="1"/>
    <col min="9990" max="9991" width="10.09765625" style="39" bestFit="1" customWidth="1"/>
    <col min="9992" max="10240" width="10" style="39"/>
    <col min="10241" max="10241" width="14.3984375" style="39" customWidth="1"/>
    <col min="10242" max="10242" width="11" style="39" bestFit="1" customWidth="1"/>
    <col min="10243" max="10244" width="10.09765625" style="39" bestFit="1" customWidth="1"/>
    <col min="10245" max="10245" width="10.3984375" style="39" customWidth="1"/>
    <col min="10246" max="10247" width="10.09765625" style="39" bestFit="1" customWidth="1"/>
    <col min="10248" max="10496" width="10" style="39"/>
    <col min="10497" max="10497" width="14.3984375" style="39" customWidth="1"/>
    <col min="10498" max="10498" width="11" style="39" bestFit="1" customWidth="1"/>
    <col min="10499" max="10500" width="10.09765625" style="39" bestFit="1" customWidth="1"/>
    <col min="10501" max="10501" width="10.3984375" style="39" customWidth="1"/>
    <col min="10502" max="10503" width="10.09765625" style="39" bestFit="1" customWidth="1"/>
    <col min="10504" max="10752" width="10" style="39"/>
    <col min="10753" max="10753" width="14.3984375" style="39" customWidth="1"/>
    <col min="10754" max="10754" width="11" style="39" bestFit="1" customWidth="1"/>
    <col min="10755" max="10756" width="10.09765625" style="39" bestFit="1" customWidth="1"/>
    <col min="10757" max="10757" width="10.3984375" style="39" customWidth="1"/>
    <col min="10758" max="10759" width="10.09765625" style="39" bestFit="1" customWidth="1"/>
    <col min="10760" max="11008" width="10" style="39"/>
    <col min="11009" max="11009" width="14.3984375" style="39" customWidth="1"/>
    <col min="11010" max="11010" width="11" style="39" bestFit="1" customWidth="1"/>
    <col min="11011" max="11012" width="10.09765625" style="39" bestFit="1" customWidth="1"/>
    <col min="11013" max="11013" width="10.3984375" style="39" customWidth="1"/>
    <col min="11014" max="11015" width="10.09765625" style="39" bestFit="1" customWidth="1"/>
    <col min="11016" max="11264" width="10" style="39"/>
    <col min="11265" max="11265" width="14.3984375" style="39" customWidth="1"/>
    <col min="11266" max="11266" width="11" style="39" bestFit="1" customWidth="1"/>
    <col min="11267" max="11268" width="10.09765625" style="39" bestFit="1" customWidth="1"/>
    <col min="11269" max="11269" width="10.3984375" style="39" customWidth="1"/>
    <col min="11270" max="11271" width="10.09765625" style="39" bestFit="1" customWidth="1"/>
    <col min="11272" max="11520" width="10" style="39"/>
    <col min="11521" max="11521" width="14.3984375" style="39" customWidth="1"/>
    <col min="11522" max="11522" width="11" style="39" bestFit="1" customWidth="1"/>
    <col min="11523" max="11524" width="10.09765625" style="39" bestFit="1" customWidth="1"/>
    <col min="11525" max="11525" width="10.3984375" style="39" customWidth="1"/>
    <col min="11526" max="11527" width="10.09765625" style="39" bestFit="1" customWidth="1"/>
    <col min="11528" max="11776" width="10" style="39"/>
    <col min="11777" max="11777" width="14.3984375" style="39" customWidth="1"/>
    <col min="11778" max="11778" width="11" style="39" bestFit="1" customWidth="1"/>
    <col min="11779" max="11780" width="10.09765625" style="39" bestFit="1" customWidth="1"/>
    <col min="11781" max="11781" width="10.3984375" style="39" customWidth="1"/>
    <col min="11782" max="11783" width="10.09765625" style="39" bestFit="1" customWidth="1"/>
    <col min="11784" max="12032" width="10" style="39"/>
    <col min="12033" max="12033" width="14.3984375" style="39" customWidth="1"/>
    <col min="12034" max="12034" width="11" style="39" bestFit="1" customWidth="1"/>
    <col min="12035" max="12036" width="10.09765625" style="39" bestFit="1" customWidth="1"/>
    <col min="12037" max="12037" width="10.3984375" style="39" customWidth="1"/>
    <col min="12038" max="12039" width="10.09765625" style="39" bestFit="1" customWidth="1"/>
    <col min="12040" max="12288" width="10" style="39"/>
    <col min="12289" max="12289" width="14.3984375" style="39" customWidth="1"/>
    <col min="12290" max="12290" width="11" style="39" bestFit="1" customWidth="1"/>
    <col min="12291" max="12292" width="10.09765625" style="39" bestFit="1" customWidth="1"/>
    <col min="12293" max="12293" width="10.3984375" style="39" customWidth="1"/>
    <col min="12294" max="12295" width="10.09765625" style="39" bestFit="1" customWidth="1"/>
    <col min="12296" max="12544" width="10" style="39"/>
    <col min="12545" max="12545" width="14.3984375" style="39" customWidth="1"/>
    <col min="12546" max="12546" width="11" style="39" bestFit="1" customWidth="1"/>
    <col min="12547" max="12548" width="10.09765625" style="39" bestFit="1" customWidth="1"/>
    <col min="12549" max="12549" width="10.3984375" style="39" customWidth="1"/>
    <col min="12550" max="12551" width="10.09765625" style="39" bestFit="1" customWidth="1"/>
    <col min="12552" max="12800" width="10" style="39"/>
    <col min="12801" max="12801" width="14.3984375" style="39" customWidth="1"/>
    <col min="12802" max="12802" width="11" style="39" bestFit="1" customWidth="1"/>
    <col min="12803" max="12804" width="10.09765625" style="39" bestFit="1" customWidth="1"/>
    <col min="12805" max="12805" width="10.3984375" style="39" customWidth="1"/>
    <col min="12806" max="12807" width="10.09765625" style="39" bestFit="1" customWidth="1"/>
    <col min="12808" max="13056" width="10" style="39"/>
    <col min="13057" max="13057" width="14.3984375" style="39" customWidth="1"/>
    <col min="13058" max="13058" width="11" style="39" bestFit="1" customWidth="1"/>
    <col min="13059" max="13060" width="10.09765625" style="39" bestFit="1" customWidth="1"/>
    <col min="13061" max="13061" width="10.3984375" style="39" customWidth="1"/>
    <col min="13062" max="13063" width="10.09765625" style="39" bestFit="1" customWidth="1"/>
    <col min="13064" max="13312" width="10" style="39"/>
    <col min="13313" max="13313" width="14.3984375" style="39" customWidth="1"/>
    <col min="13314" max="13314" width="11" style="39" bestFit="1" customWidth="1"/>
    <col min="13315" max="13316" width="10.09765625" style="39" bestFit="1" customWidth="1"/>
    <col min="13317" max="13317" width="10.3984375" style="39" customWidth="1"/>
    <col min="13318" max="13319" width="10.09765625" style="39" bestFit="1" customWidth="1"/>
    <col min="13320" max="13568" width="10" style="39"/>
    <col min="13569" max="13569" width="14.3984375" style="39" customWidth="1"/>
    <col min="13570" max="13570" width="11" style="39" bestFit="1" customWidth="1"/>
    <col min="13571" max="13572" width="10.09765625" style="39" bestFit="1" customWidth="1"/>
    <col min="13573" max="13573" width="10.3984375" style="39" customWidth="1"/>
    <col min="13574" max="13575" width="10.09765625" style="39" bestFit="1" customWidth="1"/>
    <col min="13576" max="13824" width="10" style="39"/>
    <col min="13825" max="13825" width="14.3984375" style="39" customWidth="1"/>
    <col min="13826" max="13826" width="11" style="39" bestFit="1" customWidth="1"/>
    <col min="13827" max="13828" width="10.09765625" style="39" bestFit="1" customWidth="1"/>
    <col min="13829" max="13829" width="10.3984375" style="39" customWidth="1"/>
    <col min="13830" max="13831" width="10.09765625" style="39" bestFit="1" customWidth="1"/>
    <col min="13832" max="14080" width="10" style="39"/>
    <col min="14081" max="14081" width="14.3984375" style="39" customWidth="1"/>
    <col min="14082" max="14082" width="11" style="39" bestFit="1" customWidth="1"/>
    <col min="14083" max="14084" width="10.09765625" style="39" bestFit="1" customWidth="1"/>
    <col min="14085" max="14085" width="10.3984375" style="39" customWidth="1"/>
    <col min="14086" max="14087" width="10.09765625" style="39" bestFit="1" customWidth="1"/>
    <col min="14088" max="14336" width="10" style="39"/>
    <col min="14337" max="14337" width="14.3984375" style="39" customWidth="1"/>
    <col min="14338" max="14338" width="11" style="39" bestFit="1" customWidth="1"/>
    <col min="14339" max="14340" width="10.09765625" style="39" bestFit="1" customWidth="1"/>
    <col min="14341" max="14341" width="10.3984375" style="39" customWidth="1"/>
    <col min="14342" max="14343" width="10.09765625" style="39" bestFit="1" customWidth="1"/>
    <col min="14344" max="14592" width="10" style="39"/>
    <col min="14593" max="14593" width="14.3984375" style="39" customWidth="1"/>
    <col min="14594" max="14594" width="11" style="39" bestFit="1" customWidth="1"/>
    <col min="14595" max="14596" width="10.09765625" style="39" bestFit="1" customWidth="1"/>
    <col min="14597" max="14597" width="10.3984375" style="39" customWidth="1"/>
    <col min="14598" max="14599" width="10.09765625" style="39" bestFit="1" customWidth="1"/>
    <col min="14600" max="14848" width="10" style="39"/>
    <col min="14849" max="14849" width="14.3984375" style="39" customWidth="1"/>
    <col min="14850" max="14850" width="11" style="39" bestFit="1" customWidth="1"/>
    <col min="14851" max="14852" width="10.09765625" style="39" bestFit="1" customWidth="1"/>
    <col min="14853" max="14853" width="10.3984375" style="39" customWidth="1"/>
    <col min="14854" max="14855" width="10.09765625" style="39" bestFit="1" customWidth="1"/>
    <col min="14856" max="15104" width="10" style="39"/>
    <col min="15105" max="15105" width="14.3984375" style="39" customWidth="1"/>
    <col min="15106" max="15106" width="11" style="39" bestFit="1" customWidth="1"/>
    <col min="15107" max="15108" width="10.09765625" style="39" bestFit="1" customWidth="1"/>
    <col min="15109" max="15109" width="10.3984375" style="39" customWidth="1"/>
    <col min="15110" max="15111" width="10.09765625" style="39" bestFit="1" customWidth="1"/>
    <col min="15112" max="15360" width="10" style="39"/>
    <col min="15361" max="15361" width="14.3984375" style="39" customWidth="1"/>
    <col min="15362" max="15362" width="11" style="39" bestFit="1" customWidth="1"/>
    <col min="15363" max="15364" width="10.09765625" style="39" bestFit="1" customWidth="1"/>
    <col min="15365" max="15365" width="10.3984375" style="39" customWidth="1"/>
    <col min="15366" max="15367" width="10.09765625" style="39" bestFit="1" customWidth="1"/>
    <col min="15368" max="15616" width="10" style="39"/>
    <col min="15617" max="15617" width="14.3984375" style="39" customWidth="1"/>
    <col min="15618" max="15618" width="11" style="39" bestFit="1" customWidth="1"/>
    <col min="15619" max="15620" width="10.09765625" style="39" bestFit="1" customWidth="1"/>
    <col min="15621" max="15621" width="10.3984375" style="39" customWidth="1"/>
    <col min="15622" max="15623" width="10.09765625" style="39" bestFit="1" customWidth="1"/>
    <col min="15624" max="15872" width="10" style="39"/>
    <col min="15873" max="15873" width="14.3984375" style="39" customWidth="1"/>
    <col min="15874" max="15874" width="11" style="39" bestFit="1" customWidth="1"/>
    <col min="15875" max="15876" width="10.09765625" style="39" bestFit="1" customWidth="1"/>
    <col min="15877" max="15877" width="10.3984375" style="39" customWidth="1"/>
    <col min="15878" max="15879" width="10.09765625" style="39" bestFit="1" customWidth="1"/>
    <col min="15880" max="16128" width="10" style="39"/>
    <col min="16129" max="16129" width="14.3984375" style="39" customWidth="1"/>
    <col min="16130" max="16130" width="11" style="39" bestFit="1" customWidth="1"/>
    <col min="16131" max="16132" width="10.09765625" style="39" bestFit="1" customWidth="1"/>
    <col min="16133" max="16133" width="10.3984375" style="39" customWidth="1"/>
    <col min="16134" max="16135" width="10.09765625" style="39" bestFit="1" customWidth="1"/>
    <col min="16136" max="16384" width="10" style="39"/>
  </cols>
  <sheetData>
    <row r="1" spans="1:3" ht="21">
      <c r="A1" s="38" t="s">
        <v>365</v>
      </c>
    </row>
    <row r="2" spans="1:3" ht="17.399999999999999">
      <c r="A2" s="40" t="s">
        <v>374</v>
      </c>
      <c r="B2" s="40"/>
      <c r="C2" s="40"/>
    </row>
    <row r="3" spans="1:3" ht="17.399999999999999">
      <c r="A3" s="40"/>
      <c r="B3" s="40"/>
      <c r="C3" s="40"/>
    </row>
    <row r="4" spans="1:3" ht="17.399999999999999">
      <c r="A4" s="41" t="s">
        <v>318</v>
      </c>
      <c r="B4" s="40"/>
      <c r="C4" s="40"/>
    </row>
    <row r="5" spans="1:3" ht="17.399999999999999">
      <c r="A5" s="41" t="s">
        <v>375</v>
      </c>
    </row>
    <row r="6" spans="1:3" ht="15.6">
      <c r="A6" s="83"/>
    </row>
    <row r="7" spans="1:3" ht="15.6">
      <c r="A7" s="83"/>
    </row>
    <row r="8" spans="1:3">
      <c r="A8" s="84" t="s">
        <v>320</v>
      </c>
    </row>
    <row r="9" spans="1:3">
      <c r="A9" s="84"/>
    </row>
    <row r="10" spans="1:3">
      <c r="A10" s="84"/>
    </row>
    <row r="11" spans="1:3">
      <c r="A11" s="84"/>
    </row>
    <row r="12" spans="1:3">
      <c r="A12" s="84"/>
    </row>
    <row r="13" spans="1:3">
      <c r="A13" s="84"/>
    </row>
    <row r="14" spans="1:3">
      <c r="A14" s="84"/>
    </row>
    <row r="15" spans="1:3">
      <c r="A15" s="84"/>
    </row>
    <row r="16" spans="1:3">
      <c r="A16" s="39" t="s">
        <v>376</v>
      </c>
      <c r="B16" s="85" t="s">
        <v>377</v>
      </c>
    </row>
    <row r="17" spans="1:2">
      <c r="B17" s="85" t="s">
        <v>378</v>
      </c>
    </row>
    <row r="18" spans="1:2">
      <c r="B18" s="88"/>
    </row>
    <row r="19" spans="1:2">
      <c r="A19" s="39" t="s">
        <v>379</v>
      </c>
      <c r="B19" s="85" t="s">
        <v>380</v>
      </c>
    </row>
    <row r="20" spans="1:2">
      <c r="B20" s="85" t="s">
        <v>381</v>
      </c>
    </row>
    <row r="21" spans="1:2">
      <c r="B21" s="88"/>
    </row>
    <row r="22" spans="1:2">
      <c r="A22" s="39" t="s">
        <v>382</v>
      </c>
      <c r="B22" s="85" t="s">
        <v>383</v>
      </c>
    </row>
    <row r="23" spans="1:2">
      <c r="B23" s="85" t="s">
        <v>384</v>
      </c>
    </row>
    <row r="24" spans="1:2">
      <c r="B24" s="88"/>
    </row>
    <row r="25" spans="1:2" s="119" customFormat="1">
      <c r="A25" s="119" t="s">
        <v>385</v>
      </c>
      <c r="B25" s="120" t="s">
        <v>386</v>
      </c>
    </row>
    <row r="26" spans="1:2">
      <c r="B26" s="85" t="s">
        <v>387</v>
      </c>
    </row>
    <row r="27" spans="1:2">
      <c r="B27" s="79">
        <f>9.81*(-2*POWER(10,-7.042)*POWER('[2]T Auswahl'!AA$54*'[2]T Auswahl'!$A$34,2)-0.0007*'[2]T Auswahl'!AA$54*'[2]T Auswahl'!$A$34+8.8762-POWER('[2]T Auswahl'!AA$54*'[2]T Auswahl'!$A$34/1000,2)/POWER(1.856,2))-3</f>
        <v>84.075522000000007</v>
      </c>
    </row>
    <row r="28" spans="1:2">
      <c r="B28" s="79"/>
    </row>
    <row r="29" spans="1:2">
      <c r="A29" s="39" t="s">
        <v>388</v>
      </c>
      <c r="B29" s="121" t="s">
        <v>389</v>
      </c>
    </row>
    <row r="30" spans="1:2">
      <c r="B30" s="122" t="s">
        <v>390</v>
      </c>
    </row>
    <row r="31" spans="1:2">
      <c r="B31" s="121"/>
    </row>
    <row r="32" spans="1:2">
      <c r="A32" s="39" t="s">
        <v>391</v>
      </c>
      <c r="B32" s="85" t="s">
        <v>392</v>
      </c>
    </row>
    <row r="33" spans="1:3">
      <c r="B33" s="123" t="s">
        <v>393</v>
      </c>
    </row>
    <row r="34" spans="1:3">
      <c r="B34" s="85"/>
    </row>
    <row r="35" spans="1:3">
      <c r="A35" s="39" t="s">
        <v>394</v>
      </c>
      <c r="B35" s="85" t="s">
        <v>395</v>
      </c>
    </row>
    <row r="36" spans="1:3">
      <c r="B36" s="123" t="s">
        <v>396</v>
      </c>
    </row>
    <row r="37" spans="1:3">
      <c r="B37" s="85"/>
    </row>
    <row r="38" spans="1:3">
      <c r="A38" s="39" t="s">
        <v>397</v>
      </c>
      <c r="B38" s="85" t="s">
        <v>398</v>
      </c>
    </row>
    <row r="39" spans="1:3">
      <c r="B39" s="123" t="s">
        <v>399</v>
      </c>
    </row>
    <row r="40" spans="1:3">
      <c r="B40" s="85"/>
    </row>
    <row r="41" spans="1:3">
      <c r="A41" s="124" t="s">
        <v>400</v>
      </c>
      <c r="B41" s="125" t="s">
        <v>401</v>
      </c>
    </row>
    <row r="42" spans="1:3">
      <c r="B42" s="126" t="s">
        <v>402</v>
      </c>
    </row>
    <row r="43" spans="1:3">
      <c r="A43" s="88"/>
      <c r="B43" s="85"/>
      <c r="C43" s="88"/>
    </row>
    <row r="44" spans="1:3">
      <c r="A44" s="124" t="s">
        <v>403</v>
      </c>
      <c r="B44" s="85" t="s">
        <v>404</v>
      </c>
      <c r="C44" s="88"/>
    </row>
    <row r="45" spans="1:3">
      <c r="A45" s="88"/>
      <c r="B45" s="85" t="s">
        <v>405</v>
      </c>
      <c r="C45" s="88"/>
    </row>
    <row r="46" spans="1:3">
      <c r="A46" s="88"/>
      <c r="B46" s="85"/>
      <c r="C46" s="88"/>
    </row>
    <row r="47" spans="1:3" s="89" customFormat="1">
      <c r="A47" s="127" t="s">
        <v>406</v>
      </c>
      <c r="B47" s="125" t="s">
        <v>407</v>
      </c>
      <c r="C47" s="88"/>
    </row>
    <row r="48" spans="1:3" s="89" customFormat="1">
      <c r="A48" s="128"/>
      <c r="B48" s="125" t="s">
        <v>408</v>
      </c>
      <c r="C48" s="88"/>
    </row>
    <row r="49" spans="1:3">
      <c r="A49" s="128"/>
      <c r="B49" s="126"/>
      <c r="C49" s="88"/>
    </row>
    <row r="50" spans="1:3">
      <c r="A50" s="127" t="s">
        <v>409</v>
      </c>
      <c r="B50" s="125" t="s">
        <v>410</v>
      </c>
      <c r="C50" s="88"/>
    </row>
    <row r="51" spans="1:3">
      <c r="A51" s="128"/>
      <c r="B51" s="126" t="s">
        <v>411</v>
      </c>
      <c r="C51" s="88"/>
    </row>
    <row r="52" spans="1:3">
      <c r="A52" s="128"/>
      <c r="B52" s="89"/>
      <c r="C52" s="88"/>
    </row>
    <row r="53" spans="1:3">
      <c r="A53" s="127" t="s">
        <v>412</v>
      </c>
      <c r="B53" s="125" t="s">
        <v>413</v>
      </c>
      <c r="C53" s="88"/>
    </row>
    <row r="54" spans="1:3">
      <c r="A54" s="128"/>
      <c r="B54" s="126" t="s">
        <v>414</v>
      </c>
      <c r="C54" s="88"/>
    </row>
    <row r="55" spans="1:3">
      <c r="A55" s="128"/>
      <c r="B55" s="89"/>
      <c r="C55" s="88"/>
    </row>
    <row r="56" spans="1:3">
      <c r="A56" s="127" t="s">
        <v>415</v>
      </c>
      <c r="B56" s="125" t="s">
        <v>401</v>
      </c>
      <c r="C56" s="88"/>
    </row>
    <row r="57" spans="1:3">
      <c r="A57" s="128"/>
      <c r="B57" s="126" t="s">
        <v>402</v>
      </c>
      <c r="C57" s="88"/>
    </row>
    <row r="58" spans="1:3">
      <c r="A58" s="128"/>
      <c r="B58" s="89"/>
      <c r="C58" s="88"/>
    </row>
    <row r="59" spans="1:3">
      <c r="A59" s="127" t="s">
        <v>416</v>
      </c>
      <c r="B59" s="125" t="s">
        <v>417</v>
      </c>
      <c r="C59" s="88"/>
    </row>
    <row r="60" spans="1:3">
      <c r="A60" s="128"/>
      <c r="B60" s="126" t="s">
        <v>418</v>
      </c>
      <c r="C60" s="88"/>
    </row>
    <row r="61" spans="1:3">
      <c r="A61" s="128"/>
      <c r="B61" s="89"/>
      <c r="C61" s="88"/>
    </row>
    <row r="62" spans="1:3">
      <c r="A62" s="88" t="s">
        <v>419</v>
      </c>
      <c r="B62" s="125" t="s">
        <v>420</v>
      </c>
      <c r="C62" s="88"/>
    </row>
    <row r="63" spans="1:3">
      <c r="A63" s="88"/>
      <c r="B63" s="126" t="s">
        <v>421</v>
      </c>
      <c r="C63" s="88"/>
    </row>
    <row r="64" spans="1:3">
      <c r="A64" s="88"/>
      <c r="B64" s="89"/>
      <c r="C64" s="88"/>
    </row>
    <row r="65" spans="1:3">
      <c r="A65" s="88" t="s">
        <v>422</v>
      </c>
      <c r="B65" s="125" t="s">
        <v>423</v>
      </c>
      <c r="C65" s="88"/>
    </row>
    <row r="66" spans="1:3">
      <c r="A66" s="88"/>
      <c r="B66" s="126" t="s">
        <v>424</v>
      </c>
      <c r="C66" s="88"/>
    </row>
    <row r="67" spans="1:3">
      <c r="A67" s="88"/>
      <c r="B67" s="89"/>
      <c r="C67" s="88"/>
    </row>
    <row r="68" spans="1:3">
      <c r="A68" s="129" t="s">
        <v>425</v>
      </c>
      <c r="B68" s="125" t="s">
        <v>426</v>
      </c>
      <c r="C68" s="88"/>
    </row>
    <row r="69" spans="1:3">
      <c r="A69" s="88"/>
      <c r="B69" s="126" t="s">
        <v>427</v>
      </c>
      <c r="C69" s="88"/>
    </row>
    <row r="70" spans="1:3">
      <c r="A70" s="88"/>
      <c r="B70" s="89"/>
      <c r="C70" s="88"/>
    </row>
    <row r="71" spans="1:3">
      <c r="A71" s="129" t="s">
        <v>428</v>
      </c>
      <c r="B71" s="125" t="s">
        <v>429</v>
      </c>
      <c r="C71" s="88"/>
    </row>
    <row r="72" spans="1:3">
      <c r="A72" s="88"/>
      <c r="B72" s="126" t="s">
        <v>430</v>
      </c>
      <c r="C72" s="88"/>
    </row>
    <row r="73" spans="1:3">
      <c r="A73" s="88"/>
      <c r="B73" s="89"/>
      <c r="C73" s="88"/>
    </row>
    <row r="74" spans="1:3">
      <c r="A74" s="129" t="s">
        <v>431</v>
      </c>
      <c r="B74" s="125" t="s">
        <v>432</v>
      </c>
      <c r="C74" s="88"/>
    </row>
    <row r="75" spans="1:3">
      <c r="A75" s="88"/>
      <c r="B75" s="126" t="s">
        <v>433</v>
      </c>
      <c r="C75" s="88"/>
    </row>
    <row r="76" spans="1:3">
      <c r="A76" s="88"/>
      <c r="B76" s="89"/>
      <c r="C76" s="88"/>
    </row>
    <row r="77" spans="1:3">
      <c r="A77" s="129" t="s">
        <v>434</v>
      </c>
      <c r="B77" s="125" t="s">
        <v>435</v>
      </c>
      <c r="C77" s="88"/>
    </row>
    <row r="78" spans="1:3">
      <c r="A78" s="88"/>
      <c r="B78" s="126" t="s">
        <v>436</v>
      </c>
      <c r="C78" s="88"/>
    </row>
    <row r="79" spans="1:3">
      <c r="A79" s="88"/>
      <c r="B79" s="89"/>
      <c r="C79" s="88"/>
    </row>
    <row r="80" spans="1:3">
      <c r="A80" s="129" t="s">
        <v>437</v>
      </c>
      <c r="B80" s="125" t="s">
        <v>438</v>
      </c>
      <c r="C80" s="88"/>
    </row>
    <row r="81" spans="1:3">
      <c r="A81" s="88"/>
      <c r="B81" s="126" t="s">
        <v>439</v>
      </c>
      <c r="C81" s="88"/>
    </row>
    <row r="82" spans="1:3">
      <c r="A82" s="88"/>
      <c r="B82" s="85"/>
      <c r="C82" s="88"/>
    </row>
    <row r="83" spans="1:3">
      <c r="A83" s="129" t="s">
        <v>440</v>
      </c>
      <c r="B83" s="125" t="s">
        <v>441</v>
      </c>
      <c r="C83" s="88"/>
    </row>
    <row r="84" spans="1:3">
      <c r="A84" s="88"/>
      <c r="B84" s="126" t="s">
        <v>442</v>
      </c>
      <c r="C84" s="88"/>
    </row>
    <row r="85" spans="1:3">
      <c r="A85" s="88"/>
      <c r="B85" s="85"/>
      <c r="C85" s="88"/>
    </row>
    <row r="86" spans="1:3">
      <c r="A86" s="129" t="s">
        <v>443</v>
      </c>
      <c r="B86" s="125" t="s">
        <v>444</v>
      </c>
      <c r="C86" s="88"/>
    </row>
    <row r="87" spans="1:3">
      <c r="A87" s="88"/>
      <c r="B87" s="126" t="s">
        <v>445</v>
      </c>
      <c r="C87" s="88"/>
    </row>
    <row r="88" spans="1:3">
      <c r="A88" s="88"/>
      <c r="B88" s="85"/>
      <c r="C88" s="88"/>
    </row>
    <row r="89" spans="1:3">
      <c r="A89" s="129" t="s">
        <v>446</v>
      </c>
      <c r="B89" s="125" t="s">
        <v>447</v>
      </c>
      <c r="C89" s="88"/>
    </row>
    <row r="90" spans="1:3">
      <c r="A90" s="88"/>
      <c r="B90" s="126" t="s">
        <v>448</v>
      </c>
      <c r="C90" s="88"/>
    </row>
    <row r="91" spans="1:3">
      <c r="B91" s="85"/>
    </row>
    <row r="92" spans="1:3">
      <c r="A92" s="129" t="s">
        <v>449</v>
      </c>
      <c r="B92" s="125" t="s">
        <v>450</v>
      </c>
      <c r="C92" s="88"/>
    </row>
    <row r="93" spans="1:3">
      <c r="A93" s="88"/>
      <c r="B93" s="125" t="s">
        <v>451</v>
      </c>
      <c r="C93" s="88"/>
    </row>
    <row r="94" spans="1:3">
      <c r="B94" s="85"/>
    </row>
    <row r="95" spans="1:3">
      <c r="A95" s="129" t="s">
        <v>452</v>
      </c>
      <c r="B95" s="125" t="s">
        <v>453</v>
      </c>
      <c r="C95" s="88"/>
    </row>
    <row r="96" spans="1:3">
      <c r="A96" s="88"/>
      <c r="B96" s="126" t="s">
        <v>454</v>
      </c>
      <c r="C96" s="88"/>
    </row>
    <row r="97" spans="1:19">
      <c r="B97" s="499"/>
      <c r="C97" s="500"/>
      <c r="D97" s="500"/>
      <c r="E97" s="500"/>
      <c r="F97" s="500"/>
      <c r="G97" s="501"/>
    </row>
    <row r="98" spans="1:19">
      <c r="A98" s="129" t="s">
        <v>455</v>
      </c>
      <c r="B98" s="125" t="s">
        <v>456</v>
      </c>
      <c r="C98" s="88"/>
    </row>
    <row r="99" spans="1:19">
      <c r="B99" s="125" t="s">
        <v>457</v>
      </c>
      <c r="D99" s="130"/>
      <c r="E99" s="130"/>
      <c r="F99" s="130"/>
      <c r="G99" s="130"/>
    </row>
    <row r="100" spans="1:19">
      <c r="B100" s="130"/>
      <c r="C100" s="130"/>
      <c r="D100" s="130"/>
      <c r="E100" s="130"/>
      <c r="F100" s="130"/>
      <c r="G100" s="130"/>
    </row>
    <row r="101" spans="1:19">
      <c r="A101" s="129" t="s">
        <v>458</v>
      </c>
      <c r="B101" s="125" t="s">
        <v>459</v>
      </c>
      <c r="C101" s="88"/>
    </row>
    <row r="102" spans="1:19">
      <c r="B102" s="125" t="s">
        <v>460</v>
      </c>
      <c r="C102" s="130"/>
      <c r="D102" s="130"/>
      <c r="E102" s="130"/>
      <c r="F102" s="130"/>
      <c r="G102" s="130"/>
    </row>
    <row r="103" spans="1:19">
      <c r="B103" s="130"/>
      <c r="C103" s="130"/>
      <c r="D103" s="130"/>
      <c r="E103" s="130"/>
      <c r="F103" s="130"/>
      <c r="G103" s="130"/>
    </row>
    <row r="104" spans="1:19">
      <c r="A104" s="129" t="s">
        <v>461</v>
      </c>
      <c r="B104" s="125" t="s">
        <v>462</v>
      </c>
      <c r="C104" s="88"/>
    </row>
    <row r="105" spans="1:19">
      <c r="B105" s="125" t="s">
        <v>463</v>
      </c>
      <c r="C105" s="130"/>
      <c r="D105" s="130"/>
      <c r="E105" s="130"/>
      <c r="F105" s="130"/>
      <c r="G105" s="130"/>
    </row>
    <row r="106" spans="1:19">
      <c r="B106" s="130"/>
      <c r="C106" s="130"/>
      <c r="D106" s="130"/>
      <c r="E106" s="130"/>
      <c r="F106" s="130"/>
      <c r="G106" s="130"/>
    </row>
    <row r="107" spans="1:19">
      <c r="B107" s="131"/>
    </row>
    <row r="108" spans="1:19">
      <c r="B108" s="131"/>
    </row>
    <row r="109" spans="1:19">
      <c r="B109" s="131"/>
    </row>
    <row r="110" spans="1:19">
      <c r="B110" s="85"/>
    </row>
    <row r="111" spans="1:19">
      <c r="A111" s="84" t="s">
        <v>464</v>
      </c>
      <c r="B111" s="85"/>
    </row>
    <row r="112" spans="1:19">
      <c r="B112" s="85"/>
      <c r="M112" s="89"/>
      <c r="N112" s="89"/>
      <c r="O112" s="89"/>
      <c r="P112" s="89"/>
      <c r="Q112" s="89"/>
      <c r="R112" s="89"/>
      <c r="S112" s="89"/>
    </row>
    <row r="113" spans="1:19">
      <c r="A113" s="39" t="s">
        <v>376</v>
      </c>
      <c r="B113" s="39" t="s">
        <v>324</v>
      </c>
      <c r="C113" s="39">
        <v>0</v>
      </c>
      <c r="D113" s="39">
        <v>1251</v>
      </c>
      <c r="E113" s="39">
        <v>1251</v>
      </c>
      <c r="F113" s="39">
        <v>1400</v>
      </c>
      <c r="G113" s="39">
        <v>1600</v>
      </c>
      <c r="H113" s="39">
        <v>1800</v>
      </c>
      <c r="I113" s="39">
        <v>2000</v>
      </c>
      <c r="J113" s="39">
        <v>2200</v>
      </c>
      <c r="K113" s="39">
        <v>2400</v>
      </c>
      <c r="L113" s="39">
        <v>2500</v>
      </c>
      <c r="M113" s="89">
        <v>2636</v>
      </c>
      <c r="N113" s="89">
        <v>2636</v>
      </c>
      <c r="O113" s="89">
        <v>0</v>
      </c>
      <c r="P113" s="89"/>
      <c r="Q113" s="89"/>
      <c r="R113" s="89"/>
      <c r="S113" s="89"/>
    </row>
    <row r="114" spans="1:19" s="67" customFormat="1">
      <c r="B114" s="67" t="s">
        <v>305</v>
      </c>
      <c r="C114" s="67">
        <v>3.7</v>
      </c>
      <c r="D114" s="67">
        <v>3.7</v>
      </c>
      <c r="E114" s="67">
        <f t="shared" ref="E114:L114" si="0">-8*10^(-8)*E113^2-0.0003*E113+4.092-(E113/1000)^2/2^2+0.5</f>
        <v>3.7002496699999998</v>
      </c>
      <c r="F114" s="67">
        <f>-8*10^(-8)*F113^2-0.0003*F113+4.092-(F113/1000)^2/2^2+0.5</f>
        <v>3.5251999999999999</v>
      </c>
      <c r="G114" s="67">
        <f t="shared" si="0"/>
        <v>3.2671999999999994</v>
      </c>
      <c r="H114" s="67">
        <f t="shared" si="0"/>
        <v>2.9827999999999997</v>
      </c>
      <c r="I114" s="67">
        <f t="shared" si="0"/>
        <v>2.6719999999999997</v>
      </c>
      <c r="J114" s="67">
        <f t="shared" si="0"/>
        <v>2.3347999999999995</v>
      </c>
      <c r="K114" s="67">
        <f t="shared" si="0"/>
        <v>1.9711999999999996</v>
      </c>
      <c r="L114" s="67">
        <f t="shared" si="0"/>
        <v>1.7794999999999996</v>
      </c>
      <c r="M114" s="132">
        <f>-8*10^(-8)*M113^2-0.0003*M113+4.092-(M113/1000)^2/2^2+0.5</f>
        <v>1.5081963199999997</v>
      </c>
      <c r="N114" s="132">
        <f>-8*10^(-8)*N113^2-0.0003*N113+4.092-(N113/1000)^2/2^2+0.5</f>
        <v>1.5081963199999997</v>
      </c>
      <c r="O114" s="132">
        <v>1.51</v>
      </c>
      <c r="P114" s="132"/>
      <c r="Q114" s="132"/>
      <c r="R114" s="132"/>
      <c r="S114" s="132"/>
    </row>
    <row r="115" spans="1:19">
      <c r="A115" s="39" t="s">
        <v>376</v>
      </c>
      <c r="B115" s="39" t="s">
        <v>324</v>
      </c>
      <c r="C115" s="39">
        <v>0</v>
      </c>
      <c r="D115" s="39">
        <v>1251</v>
      </c>
      <c r="E115" s="39">
        <v>1251</v>
      </c>
      <c r="F115" s="39">
        <v>1400</v>
      </c>
      <c r="G115" s="39">
        <v>1600</v>
      </c>
      <c r="H115" s="39">
        <v>1800</v>
      </c>
      <c r="I115" s="39">
        <v>2000</v>
      </c>
      <c r="J115" s="39">
        <v>2200</v>
      </c>
      <c r="K115" s="39">
        <v>2400</v>
      </c>
      <c r="L115" s="39">
        <v>2500</v>
      </c>
      <c r="M115" s="89">
        <v>2636</v>
      </c>
      <c r="N115" s="89">
        <v>2636</v>
      </c>
      <c r="O115" s="89">
        <v>0</v>
      </c>
      <c r="P115" s="89"/>
      <c r="Q115" s="89"/>
      <c r="R115" s="89"/>
      <c r="S115" s="89"/>
    </row>
    <row r="116" spans="1:19" s="67" customFormat="1">
      <c r="B116" s="67" t="s">
        <v>300</v>
      </c>
      <c r="C116" s="67">
        <f>C114-0.5</f>
        <v>3.2</v>
      </c>
      <c r="D116" s="67">
        <f t="shared" ref="D116:M116" si="1">D114-0.5</f>
        <v>3.2</v>
      </c>
      <c r="E116" s="67">
        <f t="shared" si="1"/>
        <v>3.2002496699999998</v>
      </c>
      <c r="F116" s="67">
        <f t="shared" si="1"/>
        <v>3.0251999999999999</v>
      </c>
      <c r="G116" s="67">
        <f t="shared" si="1"/>
        <v>2.7671999999999994</v>
      </c>
      <c r="H116" s="67">
        <f t="shared" si="1"/>
        <v>2.4827999999999997</v>
      </c>
      <c r="I116" s="67">
        <f t="shared" si="1"/>
        <v>2.1719999999999997</v>
      </c>
      <c r="J116" s="67">
        <f t="shared" si="1"/>
        <v>1.8347999999999995</v>
      </c>
      <c r="K116" s="67">
        <f t="shared" si="1"/>
        <v>1.4711999999999996</v>
      </c>
      <c r="L116" s="67">
        <f t="shared" si="1"/>
        <v>1.2794999999999996</v>
      </c>
      <c r="M116" s="132">
        <f t="shared" si="1"/>
        <v>1.0081963199999997</v>
      </c>
      <c r="N116" s="132">
        <v>1.01</v>
      </c>
      <c r="O116" s="132">
        <v>1.01</v>
      </c>
      <c r="P116" s="132"/>
      <c r="Q116" s="132"/>
      <c r="R116" s="132"/>
      <c r="S116" s="132"/>
    </row>
    <row r="117" spans="1:19">
      <c r="M117" s="89"/>
      <c r="N117" s="89"/>
      <c r="O117" s="89"/>
      <c r="P117" s="89"/>
      <c r="Q117" s="89"/>
      <c r="R117" s="89"/>
      <c r="S117" s="89"/>
    </row>
    <row r="118" spans="1:19">
      <c r="A118" s="39" t="s">
        <v>379</v>
      </c>
      <c r="B118" s="39" t="s">
        <v>324</v>
      </c>
      <c r="C118" s="39">
        <v>0</v>
      </c>
      <c r="D118" s="39">
        <v>1363</v>
      </c>
      <c r="E118" s="39">
        <v>1363</v>
      </c>
      <c r="F118" s="39">
        <v>1500</v>
      </c>
      <c r="G118" s="39">
        <v>1700</v>
      </c>
      <c r="H118" s="39">
        <v>1900</v>
      </c>
      <c r="I118" s="39">
        <v>2100</v>
      </c>
      <c r="J118" s="39">
        <v>2300</v>
      </c>
      <c r="K118" s="39">
        <v>2500</v>
      </c>
      <c r="L118" s="39">
        <v>2700</v>
      </c>
      <c r="M118" s="89">
        <v>2940</v>
      </c>
      <c r="N118" s="89">
        <v>2941</v>
      </c>
      <c r="O118" s="89">
        <v>0</v>
      </c>
      <c r="P118" s="89"/>
      <c r="Q118" s="89"/>
      <c r="R118" s="89"/>
      <c r="S118" s="89"/>
    </row>
    <row r="119" spans="1:19" s="67" customFormat="1">
      <c r="B119" s="67" t="s">
        <v>305</v>
      </c>
      <c r="C119" s="67">
        <v>4.7</v>
      </c>
      <c r="D119" s="67">
        <v>4.7</v>
      </c>
      <c r="E119" s="67">
        <f t="shared" ref="E119:N119" si="2">-1*10^(-6.8756)*E118^2-0.0002*E118+5.1858 -(E118/1000)^2/2^2+0.5</f>
        <v>4.7013622979057299</v>
      </c>
      <c r="F119" s="67">
        <f t="shared" si="2"/>
        <v>4.5236719153392553</v>
      </c>
      <c r="G119" s="67">
        <f t="shared" si="2"/>
        <v>4.2384443712579767</v>
      </c>
      <c r="H119" s="67">
        <f t="shared" si="2"/>
        <v>3.9225633841665388</v>
      </c>
      <c r="I119" s="67">
        <f t="shared" si="2"/>
        <v>3.5760289540649399</v>
      </c>
      <c r="J119" s="67">
        <f t="shared" si="2"/>
        <v>3.1988410809531818</v>
      </c>
      <c r="K119" s="67">
        <f t="shared" si="2"/>
        <v>2.7909997648312643</v>
      </c>
      <c r="L119" s="67">
        <f t="shared" si="2"/>
        <v>2.3525050056991863</v>
      </c>
      <c r="M119" s="132">
        <f t="shared" si="2"/>
        <v>1.7858487499672822</v>
      </c>
      <c r="N119" s="132">
        <f t="shared" si="2"/>
        <v>1.7833953387379977</v>
      </c>
      <c r="O119" s="132">
        <v>1.78</v>
      </c>
      <c r="P119" s="132"/>
      <c r="Q119" s="132"/>
      <c r="R119" s="132"/>
      <c r="S119" s="132"/>
    </row>
    <row r="120" spans="1:19">
      <c r="A120" s="39" t="s">
        <v>379</v>
      </c>
      <c r="B120" s="39" t="s">
        <v>324</v>
      </c>
      <c r="C120" s="39">
        <v>0</v>
      </c>
      <c r="D120" s="39">
        <v>1363</v>
      </c>
      <c r="E120" s="39">
        <v>1363</v>
      </c>
      <c r="F120" s="39">
        <v>1500</v>
      </c>
      <c r="G120" s="39">
        <v>1700</v>
      </c>
      <c r="H120" s="39">
        <v>1900</v>
      </c>
      <c r="I120" s="39">
        <v>2100</v>
      </c>
      <c r="J120" s="39">
        <v>2300</v>
      </c>
      <c r="K120" s="39">
        <v>2500</v>
      </c>
      <c r="L120" s="39">
        <v>2700</v>
      </c>
      <c r="M120" s="89">
        <v>2940</v>
      </c>
      <c r="N120" s="89">
        <v>2941</v>
      </c>
      <c r="O120" s="89">
        <v>0</v>
      </c>
      <c r="P120" s="89"/>
      <c r="Q120" s="89"/>
      <c r="R120" s="89"/>
      <c r="S120" s="89"/>
    </row>
    <row r="121" spans="1:19" s="67" customFormat="1">
      <c r="B121" s="67" t="s">
        <v>300</v>
      </c>
      <c r="C121" s="67">
        <f t="shared" ref="C121:M121" si="3">C119-0.5</f>
        <v>4.2</v>
      </c>
      <c r="D121" s="67">
        <f t="shared" si="3"/>
        <v>4.2</v>
      </c>
      <c r="E121" s="67">
        <f t="shared" si="3"/>
        <v>4.2013622979057299</v>
      </c>
      <c r="F121" s="67">
        <f t="shared" si="3"/>
        <v>4.0236719153392553</v>
      </c>
      <c r="G121" s="67">
        <f t="shared" si="3"/>
        <v>3.7384443712579767</v>
      </c>
      <c r="H121" s="67">
        <f t="shared" si="3"/>
        <v>3.4225633841665388</v>
      </c>
      <c r="I121" s="67">
        <f t="shared" si="3"/>
        <v>3.0760289540649399</v>
      </c>
      <c r="J121" s="67">
        <f t="shared" si="3"/>
        <v>2.6988410809531818</v>
      </c>
      <c r="K121" s="67">
        <f t="shared" si="3"/>
        <v>2.2909997648312643</v>
      </c>
      <c r="L121" s="67">
        <f t="shared" si="3"/>
        <v>1.8525050056991863</v>
      </c>
      <c r="M121" s="132">
        <f t="shared" si="3"/>
        <v>1.2858487499672822</v>
      </c>
      <c r="N121" s="132">
        <v>1.29</v>
      </c>
      <c r="O121" s="132">
        <v>1.29</v>
      </c>
      <c r="P121" s="132"/>
      <c r="Q121" s="132"/>
      <c r="R121" s="132"/>
      <c r="S121" s="132"/>
    </row>
    <row r="122" spans="1:19">
      <c r="M122" s="89"/>
      <c r="N122" s="89"/>
      <c r="O122" s="89"/>
      <c r="P122" s="89"/>
      <c r="Q122" s="89"/>
      <c r="R122" s="89"/>
      <c r="S122" s="89"/>
    </row>
    <row r="123" spans="1:19">
      <c r="A123" s="39" t="s">
        <v>382</v>
      </c>
      <c r="B123" s="39" t="s">
        <v>324</v>
      </c>
      <c r="C123" s="39">
        <v>0</v>
      </c>
      <c r="D123" s="39">
        <v>910</v>
      </c>
      <c r="E123" s="39">
        <v>910</v>
      </c>
      <c r="F123" s="39">
        <v>1100</v>
      </c>
      <c r="G123" s="39">
        <v>1300</v>
      </c>
      <c r="H123" s="39">
        <v>1500</v>
      </c>
      <c r="I123" s="39">
        <v>1700</v>
      </c>
      <c r="J123" s="39">
        <v>1900</v>
      </c>
      <c r="K123" s="39">
        <v>2100</v>
      </c>
      <c r="L123" s="39">
        <v>2300</v>
      </c>
      <c r="M123" s="89">
        <v>2500</v>
      </c>
      <c r="N123" s="89">
        <v>2700</v>
      </c>
      <c r="O123" s="89">
        <v>3000</v>
      </c>
      <c r="P123" s="89">
        <v>3000</v>
      </c>
      <c r="Q123" s="89">
        <v>0</v>
      </c>
      <c r="R123" s="89"/>
      <c r="S123" s="89"/>
    </row>
    <row r="124" spans="1:19" s="67" customFormat="1">
      <c r="B124" s="67" t="s">
        <v>305</v>
      </c>
      <c r="C124" s="67">
        <v>6.5</v>
      </c>
      <c r="D124" s="67">
        <v>6.5</v>
      </c>
      <c r="E124" s="67">
        <f t="shared" ref="E124:O124" si="4">-1*10^(-6.8882)*E123^2-0.0006*E123+6.8821 -(E123/1000)^2/1.9^2+0.5</f>
        <v>6.499586403984094</v>
      </c>
      <c r="F124" s="67">
        <f t="shared" si="4"/>
        <v>6.2303943470845953</v>
      </c>
      <c r="G124" s="67">
        <f t="shared" si="4"/>
        <v>5.9153375591512116</v>
      </c>
      <c r="H124" s="67">
        <f t="shared" si="4"/>
        <v>5.567771306562264</v>
      </c>
      <c r="I124" s="67">
        <f t="shared" si="4"/>
        <v>5.1876955893177517</v>
      </c>
      <c r="J124" s="67">
        <f t="shared" si="4"/>
        <v>4.7751104074176762</v>
      </c>
      <c r="K124" s="67">
        <f t="shared" si="4"/>
        <v>4.330015760862036</v>
      </c>
      <c r="L124" s="67">
        <f t="shared" si="4"/>
        <v>3.8524116496508327</v>
      </c>
      <c r="M124" s="132">
        <f t="shared" si="4"/>
        <v>3.3422980737840646</v>
      </c>
      <c r="N124" s="132">
        <f t="shared" si="4"/>
        <v>2.7996750332617331</v>
      </c>
      <c r="O124" s="132">
        <f t="shared" si="4"/>
        <v>1.9247852262490537</v>
      </c>
      <c r="P124" s="132">
        <v>1.86</v>
      </c>
      <c r="Q124" s="132">
        <v>1.86</v>
      </c>
      <c r="R124" s="132"/>
      <c r="S124" s="132"/>
    </row>
    <row r="125" spans="1:19">
      <c r="A125" s="39" t="s">
        <v>382</v>
      </c>
      <c r="B125" s="39" t="s">
        <v>324</v>
      </c>
      <c r="C125" s="39">
        <v>0</v>
      </c>
      <c r="D125" s="39">
        <v>910</v>
      </c>
      <c r="E125" s="39">
        <v>910</v>
      </c>
      <c r="F125" s="39">
        <v>1100</v>
      </c>
      <c r="G125" s="39">
        <v>1300</v>
      </c>
      <c r="H125" s="39">
        <v>1500</v>
      </c>
      <c r="I125" s="39">
        <v>1700</v>
      </c>
      <c r="J125" s="39">
        <v>1900</v>
      </c>
      <c r="K125" s="39">
        <v>2100</v>
      </c>
      <c r="L125" s="39">
        <v>2300</v>
      </c>
      <c r="M125" s="89">
        <v>2500</v>
      </c>
      <c r="N125" s="89">
        <v>2700</v>
      </c>
      <c r="O125" s="89">
        <v>3000</v>
      </c>
      <c r="P125" s="89">
        <v>3000</v>
      </c>
      <c r="Q125" s="89">
        <v>0</v>
      </c>
      <c r="R125" s="89"/>
      <c r="S125" s="89"/>
    </row>
    <row r="126" spans="1:19" s="67" customFormat="1">
      <c r="B126" s="67" t="s">
        <v>300</v>
      </c>
      <c r="C126" s="67">
        <f t="shared" ref="C126:O126" si="5">C124-0.5</f>
        <v>6</v>
      </c>
      <c r="D126" s="67">
        <f t="shared" si="5"/>
        <v>6</v>
      </c>
      <c r="E126" s="67">
        <f t="shared" si="5"/>
        <v>5.999586403984094</v>
      </c>
      <c r="F126" s="67">
        <f t="shared" si="5"/>
        <v>5.7303943470845953</v>
      </c>
      <c r="G126" s="67">
        <f t="shared" si="5"/>
        <v>5.4153375591512116</v>
      </c>
      <c r="H126" s="67">
        <f t="shared" si="5"/>
        <v>5.067771306562264</v>
      </c>
      <c r="I126" s="67">
        <f t="shared" si="5"/>
        <v>4.6876955893177517</v>
      </c>
      <c r="J126" s="67">
        <f t="shared" si="5"/>
        <v>4.2751104074176762</v>
      </c>
      <c r="K126" s="67">
        <f t="shared" si="5"/>
        <v>3.830015760862036</v>
      </c>
      <c r="L126" s="67">
        <f t="shared" si="5"/>
        <v>3.3524116496508327</v>
      </c>
      <c r="M126" s="132">
        <f t="shared" si="5"/>
        <v>2.8422980737840646</v>
      </c>
      <c r="N126" s="132">
        <f t="shared" si="5"/>
        <v>2.2996750332617331</v>
      </c>
      <c r="O126" s="132">
        <f t="shared" si="5"/>
        <v>1.4247852262490537</v>
      </c>
      <c r="P126" s="132">
        <v>1.36</v>
      </c>
      <c r="Q126" s="132">
        <v>1.36</v>
      </c>
      <c r="R126" s="132"/>
      <c r="S126" s="132"/>
    </row>
    <row r="127" spans="1:19">
      <c r="M127" s="89"/>
      <c r="N127" s="89"/>
      <c r="O127" s="89"/>
      <c r="P127" s="89"/>
      <c r="Q127" s="89"/>
      <c r="R127" s="89"/>
      <c r="S127" s="89"/>
    </row>
    <row r="128" spans="1:19">
      <c r="A128" s="39" t="s">
        <v>385</v>
      </c>
      <c r="B128" s="39" t="s">
        <v>324</v>
      </c>
      <c r="C128" s="39">
        <v>0</v>
      </c>
      <c r="D128" s="39">
        <v>810</v>
      </c>
      <c r="E128" s="39">
        <v>810</v>
      </c>
      <c r="F128" s="39">
        <v>1000</v>
      </c>
      <c r="G128" s="39">
        <v>1200</v>
      </c>
      <c r="H128" s="39">
        <v>1400</v>
      </c>
      <c r="I128" s="39">
        <v>1600</v>
      </c>
      <c r="J128" s="39">
        <v>1800</v>
      </c>
      <c r="K128" s="39">
        <v>2000</v>
      </c>
      <c r="L128" s="39">
        <v>2200</v>
      </c>
      <c r="M128" s="89">
        <v>2400</v>
      </c>
      <c r="N128" s="89">
        <v>2600</v>
      </c>
      <c r="O128" s="89">
        <v>2800</v>
      </c>
      <c r="P128" s="89">
        <v>3060</v>
      </c>
      <c r="Q128" s="89">
        <v>3060</v>
      </c>
      <c r="R128" s="89">
        <v>0</v>
      </c>
      <c r="S128" s="89"/>
    </row>
    <row r="129" spans="1:19" s="67" customFormat="1">
      <c r="B129" s="67" t="s">
        <v>305</v>
      </c>
      <c r="C129" s="67">
        <v>8.5</v>
      </c>
      <c r="D129" s="133">
        <v>8.5</v>
      </c>
      <c r="E129" s="133">
        <f t="shared" ref="E129:P129" si="6">-2*10^(-7.042)*E128^2-0.0007*E128+8.8762 -(E128/1000)^2/1.856^2+0.5</f>
        <v>8.4996112667690227</v>
      </c>
      <c r="F129" s="133">
        <f t="shared" si="6"/>
        <v>8.204337885640939</v>
      </c>
      <c r="G129" s="133">
        <f t="shared" si="6"/>
        <v>7.8567185553229528</v>
      </c>
      <c r="H129" s="133">
        <f t="shared" si="6"/>
        <v>7.4713502558562404</v>
      </c>
      <c r="I129" s="133">
        <f t="shared" si="6"/>
        <v>7.0482329872408034</v>
      </c>
      <c r="J129" s="133">
        <f t="shared" si="6"/>
        <v>6.5873667494766419</v>
      </c>
      <c r="K129" s="134">
        <f t="shared" si="6"/>
        <v>6.0887515425637559</v>
      </c>
      <c r="L129" s="134">
        <f t="shared" si="6"/>
        <v>5.5523873665021437</v>
      </c>
      <c r="M129" s="134">
        <f t="shared" si="6"/>
        <v>4.9782742212918079</v>
      </c>
      <c r="N129" s="134">
        <f t="shared" si="6"/>
        <v>4.3664121069327457</v>
      </c>
      <c r="O129" s="134">
        <f t="shared" si="6"/>
        <v>3.71680102342496</v>
      </c>
      <c r="P129" s="132">
        <f t="shared" si="6"/>
        <v>2.8158719059874944</v>
      </c>
      <c r="Q129" s="132">
        <v>1.94</v>
      </c>
      <c r="R129" s="132">
        <v>1.94</v>
      </c>
      <c r="S129" s="132"/>
    </row>
    <row r="130" spans="1:19">
      <c r="A130" s="39" t="s">
        <v>385</v>
      </c>
      <c r="B130" s="39" t="s">
        <v>324</v>
      </c>
      <c r="C130" s="39">
        <v>0</v>
      </c>
      <c r="D130" s="39">
        <v>810</v>
      </c>
      <c r="E130" s="39">
        <v>810</v>
      </c>
      <c r="F130" s="39">
        <v>1000</v>
      </c>
      <c r="G130" s="39">
        <v>1200</v>
      </c>
      <c r="H130" s="39">
        <v>1400</v>
      </c>
      <c r="I130" s="39">
        <v>1600</v>
      </c>
      <c r="J130" s="39">
        <v>1800</v>
      </c>
      <c r="K130" s="89">
        <v>2000</v>
      </c>
      <c r="L130" s="89">
        <v>2200</v>
      </c>
      <c r="M130" s="89">
        <v>2400</v>
      </c>
      <c r="N130" s="89">
        <v>2600</v>
      </c>
      <c r="O130" s="89">
        <v>2800</v>
      </c>
      <c r="P130" s="89">
        <v>3060</v>
      </c>
      <c r="Q130" s="89">
        <v>3060</v>
      </c>
      <c r="R130" s="89">
        <v>0</v>
      </c>
      <c r="S130" s="89"/>
    </row>
    <row r="131" spans="1:19" s="67" customFormat="1">
      <c r="B131" s="67" t="s">
        <v>300</v>
      </c>
      <c r="C131" s="67">
        <f t="shared" ref="C131:P131" si="7">C129-0.5</f>
        <v>8</v>
      </c>
      <c r="D131" s="67">
        <f t="shared" si="7"/>
        <v>8</v>
      </c>
      <c r="E131" s="67">
        <f t="shared" si="7"/>
        <v>7.9996112667690227</v>
      </c>
      <c r="F131" s="67">
        <f t="shared" si="7"/>
        <v>7.704337885640939</v>
      </c>
      <c r="G131" s="67">
        <f t="shared" si="7"/>
        <v>7.3567185553229528</v>
      </c>
      <c r="H131" s="67">
        <f t="shared" si="7"/>
        <v>6.9713502558562404</v>
      </c>
      <c r="I131" s="67">
        <f t="shared" si="7"/>
        <v>6.5482329872408034</v>
      </c>
      <c r="J131" s="67">
        <f t="shared" si="7"/>
        <v>6.0873667494766419</v>
      </c>
      <c r="K131" s="132">
        <f t="shared" si="7"/>
        <v>5.5887515425637559</v>
      </c>
      <c r="L131" s="132">
        <f t="shared" si="7"/>
        <v>5.0523873665021437</v>
      </c>
      <c r="M131" s="132">
        <f t="shared" si="7"/>
        <v>4.4782742212918079</v>
      </c>
      <c r="N131" s="132">
        <f t="shared" si="7"/>
        <v>3.8664121069327457</v>
      </c>
      <c r="O131" s="132">
        <f t="shared" si="7"/>
        <v>3.21680102342496</v>
      </c>
      <c r="P131" s="132">
        <f t="shared" si="7"/>
        <v>2.3158719059874944</v>
      </c>
      <c r="Q131" s="132">
        <v>1.44</v>
      </c>
      <c r="R131" s="132">
        <v>1.44</v>
      </c>
      <c r="S131" s="132"/>
    </row>
    <row r="132" spans="1:19">
      <c r="D132" s="135"/>
      <c r="E132" s="135"/>
      <c r="F132" s="135"/>
      <c r="G132" s="135"/>
      <c r="H132" s="135"/>
      <c r="I132" s="135"/>
      <c r="J132" s="135"/>
      <c r="K132" s="136"/>
      <c r="L132" s="136"/>
      <c r="M132" s="136"/>
      <c r="N132" s="136"/>
      <c r="O132" s="136"/>
      <c r="P132" s="89"/>
      <c r="Q132" s="89"/>
      <c r="R132" s="89"/>
      <c r="S132" s="89"/>
    </row>
    <row r="133" spans="1:19">
      <c r="A133" s="39" t="s">
        <v>388</v>
      </c>
      <c r="B133" s="39" t="s">
        <v>324</v>
      </c>
      <c r="C133" s="39">
        <v>0</v>
      </c>
      <c r="D133" s="135">
        <v>2502</v>
      </c>
      <c r="E133" s="135">
        <v>2502</v>
      </c>
      <c r="F133" s="135">
        <v>3000</v>
      </c>
      <c r="G133" s="135">
        <v>3500</v>
      </c>
      <c r="H133" s="135">
        <v>4000</v>
      </c>
      <c r="I133" s="135">
        <v>4500</v>
      </c>
      <c r="J133" s="135">
        <v>5000</v>
      </c>
      <c r="K133" s="136">
        <v>5272</v>
      </c>
      <c r="L133" s="136">
        <v>5272</v>
      </c>
      <c r="M133" s="136">
        <v>0</v>
      </c>
      <c r="N133" s="136"/>
      <c r="O133" s="136"/>
      <c r="P133" s="89"/>
    </row>
    <row r="134" spans="1:19" s="67" customFormat="1">
      <c r="B134" s="67" t="s">
        <v>305</v>
      </c>
      <c r="C134" s="67">
        <v>3.7</v>
      </c>
      <c r="D134" s="133">
        <v>3.7</v>
      </c>
      <c r="E134" s="137">
        <f>-2*10^(-8)*E133^2-1.5*10^(-4)*E133+4.092-(E133/1000)^2/4^2+0.5</f>
        <v>3.7002496699999998</v>
      </c>
      <c r="F134" s="137">
        <f t="shared" ref="F134:L134" si="8">-2*10^(-8)*F133^2-1.5*10^(-4)*F133+4.092-(F133/1000)^2/4^2+0.5</f>
        <v>3.3994999999999997</v>
      </c>
      <c r="G134" s="137">
        <f t="shared" si="8"/>
        <v>3.0563749999999996</v>
      </c>
      <c r="H134" s="137">
        <f t="shared" si="8"/>
        <v>2.6719999999999997</v>
      </c>
      <c r="I134" s="137">
        <f t="shared" si="8"/>
        <v>2.2463749999999996</v>
      </c>
      <c r="J134" s="137">
        <f t="shared" si="8"/>
        <v>1.7794999999999996</v>
      </c>
      <c r="K134" s="137">
        <f t="shared" si="8"/>
        <v>1.5081963199999993</v>
      </c>
      <c r="L134" s="137">
        <f t="shared" si="8"/>
        <v>1.5081963199999993</v>
      </c>
      <c r="M134" s="134">
        <v>1.51</v>
      </c>
      <c r="N134" s="134"/>
      <c r="O134" s="134"/>
      <c r="P134" s="132"/>
    </row>
    <row r="135" spans="1:19">
      <c r="A135" s="39" t="s">
        <v>388</v>
      </c>
      <c r="B135" s="39" t="s">
        <v>324</v>
      </c>
      <c r="C135" s="39">
        <v>0</v>
      </c>
      <c r="D135" s="135">
        <v>2502</v>
      </c>
      <c r="E135" s="135">
        <v>2502</v>
      </c>
      <c r="F135" s="135">
        <v>3000</v>
      </c>
      <c r="G135" s="135">
        <v>3500</v>
      </c>
      <c r="H135" s="135">
        <v>4000</v>
      </c>
      <c r="I135" s="135">
        <v>4500</v>
      </c>
      <c r="J135" s="135">
        <v>5000</v>
      </c>
      <c r="K135" s="136">
        <v>5272</v>
      </c>
      <c r="L135" s="136">
        <v>5272</v>
      </c>
      <c r="M135" s="136">
        <v>0</v>
      </c>
      <c r="N135" s="136"/>
      <c r="O135" s="136"/>
      <c r="P135" s="89"/>
    </row>
    <row r="136" spans="1:19" s="67" customFormat="1">
      <c r="B136" s="67" t="s">
        <v>300</v>
      </c>
      <c r="C136" s="67">
        <f t="shared" ref="C136:K136" si="9">C134-0.5</f>
        <v>3.2</v>
      </c>
      <c r="D136" s="67">
        <f t="shared" si="9"/>
        <v>3.2</v>
      </c>
      <c r="E136" s="67">
        <f t="shared" si="9"/>
        <v>3.2002496699999998</v>
      </c>
      <c r="F136" s="67">
        <f t="shared" si="9"/>
        <v>2.8994999999999997</v>
      </c>
      <c r="G136" s="67">
        <f t="shared" si="9"/>
        <v>2.5563749999999996</v>
      </c>
      <c r="H136" s="67">
        <f t="shared" si="9"/>
        <v>2.1719999999999997</v>
      </c>
      <c r="I136" s="67">
        <f t="shared" si="9"/>
        <v>1.7463749999999996</v>
      </c>
      <c r="J136" s="67">
        <f t="shared" si="9"/>
        <v>1.2794999999999996</v>
      </c>
      <c r="K136" s="132">
        <f t="shared" si="9"/>
        <v>1.0081963199999993</v>
      </c>
      <c r="L136" s="132">
        <v>1.01</v>
      </c>
      <c r="M136" s="132">
        <v>1.01</v>
      </c>
      <c r="N136" s="132"/>
      <c r="O136" s="132"/>
      <c r="P136" s="132"/>
    </row>
    <row r="137" spans="1:19">
      <c r="D137" s="135"/>
      <c r="E137" s="135"/>
      <c r="F137" s="135"/>
      <c r="G137" s="135"/>
      <c r="H137" s="135"/>
      <c r="I137" s="135"/>
      <c r="J137" s="135"/>
      <c r="K137" s="136"/>
      <c r="L137" s="136"/>
      <c r="M137" s="136"/>
      <c r="N137" s="136"/>
      <c r="O137" s="136"/>
      <c r="P137" s="89"/>
    </row>
    <row r="138" spans="1:19">
      <c r="A138" s="39" t="s">
        <v>391</v>
      </c>
      <c r="B138" s="39" t="s">
        <v>324</v>
      </c>
      <c r="C138" s="39">
        <v>0</v>
      </c>
      <c r="D138" s="135">
        <v>2726</v>
      </c>
      <c r="E138" s="135">
        <v>2726</v>
      </c>
      <c r="F138" s="135">
        <v>3000</v>
      </c>
      <c r="G138" s="135">
        <v>3500</v>
      </c>
      <c r="H138" s="135">
        <v>4000</v>
      </c>
      <c r="I138" s="135">
        <v>4500</v>
      </c>
      <c r="J138" s="135">
        <v>5000</v>
      </c>
      <c r="K138" s="136">
        <v>5500</v>
      </c>
      <c r="L138" s="136">
        <v>5881</v>
      </c>
      <c r="M138" s="136">
        <v>5881</v>
      </c>
      <c r="N138" s="136">
        <v>0</v>
      </c>
      <c r="O138" s="136"/>
      <c r="P138" s="89"/>
    </row>
    <row r="139" spans="1:19" s="67" customFormat="1">
      <c r="B139" s="67" t="s">
        <v>305</v>
      </c>
      <c r="C139" s="67">
        <v>4.7</v>
      </c>
      <c r="D139" s="133">
        <v>4.7</v>
      </c>
      <c r="E139" s="138">
        <f>-3*10^(-7.9554)*E138^2-10^(-4)*E138+5.1858 -(E138/1000)^2/4^2+0.5</f>
        <v>4.7017145195548942</v>
      </c>
      <c r="F139" s="138">
        <f t="shared" ref="F139:M139" si="10">-3*10^(-7.9554)*F138^2-10^(-4)*F138+5.1858 -(F138/1000)^2/4^2+0.5</f>
        <v>4.5240985015890089</v>
      </c>
      <c r="G139" s="138">
        <f t="shared" si="10"/>
        <v>4.1629285160517071</v>
      </c>
      <c r="H139" s="138">
        <f t="shared" si="10"/>
        <v>3.7538862250471272</v>
      </c>
      <c r="I139" s="138">
        <f t="shared" si="10"/>
        <v>3.296971628575271</v>
      </c>
      <c r="J139" s="138">
        <f t="shared" si="10"/>
        <v>2.7921847266361368</v>
      </c>
      <c r="K139" s="138">
        <f t="shared" si="10"/>
        <v>2.2395255192297254</v>
      </c>
      <c r="L139" s="138">
        <f t="shared" si="10"/>
        <v>1.7862614713351359</v>
      </c>
      <c r="M139" s="138">
        <f t="shared" si="10"/>
        <v>1.7862614713351359</v>
      </c>
      <c r="N139" s="134">
        <v>1.79</v>
      </c>
      <c r="O139" s="134"/>
      <c r="P139" s="132"/>
      <c r="Q139" s="132"/>
      <c r="R139" s="132"/>
    </row>
    <row r="140" spans="1:19">
      <c r="A140" s="39" t="s">
        <v>391</v>
      </c>
      <c r="B140" s="39" t="s">
        <v>324</v>
      </c>
      <c r="C140" s="39">
        <v>0</v>
      </c>
      <c r="D140" s="135">
        <v>2726</v>
      </c>
      <c r="E140" s="135">
        <v>2726</v>
      </c>
      <c r="F140" s="135">
        <v>3000</v>
      </c>
      <c r="G140" s="135">
        <v>3500</v>
      </c>
      <c r="H140" s="135">
        <v>4000</v>
      </c>
      <c r="I140" s="135">
        <v>4500</v>
      </c>
      <c r="J140" s="135">
        <v>5000</v>
      </c>
      <c r="K140" s="136">
        <v>5500</v>
      </c>
      <c r="L140" s="136">
        <v>5881</v>
      </c>
      <c r="M140" s="136">
        <v>5881</v>
      </c>
      <c r="N140" s="136">
        <v>0</v>
      </c>
      <c r="O140" s="136"/>
      <c r="P140" s="89"/>
    </row>
    <row r="141" spans="1:19" s="67" customFormat="1">
      <c r="B141" s="67" t="s">
        <v>300</v>
      </c>
      <c r="C141" s="67">
        <f t="shared" ref="C141:L141" si="11">C139-0.5</f>
        <v>4.2</v>
      </c>
      <c r="D141" s="67">
        <f t="shared" si="11"/>
        <v>4.2</v>
      </c>
      <c r="E141" s="67">
        <f t="shared" si="11"/>
        <v>4.2017145195548942</v>
      </c>
      <c r="F141" s="67">
        <f t="shared" si="11"/>
        <v>4.0240985015890089</v>
      </c>
      <c r="G141" s="67">
        <f t="shared" si="11"/>
        <v>3.6629285160517071</v>
      </c>
      <c r="H141" s="67">
        <f t="shared" si="11"/>
        <v>3.2538862250471272</v>
      </c>
      <c r="I141" s="67">
        <f t="shared" si="11"/>
        <v>2.796971628575271</v>
      </c>
      <c r="J141" s="67">
        <f t="shared" si="11"/>
        <v>2.2921847266361368</v>
      </c>
      <c r="K141" s="132">
        <f t="shared" si="11"/>
        <v>1.7395255192297254</v>
      </c>
      <c r="L141" s="132">
        <f t="shared" si="11"/>
        <v>1.2862614713351359</v>
      </c>
      <c r="M141" s="132">
        <v>1.29</v>
      </c>
      <c r="N141" s="132">
        <v>1.29</v>
      </c>
      <c r="O141" s="132"/>
      <c r="P141" s="132"/>
      <c r="Q141" s="132"/>
      <c r="R141" s="132"/>
    </row>
    <row r="142" spans="1:19">
      <c r="D142" s="135"/>
      <c r="E142" s="135"/>
      <c r="F142" s="135"/>
      <c r="G142" s="135"/>
      <c r="H142" s="135"/>
      <c r="I142" s="135"/>
      <c r="J142" s="135"/>
      <c r="K142" s="136"/>
      <c r="L142" s="136"/>
      <c r="M142" s="136"/>
      <c r="N142" s="136"/>
      <c r="O142" s="136"/>
      <c r="P142" s="89"/>
      <c r="Q142" s="89"/>
      <c r="R142" s="89"/>
    </row>
    <row r="143" spans="1:19">
      <c r="A143" s="39" t="s">
        <v>394</v>
      </c>
      <c r="B143" s="39" t="s">
        <v>324</v>
      </c>
      <c r="C143" s="39">
        <v>0</v>
      </c>
      <c r="D143" s="135">
        <v>1820</v>
      </c>
      <c r="E143" s="135">
        <v>1820</v>
      </c>
      <c r="F143" s="135">
        <v>3000</v>
      </c>
      <c r="G143" s="135">
        <v>3500</v>
      </c>
      <c r="H143" s="135">
        <v>4000</v>
      </c>
      <c r="I143" s="135">
        <v>4500</v>
      </c>
      <c r="J143" s="135">
        <v>5000</v>
      </c>
      <c r="K143" s="136">
        <v>5500</v>
      </c>
      <c r="L143" s="136">
        <v>6000</v>
      </c>
      <c r="M143" s="136">
        <v>6000</v>
      </c>
      <c r="N143" s="136">
        <v>0</v>
      </c>
      <c r="O143" s="136"/>
      <c r="P143" s="89"/>
      <c r="Q143" s="89"/>
      <c r="R143" s="89"/>
    </row>
    <row r="144" spans="1:19" s="67" customFormat="1">
      <c r="B144" s="67" t="s">
        <v>305</v>
      </c>
      <c r="C144" s="67">
        <v>6.5</v>
      </c>
      <c r="D144" s="133">
        <v>6.5</v>
      </c>
      <c r="E144" s="138">
        <f>-3*10^(-7.956)*E143^2-3*10^(-4)*E143+6.8821 -(E143/1000)^2/3.8^2+0.5</f>
        <v>6.4967419996211202</v>
      </c>
      <c r="F144" s="138">
        <f t="shared" ref="F144:L144" si="12">-3*10^(-7.956)*F143^2-3*10^(-4)*F143+6.8821 -(F143/1000)^2/3.8^2+0.5</f>
        <v>5.5600428802650894</v>
      </c>
      <c r="G144" s="138">
        <f t="shared" si="12"/>
        <v>5.0770778092497046</v>
      </c>
      <c r="H144" s="138">
        <f t="shared" si="12"/>
        <v>4.5428873426934917</v>
      </c>
      <c r="I144" s="138">
        <f t="shared" si="12"/>
        <v>3.957471480596451</v>
      </c>
      <c r="J144" s="138">
        <f t="shared" si="12"/>
        <v>3.3208302229585804</v>
      </c>
      <c r="K144" s="138">
        <f t="shared" si="12"/>
        <v>2.6329635697798834</v>
      </c>
      <c r="L144" s="138">
        <f t="shared" si="12"/>
        <v>1.8938715210603565</v>
      </c>
      <c r="M144" s="138">
        <v>1.86</v>
      </c>
      <c r="N144" s="138">
        <v>1.86</v>
      </c>
      <c r="O144" s="134"/>
      <c r="P144" s="132"/>
      <c r="Q144" s="132"/>
      <c r="R144" s="132"/>
    </row>
    <row r="145" spans="1:18">
      <c r="A145" s="39" t="s">
        <v>394</v>
      </c>
      <c r="B145" s="39" t="s">
        <v>324</v>
      </c>
      <c r="C145" s="39">
        <v>0</v>
      </c>
      <c r="D145" s="135">
        <v>1820</v>
      </c>
      <c r="E145" s="135">
        <v>1820</v>
      </c>
      <c r="F145" s="135">
        <v>3000</v>
      </c>
      <c r="G145" s="135">
        <v>3500</v>
      </c>
      <c r="H145" s="135">
        <v>4000</v>
      </c>
      <c r="I145" s="135">
        <v>4500</v>
      </c>
      <c r="J145" s="135">
        <v>5000</v>
      </c>
      <c r="K145" s="136">
        <v>5500</v>
      </c>
      <c r="L145" s="136">
        <v>6000</v>
      </c>
      <c r="M145" s="136">
        <v>6000</v>
      </c>
      <c r="N145" s="136">
        <v>0</v>
      </c>
      <c r="O145" s="136"/>
      <c r="P145" s="89"/>
      <c r="Q145" s="89"/>
      <c r="R145" s="89"/>
    </row>
    <row r="146" spans="1:18" s="67" customFormat="1">
      <c r="B146" s="67" t="s">
        <v>300</v>
      </c>
      <c r="C146" s="67">
        <f t="shared" ref="C146:L146" si="13">C144-0.5</f>
        <v>6</v>
      </c>
      <c r="D146" s="67">
        <f t="shared" si="13"/>
        <v>6</v>
      </c>
      <c r="E146" s="67">
        <f t="shared" si="13"/>
        <v>5.9967419996211202</v>
      </c>
      <c r="F146" s="67">
        <f t="shared" si="13"/>
        <v>5.0600428802650894</v>
      </c>
      <c r="G146" s="67">
        <f t="shared" si="13"/>
        <v>4.5770778092497046</v>
      </c>
      <c r="H146" s="67">
        <f t="shared" si="13"/>
        <v>4.0428873426934917</v>
      </c>
      <c r="I146" s="67">
        <f t="shared" si="13"/>
        <v>3.457471480596451</v>
      </c>
      <c r="J146" s="67">
        <f t="shared" si="13"/>
        <v>2.8208302229585804</v>
      </c>
      <c r="K146" s="132">
        <f t="shared" si="13"/>
        <v>2.1329635697798834</v>
      </c>
      <c r="L146" s="132">
        <f t="shared" si="13"/>
        <v>1.3938715210603565</v>
      </c>
      <c r="M146" s="132">
        <v>1.36</v>
      </c>
      <c r="N146" s="132">
        <v>1.36</v>
      </c>
      <c r="O146" s="132"/>
      <c r="P146" s="132"/>
      <c r="Q146" s="132"/>
      <c r="R146" s="132"/>
    </row>
    <row r="147" spans="1:18">
      <c r="D147" s="135"/>
      <c r="E147" s="135"/>
      <c r="F147" s="135"/>
      <c r="G147" s="135"/>
      <c r="H147" s="135"/>
      <c r="I147" s="135"/>
      <c r="J147" s="135"/>
      <c r="K147" s="136"/>
      <c r="L147" s="136"/>
      <c r="M147" s="136"/>
      <c r="N147" s="136"/>
      <c r="O147" s="136"/>
      <c r="P147" s="89"/>
      <c r="Q147" s="89"/>
      <c r="R147" s="89"/>
    </row>
    <row r="148" spans="1:18">
      <c r="A148" s="39" t="s">
        <v>397</v>
      </c>
      <c r="B148" s="39" t="s">
        <v>324</v>
      </c>
      <c r="C148" s="39">
        <v>0</v>
      </c>
      <c r="D148" s="135">
        <v>1590</v>
      </c>
      <c r="E148" s="135">
        <v>1590</v>
      </c>
      <c r="F148" s="135">
        <v>3000</v>
      </c>
      <c r="G148" s="135">
        <v>3500</v>
      </c>
      <c r="H148" s="135">
        <v>4000</v>
      </c>
      <c r="I148" s="135">
        <v>4500</v>
      </c>
      <c r="J148" s="135">
        <v>5000</v>
      </c>
      <c r="K148" s="136">
        <v>5500</v>
      </c>
      <c r="L148" s="136">
        <v>6120</v>
      </c>
      <c r="M148" s="136">
        <v>6120</v>
      </c>
      <c r="N148" s="136">
        <v>0</v>
      </c>
      <c r="O148" s="136"/>
      <c r="P148" s="89"/>
      <c r="Q148" s="89"/>
      <c r="R148" s="89"/>
    </row>
    <row r="149" spans="1:18" s="139" customFormat="1">
      <c r="B149" s="139" t="s">
        <v>305</v>
      </c>
      <c r="C149" s="139">
        <v>8.5</v>
      </c>
      <c r="D149" s="140">
        <v>8.5</v>
      </c>
      <c r="E149" s="138">
        <f>-1.5*10^(-7.8)*E148^2.04-4*10^(-4)*E148+8.91 -(E148/1000)^2/3.712^2+0.5</f>
        <v>8.5098117910343181</v>
      </c>
      <c r="F149" s="138">
        <f t="shared" ref="F149:L149" si="14">-1.5*10^(-7.8)*F148^2.04-4*10^(-4)*F148+8.91 -(F148/1000)^2/3.712^2+0.5</f>
        <v>7.2621033667484269</v>
      </c>
      <c r="G149" s="138">
        <f t="shared" si="14"/>
        <v>6.7173261860916877</v>
      </c>
      <c r="H149" s="138">
        <f t="shared" si="14"/>
        <v>6.1187862781332267</v>
      </c>
      <c r="I149" s="138">
        <f t="shared" si="14"/>
        <v>5.4663897813383118</v>
      </c>
      <c r="J149" s="138">
        <f t="shared" si="14"/>
        <v>4.7600535393543408</v>
      </c>
      <c r="K149" s="138">
        <f t="shared" si="14"/>
        <v>3.9997028665134433</v>
      </c>
      <c r="L149" s="138">
        <f t="shared" si="14"/>
        <v>2.9817516055737787</v>
      </c>
      <c r="M149" s="138">
        <v>1.94</v>
      </c>
      <c r="N149" s="138">
        <v>1.94</v>
      </c>
      <c r="O149" s="141"/>
      <c r="P149" s="142"/>
      <c r="Q149" s="142"/>
      <c r="R149" s="142"/>
    </row>
    <row r="150" spans="1:18">
      <c r="A150" s="39" t="s">
        <v>397</v>
      </c>
      <c r="B150" s="39" t="s">
        <v>324</v>
      </c>
      <c r="C150" s="39">
        <v>0</v>
      </c>
      <c r="D150" s="135">
        <v>1590</v>
      </c>
      <c r="E150" s="135">
        <v>1590</v>
      </c>
      <c r="F150" s="135">
        <v>3000</v>
      </c>
      <c r="G150" s="135">
        <v>3500</v>
      </c>
      <c r="H150" s="135">
        <v>4000</v>
      </c>
      <c r="I150" s="135">
        <v>4500</v>
      </c>
      <c r="J150" s="135">
        <v>5000</v>
      </c>
      <c r="K150" s="136">
        <v>5500</v>
      </c>
      <c r="L150" s="136">
        <v>6120</v>
      </c>
      <c r="M150" s="136">
        <v>6120</v>
      </c>
      <c r="N150" s="136">
        <v>0</v>
      </c>
      <c r="O150" s="136"/>
      <c r="P150" s="89"/>
      <c r="Q150" s="89"/>
      <c r="R150" s="89"/>
    </row>
    <row r="151" spans="1:18" s="67" customFormat="1">
      <c r="B151" s="67" t="s">
        <v>300</v>
      </c>
      <c r="C151" s="67">
        <f t="shared" ref="C151:L151" si="15">C149-0.5</f>
        <v>8</v>
      </c>
      <c r="D151" s="67">
        <f t="shared" si="15"/>
        <v>8</v>
      </c>
      <c r="E151" s="67">
        <f t="shared" si="15"/>
        <v>8.0098117910343181</v>
      </c>
      <c r="F151" s="67">
        <f t="shared" si="15"/>
        <v>6.7621033667484269</v>
      </c>
      <c r="G151" s="67">
        <f t="shared" si="15"/>
        <v>6.2173261860916877</v>
      </c>
      <c r="H151" s="67">
        <f t="shared" si="15"/>
        <v>5.6187862781332267</v>
      </c>
      <c r="I151" s="67">
        <f t="shared" si="15"/>
        <v>4.9663897813383118</v>
      </c>
      <c r="J151" s="67">
        <f t="shared" si="15"/>
        <v>4.2600535393543408</v>
      </c>
      <c r="K151" s="132">
        <f t="shared" si="15"/>
        <v>3.4997028665134433</v>
      </c>
      <c r="L151" s="132">
        <f t="shared" si="15"/>
        <v>2.4817516055737787</v>
      </c>
      <c r="M151" s="132">
        <v>1.44</v>
      </c>
      <c r="N151" s="132">
        <v>1.44</v>
      </c>
      <c r="O151" s="132"/>
      <c r="P151" s="132"/>
      <c r="Q151" s="132"/>
      <c r="R151" s="132"/>
    </row>
    <row r="152" spans="1:18">
      <c r="K152" s="89"/>
      <c r="L152" s="89"/>
      <c r="M152" s="89"/>
      <c r="N152" s="89"/>
      <c r="O152" s="89"/>
      <c r="P152" s="89"/>
    </row>
    <row r="153" spans="1:18">
      <c r="A153" s="124" t="s">
        <v>465</v>
      </c>
      <c r="B153" s="39" t="s">
        <v>324</v>
      </c>
      <c r="C153" s="39">
        <v>0</v>
      </c>
      <c r="D153" s="135">
        <v>3367</v>
      </c>
      <c r="E153" s="135">
        <v>3367</v>
      </c>
      <c r="F153" s="135">
        <v>3500</v>
      </c>
      <c r="G153" s="135">
        <v>3750</v>
      </c>
      <c r="H153" s="135">
        <v>4000</v>
      </c>
      <c r="I153" s="135">
        <v>4250</v>
      </c>
      <c r="J153" s="135">
        <v>4500</v>
      </c>
      <c r="K153" s="135">
        <v>4750</v>
      </c>
      <c r="L153" s="135">
        <v>5000</v>
      </c>
      <c r="M153" s="135">
        <v>5000</v>
      </c>
      <c r="N153" s="136">
        <v>0</v>
      </c>
      <c r="O153" s="89"/>
      <c r="P153" s="89"/>
    </row>
    <row r="154" spans="1:18">
      <c r="A154" s="139"/>
      <c r="B154" s="139" t="s">
        <v>305</v>
      </c>
      <c r="C154" s="139">
        <v>14.2</v>
      </c>
      <c r="D154" s="140">
        <v>14.2</v>
      </c>
      <c r="E154" s="138">
        <f>-2*10^(-7)*E153^2.03-3*10^(-4)*E153+19 -(E153/1000)^2/2.85^2+0.5</f>
        <v>14.201285080344256</v>
      </c>
      <c r="F154" s="138">
        <f t="shared" ref="F154:M154" si="16">-2*10^(-7)*F153^2.03-3*10^(-4)*F153+19 -(F153/1000)^2/2.85^2+0.5</f>
        <v>13.81224874192878</v>
      </c>
      <c r="G154" s="138">
        <f t="shared" si="16"/>
        <v>13.043607139499027</v>
      </c>
      <c r="H154" s="138">
        <f t="shared" si="16"/>
        <v>12.226121302463238</v>
      </c>
      <c r="I154" s="138">
        <f t="shared" si="16"/>
        <v>11.359726350393373</v>
      </c>
      <c r="J154" s="138">
        <f t="shared" si="16"/>
        <v>10.444361227750591</v>
      </c>
      <c r="K154" s="138">
        <f t="shared" si="16"/>
        <v>9.4799682718140375</v>
      </c>
      <c r="L154" s="138">
        <f t="shared" si="16"/>
        <v>8.4664928502543653</v>
      </c>
      <c r="M154" s="138">
        <f t="shared" si="16"/>
        <v>8.4664928502543653</v>
      </c>
      <c r="N154" s="138">
        <f>M154</f>
        <v>8.4664928502543653</v>
      </c>
      <c r="O154" s="89"/>
      <c r="P154" s="89"/>
    </row>
    <row r="155" spans="1:18">
      <c r="A155" s="124" t="s">
        <v>465</v>
      </c>
      <c r="B155" s="39" t="s">
        <v>324</v>
      </c>
      <c r="C155" s="39">
        <f>C153</f>
        <v>0</v>
      </c>
      <c r="D155" s="39">
        <f t="shared" ref="D155:M155" si="17">D153</f>
        <v>3367</v>
      </c>
      <c r="E155" s="39">
        <f t="shared" si="17"/>
        <v>3367</v>
      </c>
      <c r="F155" s="39">
        <f t="shared" si="17"/>
        <v>3500</v>
      </c>
      <c r="G155" s="39">
        <f t="shared" si="17"/>
        <v>3750</v>
      </c>
      <c r="H155" s="39">
        <f t="shared" si="17"/>
        <v>4000</v>
      </c>
      <c r="I155" s="39">
        <f t="shared" si="17"/>
        <v>4250</v>
      </c>
      <c r="J155" s="39">
        <f t="shared" si="17"/>
        <v>4500</v>
      </c>
      <c r="K155" s="89">
        <f t="shared" si="17"/>
        <v>4750</v>
      </c>
      <c r="L155" s="89">
        <f t="shared" si="17"/>
        <v>5000</v>
      </c>
      <c r="M155" s="89">
        <f t="shared" si="17"/>
        <v>5000</v>
      </c>
      <c r="N155" s="136">
        <v>0</v>
      </c>
      <c r="O155" s="89"/>
      <c r="P155" s="89"/>
    </row>
    <row r="156" spans="1:18">
      <c r="A156" s="67"/>
      <c r="B156" s="67" t="s">
        <v>300</v>
      </c>
      <c r="C156" s="67">
        <f t="shared" ref="C156:N156" si="18">C154-0.5</f>
        <v>13.7</v>
      </c>
      <c r="D156" s="67">
        <f t="shared" si="18"/>
        <v>13.7</v>
      </c>
      <c r="E156" s="67">
        <f t="shared" si="18"/>
        <v>13.701285080344256</v>
      </c>
      <c r="F156" s="67">
        <f t="shared" si="18"/>
        <v>13.31224874192878</v>
      </c>
      <c r="G156" s="67">
        <f t="shared" si="18"/>
        <v>12.543607139499027</v>
      </c>
      <c r="H156" s="67">
        <f t="shared" si="18"/>
        <v>11.726121302463238</v>
      </c>
      <c r="I156" s="67">
        <f t="shared" si="18"/>
        <v>10.859726350393373</v>
      </c>
      <c r="J156" s="67">
        <f t="shared" si="18"/>
        <v>9.9443612277505906</v>
      </c>
      <c r="K156" s="132">
        <f t="shared" si="18"/>
        <v>8.9799682718140375</v>
      </c>
      <c r="L156" s="132">
        <f t="shared" si="18"/>
        <v>7.9664928502543653</v>
      </c>
      <c r="M156" s="132">
        <f t="shared" si="18"/>
        <v>7.9664928502543653</v>
      </c>
      <c r="N156" s="132">
        <f t="shared" si="18"/>
        <v>7.9664928502543653</v>
      </c>
      <c r="O156" s="89"/>
      <c r="P156" s="89"/>
    </row>
    <row r="157" spans="1:18">
      <c r="K157" s="89"/>
      <c r="L157" s="89"/>
      <c r="M157" s="89"/>
      <c r="N157" s="89"/>
      <c r="O157" s="89"/>
      <c r="P157" s="89"/>
    </row>
    <row r="158" spans="1:18">
      <c r="A158" s="124" t="s">
        <v>466</v>
      </c>
      <c r="B158" s="39" t="s">
        <v>324</v>
      </c>
      <c r="C158" s="39">
        <v>0</v>
      </c>
      <c r="D158" s="135">
        <v>3773</v>
      </c>
      <c r="E158" s="135">
        <v>3773</v>
      </c>
      <c r="F158" s="135">
        <v>4000</v>
      </c>
      <c r="G158" s="135">
        <v>4250</v>
      </c>
      <c r="H158" s="135">
        <v>4500</v>
      </c>
      <c r="I158" s="135">
        <v>4750</v>
      </c>
      <c r="J158" s="136">
        <v>5000</v>
      </c>
      <c r="K158" s="136">
        <v>5000</v>
      </c>
      <c r="L158" s="136">
        <v>5000</v>
      </c>
      <c r="M158" s="136">
        <v>5000</v>
      </c>
      <c r="N158" s="136">
        <v>0</v>
      </c>
      <c r="O158" s="89"/>
      <c r="P158" s="89"/>
    </row>
    <row r="159" spans="1:18">
      <c r="A159" s="142"/>
      <c r="B159" s="139" t="s">
        <v>305</v>
      </c>
      <c r="C159" s="139">
        <v>14.2</v>
      </c>
      <c r="D159" s="140">
        <v>14.2</v>
      </c>
      <c r="E159" s="138">
        <f>-2*10^(-7)*E158^2.02+4*10^(-4)*E158+18.239 -(E158/1000)^2/2.3^2+0.5</f>
        <v>14.200281932031054</v>
      </c>
      <c r="F159" s="138">
        <f t="shared" ref="F159:M159" si="19">-2*10^(-7)*F158^2.02+4*10^(-4)*F158+18.239 -(F158/1000)^2/2.3^2+0.5</f>
        <v>13.537040967977074</v>
      </c>
      <c r="G159" s="138">
        <f t="shared" si="19"/>
        <v>12.75505235363878</v>
      </c>
      <c r="H159" s="138">
        <f t="shared" si="19"/>
        <v>11.918995495285197</v>
      </c>
      <c r="I159" s="138">
        <f t="shared" si="19"/>
        <v>11.028835557772318</v>
      </c>
      <c r="J159" s="138">
        <f t="shared" si="19"/>
        <v>10.084539555050522</v>
      </c>
      <c r="K159" s="138">
        <f t="shared" si="19"/>
        <v>10.084539555050522</v>
      </c>
      <c r="L159" s="138">
        <f t="shared" si="19"/>
        <v>10.084539555050522</v>
      </c>
      <c r="M159" s="138">
        <f t="shared" si="19"/>
        <v>10.084539555050522</v>
      </c>
      <c r="N159" s="138">
        <v>10.08</v>
      </c>
      <c r="O159" s="89"/>
      <c r="P159" s="89"/>
    </row>
    <row r="160" spans="1:18">
      <c r="A160" s="124" t="s">
        <v>466</v>
      </c>
      <c r="B160" s="39" t="s">
        <v>324</v>
      </c>
      <c r="C160" s="39">
        <f>C158</f>
        <v>0</v>
      </c>
      <c r="D160" s="39">
        <f t="shared" ref="D160:M160" si="20">D158</f>
        <v>3773</v>
      </c>
      <c r="E160" s="39">
        <f t="shared" si="20"/>
        <v>3773</v>
      </c>
      <c r="F160" s="39">
        <f t="shared" si="20"/>
        <v>4000</v>
      </c>
      <c r="G160" s="39">
        <f t="shared" si="20"/>
        <v>4250</v>
      </c>
      <c r="H160" s="39">
        <f t="shared" si="20"/>
        <v>4500</v>
      </c>
      <c r="I160" s="39">
        <f t="shared" si="20"/>
        <v>4750</v>
      </c>
      <c r="J160" s="39">
        <f t="shared" si="20"/>
        <v>5000</v>
      </c>
      <c r="K160" s="89">
        <f t="shared" si="20"/>
        <v>5000</v>
      </c>
      <c r="L160" s="89">
        <f t="shared" si="20"/>
        <v>5000</v>
      </c>
      <c r="M160" s="89">
        <f t="shared" si="20"/>
        <v>5000</v>
      </c>
      <c r="N160" s="136">
        <v>0</v>
      </c>
      <c r="O160" s="89"/>
      <c r="P160" s="89"/>
    </row>
    <row r="161" spans="1:16">
      <c r="A161" s="132"/>
      <c r="B161" s="67" t="s">
        <v>300</v>
      </c>
      <c r="C161" s="67">
        <f t="shared" ref="C161:N161" si="21">C159-0.5</f>
        <v>13.7</v>
      </c>
      <c r="D161" s="67">
        <f t="shared" si="21"/>
        <v>13.7</v>
      </c>
      <c r="E161" s="67">
        <f t="shared" si="21"/>
        <v>13.700281932031054</v>
      </c>
      <c r="F161" s="67">
        <f t="shared" si="21"/>
        <v>13.037040967977074</v>
      </c>
      <c r="G161" s="67">
        <f t="shared" si="21"/>
        <v>12.25505235363878</v>
      </c>
      <c r="H161" s="67">
        <f t="shared" si="21"/>
        <v>11.418995495285197</v>
      </c>
      <c r="I161" s="67">
        <f t="shared" si="21"/>
        <v>10.528835557772318</v>
      </c>
      <c r="J161" s="67">
        <f t="shared" si="21"/>
        <v>9.5845395550505224</v>
      </c>
      <c r="K161" s="132">
        <f t="shared" si="21"/>
        <v>9.5845395550505224</v>
      </c>
      <c r="L161" s="132">
        <f t="shared" si="21"/>
        <v>9.5845395550505224</v>
      </c>
      <c r="M161" s="132">
        <f t="shared" si="21"/>
        <v>9.5845395550505224</v>
      </c>
      <c r="N161" s="132">
        <f t="shared" si="21"/>
        <v>9.58</v>
      </c>
      <c r="O161" s="89"/>
      <c r="P161" s="89"/>
    </row>
    <row r="162" spans="1:16">
      <c r="K162" s="89"/>
      <c r="L162" s="89"/>
      <c r="M162" s="89"/>
      <c r="N162" s="89"/>
      <c r="O162" s="89"/>
      <c r="P162" s="89"/>
    </row>
    <row r="163" spans="1:16">
      <c r="K163" s="89"/>
      <c r="L163" s="89"/>
      <c r="M163" s="89"/>
      <c r="N163" s="89"/>
      <c r="O163" s="89"/>
      <c r="P163" s="89"/>
    </row>
    <row r="164" spans="1:16">
      <c r="A164" s="143" t="s">
        <v>406</v>
      </c>
      <c r="B164" s="144" t="s">
        <v>324</v>
      </c>
      <c r="C164" s="89">
        <v>0</v>
      </c>
      <c r="D164" s="145">
        <v>3000</v>
      </c>
      <c r="E164" s="89">
        <f>D164</f>
        <v>3000</v>
      </c>
      <c r="F164" s="89">
        <f t="shared" ref="F164:L164" si="22">$E164+($M164-$E164)/8*F$269</f>
        <v>3500</v>
      </c>
      <c r="G164" s="89">
        <f t="shared" si="22"/>
        <v>4000</v>
      </c>
      <c r="H164" s="89">
        <f t="shared" si="22"/>
        <v>4500</v>
      </c>
      <c r="I164" s="89">
        <f t="shared" si="22"/>
        <v>5000</v>
      </c>
      <c r="J164" s="89">
        <f t="shared" si="22"/>
        <v>5500</v>
      </c>
      <c r="K164" s="89">
        <f t="shared" si="22"/>
        <v>6000</v>
      </c>
      <c r="L164" s="89">
        <f t="shared" si="22"/>
        <v>6500</v>
      </c>
      <c r="M164" s="89">
        <v>7000</v>
      </c>
      <c r="N164" s="89">
        <f>M164</f>
        <v>7000</v>
      </c>
      <c r="O164" s="89">
        <v>0</v>
      </c>
      <c r="P164" s="89"/>
    </row>
    <row r="165" spans="1:16" s="67" customFormat="1">
      <c r="A165" s="146"/>
      <c r="B165" s="146" t="s">
        <v>305</v>
      </c>
      <c r="C165" s="132">
        <f>D165</f>
        <v>7.9882536278700318</v>
      </c>
      <c r="D165" s="132">
        <f>-8*10^(-8)*D164^1.995+0.00015*D164+8.09 -(D164/1000)^2/5^2+0.5</f>
        <v>7.9882536278700318</v>
      </c>
      <c r="E165" s="132">
        <f t="shared" ref="E165:M165" si="23">-8*10^(-8)*E164^1.995+0.00015*E164+8.09 -(E164/1000)^2/5^2+0.5</f>
        <v>7.9882536278700318</v>
      </c>
      <c r="F165" s="132">
        <f t="shared" si="23"/>
        <v>7.684181745214377</v>
      </c>
      <c r="G165" s="132">
        <f t="shared" si="23"/>
        <v>7.3219963159870236</v>
      </c>
      <c r="H165" s="132">
        <f t="shared" si="23"/>
        <v>6.9017228553151782</v>
      </c>
      <c r="I165" s="132">
        <f t="shared" si="23"/>
        <v>6.4233838397829111</v>
      </c>
      <c r="J165" s="132">
        <f t="shared" si="23"/>
        <v>5.8869993546804595</v>
      </c>
      <c r="K165" s="132">
        <f t="shared" si="23"/>
        <v>5.2925875540295095</v>
      </c>
      <c r="L165" s="132">
        <f t="shared" si="23"/>
        <v>4.6401649993523488</v>
      </c>
      <c r="M165" s="132">
        <f t="shared" si="23"/>
        <v>3.9297469164107204</v>
      </c>
      <c r="N165" s="147">
        <v>2.75</v>
      </c>
      <c r="O165" s="132">
        <f>N165</f>
        <v>2.75</v>
      </c>
      <c r="P165" s="132"/>
    </row>
    <row r="166" spans="1:16">
      <c r="A166" s="143" t="str">
        <f>A164</f>
        <v>TI 90.2</v>
      </c>
      <c r="B166" s="144" t="s">
        <v>324</v>
      </c>
      <c r="C166" s="89">
        <v>0</v>
      </c>
      <c r="D166" s="89">
        <f>D164</f>
        <v>3000</v>
      </c>
      <c r="E166" s="89">
        <f>D166</f>
        <v>3000</v>
      </c>
      <c r="F166" s="89">
        <f t="shared" ref="F166:L166" si="24">$E166+($M166-$E166)/8*F$269</f>
        <v>3500</v>
      </c>
      <c r="G166" s="89">
        <f t="shared" si="24"/>
        <v>4000</v>
      </c>
      <c r="H166" s="89">
        <f t="shared" si="24"/>
        <v>4500</v>
      </c>
      <c r="I166" s="89">
        <f t="shared" si="24"/>
        <v>5000</v>
      </c>
      <c r="J166" s="89">
        <f t="shared" si="24"/>
        <v>5500</v>
      </c>
      <c r="K166" s="89">
        <f t="shared" si="24"/>
        <v>6000</v>
      </c>
      <c r="L166" s="89">
        <f t="shared" si="24"/>
        <v>6500</v>
      </c>
      <c r="M166" s="89">
        <v>7000</v>
      </c>
      <c r="N166" s="89">
        <f>M166</f>
        <v>7000</v>
      </c>
      <c r="O166" s="89">
        <v>0</v>
      </c>
      <c r="P166" s="89"/>
    </row>
    <row r="167" spans="1:16" s="67" customFormat="1">
      <c r="A167" s="146"/>
      <c r="B167" s="146" t="s">
        <v>300</v>
      </c>
      <c r="C167" s="132">
        <f t="shared" ref="C167:M167" si="25">C165-0.5</f>
        <v>7.4882536278700318</v>
      </c>
      <c r="D167" s="132">
        <f t="shared" si="25"/>
        <v>7.4882536278700318</v>
      </c>
      <c r="E167" s="132">
        <f t="shared" si="25"/>
        <v>7.4882536278700318</v>
      </c>
      <c r="F167" s="132">
        <f t="shared" si="25"/>
        <v>7.184181745214377</v>
      </c>
      <c r="G167" s="132">
        <f t="shared" si="25"/>
        <v>6.8219963159870236</v>
      </c>
      <c r="H167" s="132">
        <f t="shared" si="25"/>
        <v>6.4017228553151782</v>
      </c>
      <c r="I167" s="132">
        <f t="shared" si="25"/>
        <v>5.9233838397829111</v>
      </c>
      <c r="J167" s="132">
        <f t="shared" si="25"/>
        <v>5.3869993546804595</v>
      </c>
      <c r="K167" s="132">
        <f t="shared" si="25"/>
        <v>4.7925875540295095</v>
      </c>
      <c r="L167" s="132">
        <f t="shared" si="25"/>
        <v>4.1401649993523488</v>
      </c>
      <c r="M167" s="132">
        <f t="shared" si="25"/>
        <v>3.4297469164107204</v>
      </c>
      <c r="N167" s="132">
        <f>N165-0.5</f>
        <v>2.25</v>
      </c>
      <c r="O167" s="132">
        <f>N167</f>
        <v>2.25</v>
      </c>
      <c r="P167" s="132"/>
    </row>
    <row r="169" spans="1:16">
      <c r="A169" s="128" t="s">
        <v>409</v>
      </c>
      <c r="B169" s="39" t="s">
        <v>324</v>
      </c>
      <c r="C169" s="89">
        <v>0</v>
      </c>
      <c r="D169" s="145">
        <v>3060</v>
      </c>
      <c r="E169" s="89">
        <f>D169</f>
        <v>3060</v>
      </c>
      <c r="F169" s="89">
        <f t="shared" ref="F169:L169" si="26">$E169+($M169-$E169)/8*F$269</f>
        <v>3552.5</v>
      </c>
      <c r="G169" s="89">
        <f t="shared" si="26"/>
        <v>4045</v>
      </c>
      <c r="H169" s="89">
        <f t="shared" si="26"/>
        <v>4537.5</v>
      </c>
      <c r="I169" s="89">
        <f t="shared" si="26"/>
        <v>5030</v>
      </c>
      <c r="J169" s="89">
        <f t="shared" si="26"/>
        <v>5522.5</v>
      </c>
      <c r="K169" s="89">
        <f t="shared" si="26"/>
        <v>6015</v>
      </c>
      <c r="L169" s="89">
        <f t="shared" si="26"/>
        <v>6507.5</v>
      </c>
      <c r="M169" s="89">
        <v>7000</v>
      </c>
      <c r="N169" s="89">
        <f>M169</f>
        <v>7000</v>
      </c>
      <c r="O169" s="39">
        <v>0</v>
      </c>
    </row>
    <row r="170" spans="1:16" s="67" customFormat="1">
      <c r="B170" s="67" t="s">
        <v>305</v>
      </c>
      <c r="C170" s="67">
        <f>D170</f>
        <v>10.759980549612314</v>
      </c>
      <c r="D170" s="132">
        <f>-8.8*10^(-8)*D169^2.02+0.0002*D169+10.99 -(D169/1000)^2/5^2+0.5</f>
        <v>10.759980549612314</v>
      </c>
      <c r="E170" s="132">
        <f t="shared" ref="E170:M170" si="27">-8.8*10^(-8)*E169^2.02+0.0002*E169+10.99 -(E169/1000)^2/5^2+0.5</f>
        <v>10.759980549612314</v>
      </c>
      <c r="F170" s="132">
        <f t="shared" si="27"/>
        <v>10.387828937810347</v>
      </c>
      <c r="G170" s="132">
        <f t="shared" si="27"/>
        <v>9.9444830921448535</v>
      </c>
      <c r="H170" s="132">
        <f t="shared" si="27"/>
        <v>9.4298079853899441</v>
      </c>
      <c r="I170" s="132">
        <f t="shared" si="27"/>
        <v>8.8436839027294862</v>
      </c>
      <c r="J170" s="132">
        <f t="shared" si="27"/>
        <v>8.1860032886841267</v>
      </c>
      <c r="K170" s="132">
        <f t="shared" si="27"/>
        <v>7.4566684811548365</v>
      </c>
      <c r="L170" s="132">
        <f t="shared" si="27"/>
        <v>6.655590027423588</v>
      </c>
      <c r="M170" s="132">
        <f t="shared" si="27"/>
        <v>5.7826853980414494</v>
      </c>
      <c r="N170" s="147">
        <v>3.05</v>
      </c>
      <c r="O170" s="67">
        <f>N170</f>
        <v>3.05</v>
      </c>
    </row>
    <row r="171" spans="1:16">
      <c r="A171" s="128" t="str">
        <f>A169</f>
        <v>TI 120.2</v>
      </c>
      <c r="B171" s="39" t="s">
        <v>324</v>
      </c>
      <c r="C171" s="89">
        <v>0</v>
      </c>
      <c r="D171" s="89">
        <f>D169</f>
        <v>3060</v>
      </c>
      <c r="E171" s="89">
        <f>D171</f>
        <v>3060</v>
      </c>
      <c r="F171" s="89">
        <f t="shared" ref="F171:L171" si="28">$E171+($M171-$E171)/8*F$269</f>
        <v>3552.5</v>
      </c>
      <c r="G171" s="89">
        <f t="shared" si="28"/>
        <v>4045</v>
      </c>
      <c r="H171" s="89">
        <f t="shared" si="28"/>
        <v>4537.5</v>
      </c>
      <c r="I171" s="89">
        <f t="shared" si="28"/>
        <v>5030</v>
      </c>
      <c r="J171" s="89">
        <f t="shared" si="28"/>
        <v>5522.5</v>
      </c>
      <c r="K171" s="89">
        <f t="shared" si="28"/>
        <v>6015</v>
      </c>
      <c r="L171" s="89">
        <f t="shared" si="28"/>
        <v>6507.5</v>
      </c>
      <c r="M171" s="89">
        <v>7000</v>
      </c>
      <c r="N171" s="89">
        <f>M171</f>
        <v>7000</v>
      </c>
      <c r="O171" s="39">
        <v>0</v>
      </c>
    </row>
    <row r="172" spans="1:16">
      <c r="B172" s="67" t="s">
        <v>300</v>
      </c>
      <c r="C172" s="132">
        <f t="shared" ref="C172:M172" si="29">C170-0.5</f>
        <v>10.259980549612314</v>
      </c>
      <c r="D172" s="132">
        <f t="shared" si="29"/>
        <v>10.259980549612314</v>
      </c>
      <c r="E172" s="132">
        <f t="shared" si="29"/>
        <v>10.259980549612314</v>
      </c>
      <c r="F172" s="132">
        <f t="shared" si="29"/>
        <v>9.8878289378103474</v>
      </c>
      <c r="G172" s="132">
        <f t="shared" si="29"/>
        <v>9.4444830921448535</v>
      </c>
      <c r="H172" s="132">
        <f t="shared" si="29"/>
        <v>8.9298079853899441</v>
      </c>
      <c r="I172" s="132">
        <f t="shared" si="29"/>
        <v>8.3436839027294862</v>
      </c>
      <c r="J172" s="132">
        <f t="shared" si="29"/>
        <v>7.6860032886841267</v>
      </c>
      <c r="K172" s="132">
        <f t="shared" si="29"/>
        <v>6.9566684811548365</v>
      </c>
      <c r="L172" s="132">
        <f t="shared" si="29"/>
        <v>6.155590027423588</v>
      </c>
      <c r="M172" s="132">
        <f t="shared" si="29"/>
        <v>5.2826853980414494</v>
      </c>
      <c r="N172" s="132">
        <f>N170-0.5</f>
        <v>2.5499999999999998</v>
      </c>
      <c r="O172" s="132">
        <f>N172</f>
        <v>2.5499999999999998</v>
      </c>
    </row>
    <row r="174" spans="1:16">
      <c r="A174" s="128" t="s">
        <v>412</v>
      </c>
      <c r="B174" s="39" t="s">
        <v>324</v>
      </c>
      <c r="C174" s="89">
        <v>0</v>
      </c>
      <c r="D174" s="145">
        <v>2870</v>
      </c>
      <c r="E174" s="89">
        <f>D174</f>
        <v>2870</v>
      </c>
      <c r="F174" s="89">
        <f t="shared" ref="F174:L174" si="30">$E174+($M174-$E174)/8*F$269</f>
        <v>3386.25</v>
      </c>
      <c r="G174" s="89">
        <f t="shared" si="30"/>
        <v>3902.5</v>
      </c>
      <c r="H174" s="89">
        <f t="shared" si="30"/>
        <v>4418.75</v>
      </c>
      <c r="I174" s="89">
        <f t="shared" si="30"/>
        <v>4935</v>
      </c>
      <c r="J174" s="89">
        <f t="shared" si="30"/>
        <v>5451.25</v>
      </c>
      <c r="K174" s="89">
        <f t="shared" si="30"/>
        <v>5967.5</v>
      </c>
      <c r="L174" s="89">
        <f t="shared" si="30"/>
        <v>6483.75</v>
      </c>
      <c r="M174" s="89">
        <v>7000</v>
      </c>
      <c r="N174" s="89">
        <f>M174</f>
        <v>7000</v>
      </c>
      <c r="O174" s="39">
        <v>0</v>
      </c>
    </row>
    <row r="175" spans="1:16" s="67" customFormat="1">
      <c r="B175" s="67" t="s">
        <v>305</v>
      </c>
      <c r="C175" s="132">
        <f>D175</f>
        <v>14.536897767549004</v>
      </c>
      <c r="D175" s="132">
        <f>-8.8*10^(-8)*D174^2.05+0.0003*D174+14.77 -(D174/1000)^2/4^2+0.5</f>
        <v>14.536897767549004</v>
      </c>
      <c r="E175" s="132">
        <f t="shared" ref="E175:M175" si="31">-8.8*10^(-8)*E174^2.05+0.0003*E174+14.77 -(E174/1000)^2/4^2+0.5</f>
        <v>14.536897767549004</v>
      </c>
      <c r="F175" s="132">
        <f t="shared" si="31"/>
        <v>14.054227772216294</v>
      </c>
      <c r="G175" s="132">
        <f t="shared" si="31"/>
        <v>13.462457032222575</v>
      </c>
      <c r="H175" s="132">
        <f t="shared" si="31"/>
        <v>12.761044203480585</v>
      </c>
      <c r="I175" s="132">
        <f t="shared" si="31"/>
        <v>11.949512486105895</v>
      </c>
      <c r="J175" s="132">
        <f t="shared" si="31"/>
        <v>11.027435544902101</v>
      </c>
      <c r="K175" s="132">
        <f t="shared" si="31"/>
        <v>9.9944276194753172</v>
      </c>
      <c r="L175" s="132">
        <f t="shared" si="31"/>
        <v>8.850136304377239</v>
      </c>
      <c r="M175" s="132">
        <f t="shared" si="31"/>
        <v>7.5942371134239401</v>
      </c>
      <c r="N175" s="147">
        <v>6.7</v>
      </c>
      <c r="O175" s="67">
        <f>N175</f>
        <v>6.7</v>
      </c>
    </row>
    <row r="176" spans="1:16">
      <c r="A176" s="128" t="str">
        <f>A174</f>
        <v>TI 150.2</v>
      </c>
      <c r="B176" s="39" t="s">
        <v>324</v>
      </c>
      <c r="C176" s="89">
        <v>0</v>
      </c>
      <c r="D176" s="89">
        <f>D174</f>
        <v>2870</v>
      </c>
      <c r="E176" s="89">
        <f>D176</f>
        <v>2870</v>
      </c>
      <c r="F176" s="89">
        <f t="shared" ref="F176:L176" si="32">$E176+($M176-$E176)/8*F$269</f>
        <v>3386.25</v>
      </c>
      <c r="G176" s="89">
        <f t="shared" si="32"/>
        <v>3902.5</v>
      </c>
      <c r="H176" s="89">
        <f t="shared" si="32"/>
        <v>4418.75</v>
      </c>
      <c r="I176" s="89">
        <f t="shared" si="32"/>
        <v>4935</v>
      </c>
      <c r="J176" s="89">
        <f t="shared" si="32"/>
        <v>5451.25</v>
      </c>
      <c r="K176" s="89">
        <f t="shared" si="32"/>
        <v>5967.5</v>
      </c>
      <c r="L176" s="89">
        <f t="shared" si="32"/>
        <v>6483.75</v>
      </c>
      <c r="M176" s="89">
        <v>7000</v>
      </c>
      <c r="N176" s="89">
        <f>M176</f>
        <v>7000</v>
      </c>
      <c r="O176" s="39">
        <f>M176</f>
        <v>7000</v>
      </c>
    </row>
    <row r="177" spans="1:15">
      <c r="B177" s="67" t="s">
        <v>300</v>
      </c>
      <c r="C177" s="132">
        <f t="shared" ref="C177:M177" si="33">C175-0.5</f>
        <v>14.036897767549004</v>
      </c>
      <c r="D177" s="132">
        <f t="shared" si="33"/>
        <v>14.036897767549004</v>
      </c>
      <c r="E177" s="132">
        <f t="shared" si="33"/>
        <v>14.036897767549004</v>
      </c>
      <c r="F177" s="132">
        <f t="shared" si="33"/>
        <v>13.554227772216294</v>
      </c>
      <c r="G177" s="132">
        <f t="shared" si="33"/>
        <v>12.962457032222575</v>
      </c>
      <c r="H177" s="132">
        <f t="shared" si="33"/>
        <v>12.261044203480585</v>
      </c>
      <c r="I177" s="132">
        <f t="shared" si="33"/>
        <v>11.449512486105895</v>
      </c>
      <c r="J177" s="132">
        <f t="shared" si="33"/>
        <v>10.527435544902101</v>
      </c>
      <c r="K177" s="132">
        <f t="shared" si="33"/>
        <v>9.4944276194753172</v>
      </c>
      <c r="L177" s="132">
        <f t="shared" si="33"/>
        <v>8.350136304377239</v>
      </c>
      <c r="M177" s="132">
        <f t="shared" si="33"/>
        <v>7.0942371134239401</v>
      </c>
      <c r="N177" s="132">
        <f>N175-0.5</f>
        <v>6.2</v>
      </c>
      <c r="O177" s="132">
        <f>N177</f>
        <v>6.2</v>
      </c>
    </row>
    <row r="179" spans="1:15">
      <c r="A179" s="128" t="s">
        <v>415</v>
      </c>
      <c r="B179" s="39" t="s">
        <v>324</v>
      </c>
      <c r="C179" s="89">
        <v>0</v>
      </c>
      <c r="D179" s="145">
        <v>4005</v>
      </c>
      <c r="E179" s="89">
        <f>D179</f>
        <v>4005</v>
      </c>
      <c r="F179" s="89">
        <f t="shared" ref="F179:L179" si="34">$E179+($M179-$E179)/8*F$269</f>
        <v>4379.375</v>
      </c>
      <c r="G179" s="89">
        <f t="shared" si="34"/>
        <v>4753.75</v>
      </c>
      <c r="H179" s="89">
        <f t="shared" si="34"/>
        <v>5128.125</v>
      </c>
      <c r="I179" s="89">
        <f t="shared" si="34"/>
        <v>5502.5</v>
      </c>
      <c r="J179" s="89">
        <f t="shared" si="34"/>
        <v>5876.875</v>
      </c>
      <c r="K179" s="89">
        <f t="shared" si="34"/>
        <v>6251.25</v>
      </c>
      <c r="L179" s="89">
        <f t="shared" si="34"/>
        <v>6625.625</v>
      </c>
      <c r="M179" s="89">
        <v>7000</v>
      </c>
      <c r="N179" s="89">
        <f>M179</f>
        <v>7000</v>
      </c>
      <c r="O179" s="39">
        <v>0</v>
      </c>
    </row>
    <row r="180" spans="1:15" s="67" customFormat="1">
      <c r="B180" s="67" t="s">
        <v>305</v>
      </c>
      <c r="C180" s="132">
        <f>D180</f>
        <v>16.454350849914665</v>
      </c>
      <c r="D180" s="132">
        <f>-8*10^(-8)*D179^2.08+0.00033*D179+17.57-(D179/1000)^2/6^2+0.5</f>
        <v>16.454350849914665</v>
      </c>
      <c r="E180" s="132">
        <f>-8*10^(-8)*E179^2.08+0.00033*E179+17.57-(E179/1000)^2/6^2+0.5</f>
        <v>16.454350849914665</v>
      </c>
      <c r="F180" s="132">
        <f t="shared" ref="F180:M180" si="35">-8*10^(-8)*F179^2.08+0.00033*F179+17.57-(F179/1000)^2/6^2+0.5</f>
        <v>15.981713699446322</v>
      </c>
      <c r="G180" s="132">
        <f t="shared" si="35"/>
        <v>15.452031222761308</v>
      </c>
      <c r="H180" s="132">
        <f t="shared" si="35"/>
        <v>14.864978772373934</v>
      </c>
      <c r="I180" s="132">
        <f t="shared" si="35"/>
        <v>14.220254467744645</v>
      </c>
      <c r="J180" s="132">
        <f t="shared" si="35"/>
        <v>13.517576095233748</v>
      </c>
      <c r="K180" s="132">
        <f t="shared" si="35"/>
        <v>12.756678608186744</v>
      </c>
      <c r="L180" s="132">
        <f t="shared" si="35"/>
        <v>11.937312080737513</v>
      </c>
      <c r="M180" s="132">
        <f t="shared" si="35"/>
        <v>11.05924001115946</v>
      </c>
      <c r="N180" s="147">
        <v>8.1999999999999993</v>
      </c>
      <c r="O180" s="67">
        <f>N180</f>
        <v>8.1999999999999993</v>
      </c>
    </row>
    <row r="181" spans="1:15">
      <c r="A181" s="128" t="str">
        <f>A179</f>
        <v>TI 190.2</v>
      </c>
      <c r="B181" s="39" t="s">
        <v>324</v>
      </c>
      <c r="C181" s="89">
        <v>0</v>
      </c>
      <c r="D181" s="89">
        <f>D179</f>
        <v>4005</v>
      </c>
      <c r="E181" s="89">
        <f>D181</f>
        <v>4005</v>
      </c>
      <c r="F181" s="89">
        <f t="shared" ref="F181:L181" si="36">$E181+($M181-$E181)/8*F$269</f>
        <v>4379.375</v>
      </c>
      <c r="G181" s="89">
        <f t="shared" si="36"/>
        <v>4753.75</v>
      </c>
      <c r="H181" s="89">
        <f t="shared" si="36"/>
        <v>5128.125</v>
      </c>
      <c r="I181" s="89">
        <f t="shared" si="36"/>
        <v>5502.5</v>
      </c>
      <c r="J181" s="89">
        <f t="shared" si="36"/>
        <v>5876.875</v>
      </c>
      <c r="K181" s="89">
        <f t="shared" si="36"/>
        <v>6251.25</v>
      </c>
      <c r="L181" s="89">
        <f t="shared" si="36"/>
        <v>6625.625</v>
      </c>
      <c r="M181" s="89">
        <v>7000</v>
      </c>
      <c r="N181" s="89">
        <f>M181</f>
        <v>7000</v>
      </c>
      <c r="O181" s="39">
        <v>0</v>
      </c>
    </row>
    <row r="182" spans="1:15">
      <c r="B182" s="67" t="s">
        <v>300</v>
      </c>
      <c r="C182" s="132">
        <f t="shared" ref="C182:M182" si="37">C180-0.5</f>
        <v>15.954350849914665</v>
      </c>
      <c r="D182" s="132">
        <f t="shared" si="37"/>
        <v>15.954350849914665</v>
      </c>
      <c r="E182" s="132">
        <f t="shared" si="37"/>
        <v>15.954350849914665</v>
      </c>
      <c r="F182" s="132">
        <f t="shared" si="37"/>
        <v>15.481713699446322</v>
      </c>
      <c r="G182" s="132">
        <f t="shared" si="37"/>
        <v>14.952031222761308</v>
      </c>
      <c r="H182" s="132">
        <f t="shared" si="37"/>
        <v>14.364978772373934</v>
      </c>
      <c r="I182" s="132">
        <f t="shared" si="37"/>
        <v>13.720254467744645</v>
      </c>
      <c r="J182" s="132">
        <f t="shared" si="37"/>
        <v>13.017576095233748</v>
      </c>
      <c r="K182" s="132">
        <f t="shared" si="37"/>
        <v>12.256678608186744</v>
      </c>
      <c r="L182" s="132">
        <f t="shared" si="37"/>
        <v>11.437312080737513</v>
      </c>
      <c r="M182" s="132">
        <f t="shared" si="37"/>
        <v>10.55924001115946</v>
      </c>
      <c r="N182" s="132">
        <f>N180-0.5</f>
        <v>7.6999999999999993</v>
      </c>
      <c r="O182" s="132">
        <f>N182</f>
        <v>7.6999999999999993</v>
      </c>
    </row>
    <row r="184" spans="1:15">
      <c r="A184" s="143" t="s">
        <v>416</v>
      </c>
      <c r="B184" s="144" t="s">
        <v>324</v>
      </c>
      <c r="C184" s="89">
        <v>0</v>
      </c>
      <c r="D184" s="145">
        <v>4000</v>
      </c>
      <c r="E184" s="89">
        <f>D184</f>
        <v>4000</v>
      </c>
      <c r="F184" s="89">
        <f t="shared" ref="F184:L184" si="38">$E184+($M184-$E184)/8*F$269</f>
        <v>4375</v>
      </c>
      <c r="G184" s="89">
        <f t="shared" si="38"/>
        <v>4750</v>
      </c>
      <c r="H184" s="89">
        <f t="shared" si="38"/>
        <v>5125</v>
      </c>
      <c r="I184" s="89">
        <f t="shared" si="38"/>
        <v>5500</v>
      </c>
      <c r="J184" s="89">
        <f t="shared" si="38"/>
        <v>5875</v>
      </c>
      <c r="K184" s="89">
        <f t="shared" si="38"/>
        <v>6250</v>
      </c>
      <c r="L184" s="89">
        <f t="shared" si="38"/>
        <v>6625</v>
      </c>
      <c r="M184" s="89">
        <v>7000</v>
      </c>
      <c r="N184" s="89">
        <f>M184</f>
        <v>7000</v>
      </c>
      <c r="O184" s="39">
        <v>0</v>
      </c>
    </row>
    <row r="185" spans="1:15" s="67" customFormat="1">
      <c r="A185" s="146"/>
      <c r="B185" s="146" t="s">
        <v>305</v>
      </c>
      <c r="C185" s="67">
        <f>D185</f>
        <v>20.551853745645371</v>
      </c>
      <c r="D185" s="132">
        <f>-8*10^(-8)*D184^2.1+0.00038*D184+21.91-(D184/1000)^2/6^2+0.5</f>
        <v>20.551853745645371</v>
      </c>
      <c r="E185" s="132">
        <f>-8*10^(-8)*E184^2.1+0.00038*E184+21.91-(E184/1000)^2/6^2+0.5</f>
        <v>20.551853745645371</v>
      </c>
      <c r="F185" s="132">
        <f t="shared" ref="F185:M185" si="39">-8*10^(-8)*F184^2.1+0.00038*F184+21.91-(F184/1000)^2/6^2+0.5</f>
        <v>19.999669364491758</v>
      </c>
      <c r="G185" s="132">
        <f t="shared" si="39"/>
        <v>19.379577482643807</v>
      </c>
      <c r="H185" s="132">
        <f t="shared" si="39"/>
        <v>18.691081344868692</v>
      </c>
      <c r="I185" s="132">
        <f t="shared" si="39"/>
        <v>17.933718382280993</v>
      </c>
      <c r="J185" s="132">
        <f t="shared" si="39"/>
        <v>17.107055592346455</v>
      </c>
      <c r="K185" s="132">
        <f t="shared" si="39"/>
        <v>16.210685809582181</v>
      </c>
      <c r="L185" s="132">
        <f t="shared" si="39"/>
        <v>15.244224650198731</v>
      </c>
      <c r="M185" s="132">
        <f t="shared" si="39"/>
        <v>14.207307976365803</v>
      </c>
      <c r="N185" s="147">
        <v>9.1999999999999993</v>
      </c>
      <c r="O185" s="67">
        <f>N185</f>
        <v>9.1999999999999993</v>
      </c>
    </row>
    <row r="186" spans="1:15">
      <c r="A186" s="143" t="str">
        <f>A184</f>
        <v>TI 230.2</v>
      </c>
      <c r="B186" s="144" t="s">
        <v>324</v>
      </c>
      <c r="C186" s="89">
        <v>0</v>
      </c>
      <c r="D186" s="89">
        <f>D184</f>
        <v>4000</v>
      </c>
      <c r="E186" s="89">
        <f>D186</f>
        <v>4000</v>
      </c>
      <c r="F186" s="89">
        <f t="shared" ref="F186:L186" si="40">$E186+($M186-$E186)/8*F$269</f>
        <v>4375</v>
      </c>
      <c r="G186" s="89">
        <f t="shared" si="40"/>
        <v>4750</v>
      </c>
      <c r="H186" s="89">
        <f t="shared" si="40"/>
        <v>5125</v>
      </c>
      <c r="I186" s="89">
        <f t="shared" si="40"/>
        <v>5500</v>
      </c>
      <c r="J186" s="89">
        <f t="shared" si="40"/>
        <v>5875</v>
      </c>
      <c r="K186" s="89">
        <f t="shared" si="40"/>
        <v>6250</v>
      </c>
      <c r="L186" s="89">
        <f t="shared" si="40"/>
        <v>6625</v>
      </c>
      <c r="M186" s="89">
        <v>7000</v>
      </c>
      <c r="N186" s="89">
        <f>M186</f>
        <v>7000</v>
      </c>
      <c r="O186" s="39">
        <v>0</v>
      </c>
    </row>
    <row r="187" spans="1:15">
      <c r="A187" s="144"/>
      <c r="B187" s="146" t="s">
        <v>467</v>
      </c>
      <c r="C187" s="132">
        <f t="shared" ref="C187:M187" si="41">C185-0.5</f>
        <v>20.051853745645371</v>
      </c>
      <c r="D187" s="132">
        <f t="shared" si="41"/>
        <v>20.051853745645371</v>
      </c>
      <c r="E187" s="132">
        <f t="shared" si="41"/>
        <v>20.051853745645371</v>
      </c>
      <c r="F187" s="132">
        <f t="shared" si="41"/>
        <v>19.499669364491758</v>
      </c>
      <c r="G187" s="132">
        <f t="shared" si="41"/>
        <v>18.879577482643807</v>
      </c>
      <c r="H187" s="132">
        <f t="shared" si="41"/>
        <v>18.191081344868692</v>
      </c>
      <c r="I187" s="132">
        <f t="shared" si="41"/>
        <v>17.433718382280993</v>
      </c>
      <c r="J187" s="132">
        <f t="shared" si="41"/>
        <v>16.607055592346455</v>
      </c>
      <c r="K187" s="132">
        <f t="shared" si="41"/>
        <v>15.710685809582181</v>
      </c>
      <c r="L187" s="132">
        <f t="shared" si="41"/>
        <v>14.744224650198731</v>
      </c>
      <c r="M187" s="132">
        <f t="shared" si="41"/>
        <v>13.707307976365803</v>
      </c>
      <c r="N187" s="132">
        <f>N185-0.5</f>
        <v>8.6999999999999993</v>
      </c>
      <c r="O187" s="132">
        <f>N187</f>
        <v>8.6999999999999993</v>
      </c>
    </row>
    <row r="189" spans="1:15">
      <c r="A189" s="143" t="s">
        <v>419</v>
      </c>
      <c r="B189" s="39" t="s">
        <v>324</v>
      </c>
      <c r="C189" s="89">
        <v>0</v>
      </c>
      <c r="D189" s="89">
        <v>3250</v>
      </c>
      <c r="E189" s="89">
        <f>D189</f>
        <v>3250</v>
      </c>
      <c r="F189" s="89">
        <f t="shared" ref="F189:L189" si="42">$E189+($M189-$E189)/8*F$269</f>
        <v>4218.75</v>
      </c>
      <c r="G189" s="89">
        <f t="shared" si="42"/>
        <v>5187.5</v>
      </c>
      <c r="H189" s="89">
        <f t="shared" si="42"/>
        <v>6156.25</v>
      </c>
      <c r="I189" s="89">
        <f t="shared" si="42"/>
        <v>7125</v>
      </c>
      <c r="J189" s="89">
        <f t="shared" si="42"/>
        <v>8093.75</v>
      </c>
      <c r="K189" s="89">
        <f t="shared" si="42"/>
        <v>9062.5</v>
      </c>
      <c r="L189" s="89">
        <f t="shared" si="42"/>
        <v>10031.25</v>
      </c>
      <c r="M189" s="89">
        <v>11000</v>
      </c>
      <c r="N189" s="39">
        <f>M189</f>
        <v>11000</v>
      </c>
      <c r="O189" s="39">
        <v>0</v>
      </c>
    </row>
    <row r="190" spans="1:15" s="67" customFormat="1">
      <c r="A190" s="146"/>
      <c r="B190" s="67" t="s">
        <v>305</v>
      </c>
      <c r="C190" s="67">
        <f>D190</f>
        <v>4.2019690386515158</v>
      </c>
      <c r="D190" s="132">
        <f>-8*10^(-9)*D189^2.005-1*10^(-4)*D189+4.1619 -(D189/1000)^2/15^2+0.5</f>
        <v>4.2019690386515158</v>
      </c>
      <c r="E190" s="132">
        <f t="shared" ref="E190:M190" si="43">-8*10^(-9)*E189^2.005-1*10^(-4)*E189+4.1619 -(E189/1000)^2/15^2+0.5</f>
        <v>4.2019690386515158</v>
      </c>
      <c r="F190" s="132">
        <f t="shared" si="43"/>
        <v>4.0124723148395756</v>
      </c>
      <c r="G190" s="132">
        <f t="shared" si="43"/>
        <v>3.7988607268955059</v>
      </c>
      <c r="H190" s="132">
        <f t="shared" si="43"/>
        <v>3.5611178451535865</v>
      </c>
      <c r="I190" s="132">
        <f t="shared" si="43"/>
        <v>3.2992300798930945</v>
      </c>
      <c r="J190" s="132">
        <f t="shared" si="43"/>
        <v>3.0131858380812302</v>
      </c>
      <c r="K190" s="132">
        <f t="shared" si="43"/>
        <v>2.7029750086983051</v>
      </c>
      <c r="L190" s="132">
        <f t="shared" si="43"/>
        <v>2.3685886250200552</v>
      </c>
      <c r="M190" s="132">
        <f t="shared" si="43"/>
        <v>2.0100186308643493</v>
      </c>
      <c r="N190" s="132">
        <v>2</v>
      </c>
      <c r="O190" s="67">
        <f>N190</f>
        <v>2</v>
      </c>
    </row>
    <row r="191" spans="1:15">
      <c r="A191" s="143" t="str">
        <f>A189</f>
        <v>TI 61.2</v>
      </c>
      <c r="B191" s="39" t="s">
        <v>324</v>
      </c>
      <c r="C191" s="89">
        <v>0</v>
      </c>
      <c r="D191" s="89">
        <f>D189</f>
        <v>3250</v>
      </c>
      <c r="E191" s="89">
        <f>D191</f>
        <v>3250</v>
      </c>
      <c r="F191" s="89">
        <f t="shared" ref="F191:L191" si="44">$E191+($M191-$E191)/8*F$269</f>
        <v>4218.75</v>
      </c>
      <c r="G191" s="89">
        <f t="shared" si="44"/>
        <v>5187.5</v>
      </c>
      <c r="H191" s="89">
        <f t="shared" si="44"/>
        <v>6156.25</v>
      </c>
      <c r="I191" s="89">
        <f t="shared" si="44"/>
        <v>7125</v>
      </c>
      <c r="J191" s="89">
        <f t="shared" si="44"/>
        <v>8093.75</v>
      </c>
      <c r="K191" s="89">
        <f t="shared" si="44"/>
        <v>9062.5</v>
      </c>
      <c r="L191" s="89">
        <f t="shared" si="44"/>
        <v>10031.25</v>
      </c>
      <c r="M191" s="89">
        <v>11000</v>
      </c>
      <c r="N191" s="39">
        <f>M191</f>
        <v>11000</v>
      </c>
      <c r="O191" s="39">
        <v>0</v>
      </c>
    </row>
    <row r="192" spans="1:15">
      <c r="A192" s="144"/>
      <c r="B192" s="67" t="s">
        <v>300</v>
      </c>
      <c r="C192" s="132">
        <f t="shared" ref="C192:M192" si="45">C190-0.5</f>
        <v>3.7019690386515158</v>
      </c>
      <c r="D192" s="132">
        <f t="shared" si="45"/>
        <v>3.7019690386515158</v>
      </c>
      <c r="E192" s="132">
        <f t="shared" si="45"/>
        <v>3.7019690386515158</v>
      </c>
      <c r="F192" s="132">
        <f t="shared" si="45"/>
        <v>3.5124723148395756</v>
      </c>
      <c r="G192" s="132">
        <f t="shared" si="45"/>
        <v>3.2988607268955059</v>
      </c>
      <c r="H192" s="132">
        <f t="shared" si="45"/>
        <v>3.0611178451535865</v>
      </c>
      <c r="I192" s="132">
        <f t="shared" si="45"/>
        <v>2.7992300798930945</v>
      </c>
      <c r="J192" s="132">
        <f t="shared" si="45"/>
        <v>2.5131858380812302</v>
      </c>
      <c r="K192" s="132">
        <f t="shared" si="45"/>
        <v>2.2029750086983051</v>
      </c>
      <c r="L192" s="132">
        <f t="shared" si="45"/>
        <v>1.8685886250200552</v>
      </c>
      <c r="M192" s="132">
        <f t="shared" si="45"/>
        <v>1.5100186308643493</v>
      </c>
      <c r="N192" s="132">
        <f>N190-0.5</f>
        <v>1.5</v>
      </c>
      <c r="O192" s="132">
        <f>N192</f>
        <v>1.5</v>
      </c>
    </row>
    <row r="193" spans="1:15">
      <c r="A193" s="144"/>
    </row>
    <row r="194" spans="1:15">
      <c r="A194" s="143" t="s">
        <v>422</v>
      </c>
      <c r="B194" s="39" t="s">
        <v>324</v>
      </c>
      <c r="C194" s="89">
        <v>0</v>
      </c>
      <c r="D194" s="89">
        <v>2140</v>
      </c>
      <c r="E194" s="89">
        <f>D194</f>
        <v>2140</v>
      </c>
      <c r="F194" s="89">
        <f t="shared" ref="F194:L194" si="46">$E194+($M194-$E194)/8*F$269</f>
        <v>3435</v>
      </c>
      <c r="G194" s="89">
        <f t="shared" si="46"/>
        <v>4730</v>
      </c>
      <c r="H194" s="89">
        <f t="shared" si="46"/>
        <v>6025</v>
      </c>
      <c r="I194" s="89">
        <f t="shared" si="46"/>
        <v>7320</v>
      </c>
      <c r="J194" s="89">
        <f t="shared" si="46"/>
        <v>8615</v>
      </c>
      <c r="K194" s="89">
        <f t="shared" si="46"/>
        <v>9910</v>
      </c>
      <c r="L194" s="89">
        <f t="shared" si="46"/>
        <v>11205</v>
      </c>
      <c r="M194" s="89">
        <v>12500</v>
      </c>
      <c r="N194" s="39">
        <f>M194</f>
        <v>12500</v>
      </c>
      <c r="O194" s="39">
        <v>0</v>
      </c>
    </row>
    <row r="195" spans="1:15" s="67" customFormat="1">
      <c r="A195" s="146"/>
      <c r="B195" s="67" t="s">
        <v>305</v>
      </c>
      <c r="C195" s="132">
        <f>D195</f>
        <v>8.0000502222222227</v>
      </c>
      <c r="D195" s="132">
        <f>-1*10^(-8)*D194^2-2*10^(-4)*D194+7.9942-(D194/1000)^2/15^2+0.5</f>
        <v>8.0000502222222227</v>
      </c>
      <c r="E195" s="132">
        <f t="shared" ref="E195:M195" si="47">-1*10^(-8)*E194^2-2*10^(-4)*E194+7.9942-(E194/1000)^2/15^2+0.5</f>
        <v>8.0000502222222227</v>
      </c>
      <c r="F195" s="132">
        <f t="shared" si="47"/>
        <v>7.6367667500000005</v>
      </c>
      <c r="G195" s="132">
        <f t="shared" si="47"/>
        <v>7.2250358888888888</v>
      </c>
      <c r="H195" s="132">
        <f t="shared" si="47"/>
        <v>6.7648576388888895</v>
      </c>
      <c r="I195" s="132">
        <f t="shared" si="47"/>
        <v>6.2562320000000007</v>
      </c>
      <c r="J195" s="132">
        <f t="shared" si="47"/>
        <v>5.6991589722222216</v>
      </c>
      <c r="K195" s="132">
        <f t="shared" si="47"/>
        <v>5.0936385555555557</v>
      </c>
      <c r="L195" s="132">
        <f t="shared" si="47"/>
        <v>4.4396707499999994</v>
      </c>
      <c r="M195" s="132">
        <f t="shared" si="47"/>
        <v>3.7372555555555556</v>
      </c>
      <c r="N195" s="132">
        <v>3</v>
      </c>
      <c r="O195" s="67">
        <v>3</v>
      </c>
    </row>
    <row r="196" spans="1:15">
      <c r="A196" s="143" t="str">
        <f>A194</f>
        <v>TI 91.2</v>
      </c>
      <c r="B196" s="39" t="s">
        <v>324</v>
      </c>
      <c r="C196" s="89">
        <v>0</v>
      </c>
      <c r="D196" s="89">
        <f>D194</f>
        <v>2140</v>
      </c>
      <c r="E196" s="89">
        <f>D196</f>
        <v>2140</v>
      </c>
      <c r="F196" s="89">
        <f t="shared" ref="F196:L196" si="48">$E196+($M196-$E196)/8*F$269</f>
        <v>3435</v>
      </c>
      <c r="G196" s="89">
        <f t="shared" si="48"/>
        <v>4730</v>
      </c>
      <c r="H196" s="89">
        <f t="shared" si="48"/>
        <v>6025</v>
      </c>
      <c r="I196" s="89">
        <f t="shared" si="48"/>
        <v>7320</v>
      </c>
      <c r="J196" s="89">
        <f t="shared" si="48"/>
        <v>8615</v>
      </c>
      <c r="K196" s="89">
        <f t="shared" si="48"/>
        <v>9910</v>
      </c>
      <c r="L196" s="89">
        <f t="shared" si="48"/>
        <v>11205</v>
      </c>
      <c r="M196" s="89">
        <v>12500</v>
      </c>
      <c r="N196" s="39">
        <f>M196</f>
        <v>12500</v>
      </c>
      <c r="O196" s="39">
        <v>0</v>
      </c>
    </row>
    <row r="197" spans="1:15">
      <c r="A197" s="144"/>
      <c r="B197" s="67" t="s">
        <v>300</v>
      </c>
      <c r="C197" s="132">
        <f t="shared" ref="C197:M197" si="49">C195-0.5</f>
        <v>7.5000502222222227</v>
      </c>
      <c r="D197" s="132">
        <f t="shared" si="49"/>
        <v>7.5000502222222227</v>
      </c>
      <c r="E197" s="132">
        <f t="shared" si="49"/>
        <v>7.5000502222222227</v>
      </c>
      <c r="F197" s="132">
        <f t="shared" si="49"/>
        <v>7.1367667500000005</v>
      </c>
      <c r="G197" s="132">
        <f t="shared" si="49"/>
        <v>6.7250358888888888</v>
      </c>
      <c r="H197" s="132">
        <f t="shared" si="49"/>
        <v>6.2648576388888895</v>
      </c>
      <c r="I197" s="132">
        <f t="shared" si="49"/>
        <v>5.7562320000000007</v>
      </c>
      <c r="J197" s="132">
        <f t="shared" si="49"/>
        <v>5.1991589722222216</v>
      </c>
      <c r="K197" s="132">
        <f t="shared" si="49"/>
        <v>4.5936385555555557</v>
      </c>
      <c r="L197" s="132">
        <f t="shared" si="49"/>
        <v>3.9396707499999994</v>
      </c>
      <c r="M197" s="132">
        <f t="shared" si="49"/>
        <v>3.2372555555555556</v>
      </c>
      <c r="N197" s="132">
        <f>N195-0.5</f>
        <v>2.5</v>
      </c>
      <c r="O197" s="132">
        <v>2.5</v>
      </c>
    </row>
    <row r="199" spans="1:15">
      <c r="A199" s="143" t="s">
        <v>425</v>
      </c>
      <c r="B199" s="144" t="s">
        <v>324</v>
      </c>
      <c r="C199" s="89">
        <v>0</v>
      </c>
      <c r="D199" s="145">
        <v>4550</v>
      </c>
      <c r="E199" s="89">
        <f>D199</f>
        <v>4550</v>
      </c>
      <c r="F199" s="39">
        <f t="shared" ref="F199:L199" si="50">$E199+($M199-$E199)/8*F$269</f>
        <v>5856.25</v>
      </c>
      <c r="G199" s="39">
        <f t="shared" si="50"/>
        <v>7162.5</v>
      </c>
      <c r="H199" s="39">
        <f t="shared" si="50"/>
        <v>8468.75</v>
      </c>
      <c r="I199" s="39">
        <f t="shared" si="50"/>
        <v>9775</v>
      </c>
      <c r="J199" s="39">
        <f t="shared" si="50"/>
        <v>11081.25</v>
      </c>
      <c r="K199" s="39">
        <f t="shared" si="50"/>
        <v>12387.5</v>
      </c>
      <c r="L199" s="39">
        <f t="shared" si="50"/>
        <v>13693.75</v>
      </c>
      <c r="M199" s="89">
        <v>15000</v>
      </c>
      <c r="N199" s="39">
        <f>M199</f>
        <v>15000</v>
      </c>
      <c r="O199" s="39">
        <v>0</v>
      </c>
    </row>
    <row r="200" spans="1:15" s="67" customFormat="1">
      <c r="A200" s="146"/>
      <c r="B200" s="146" t="s">
        <v>305</v>
      </c>
      <c r="C200" s="67">
        <f>D200</f>
        <v>10.273308332472126</v>
      </c>
      <c r="D200" s="132">
        <f>-0.05*10^(-6.7)*D199^2.08+0.00001*D199+10.34-(D199/1000)^2/10^2+0.5</f>
        <v>10.273308332472126</v>
      </c>
      <c r="E200" s="132">
        <f t="shared" ref="E200:M200" si="51">-0.05*10^(-6.7)*E199^2.08+0.00001*E199+10.34-(E199/1000)^2/10^2+0.5</f>
        <v>10.273308332472126</v>
      </c>
      <c r="F200" s="132">
        <f t="shared" si="51"/>
        <v>9.8707190697244211</v>
      </c>
      <c r="G200" s="132">
        <f t="shared" si="51"/>
        <v>9.3574821737842981</v>
      </c>
      <c r="H200" s="132">
        <f t="shared" si="51"/>
        <v>8.7323470587886707</v>
      </c>
      <c r="I200" s="132">
        <f t="shared" si="51"/>
        <v>7.9942597818692436</v>
      </c>
      <c r="J200" s="132">
        <f t="shared" si="51"/>
        <v>7.1423076265058372</v>
      </c>
      <c r="K200" s="132">
        <f t="shared" si="51"/>
        <v>6.1756844849990662</v>
      </c>
      <c r="L200" s="132">
        <f t="shared" si="51"/>
        <v>5.0936677228604585</v>
      </c>
      <c r="M200" s="132">
        <f t="shared" si="51"/>
        <v>3.8956019217896447</v>
      </c>
      <c r="N200" s="147">
        <v>2.65</v>
      </c>
      <c r="O200" s="67">
        <f>N200</f>
        <v>2.65</v>
      </c>
    </row>
    <row r="201" spans="1:15">
      <c r="A201" s="143" t="str">
        <f>A199</f>
        <v>TI 111.2</v>
      </c>
      <c r="B201" s="144" t="s">
        <v>324</v>
      </c>
      <c r="C201" s="89">
        <v>0</v>
      </c>
      <c r="D201" s="89">
        <f>D199</f>
        <v>4550</v>
      </c>
      <c r="E201" s="89">
        <f>D201</f>
        <v>4550</v>
      </c>
      <c r="F201" s="89">
        <f t="shared" ref="F201:L201" si="52">$E201+($M201-$E201)/8*F$269</f>
        <v>5543.75</v>
      </c>
      <c r="G201" s="89">
        <f t="shared" si="52"/>
        <v>6537.5</v>
      </c>
      <c r="H201" s="89">
        <f t="shared" si="52"/>
        <v>7531.25</v>
      </c>
      <c r="I201" s="89">
        <f t="shared" si="52"/>
        <v>8525</v>
      </c>
      <c r="J201" s="89">
        <f t="shared" si="52"/>
        <v>9518.75</v>
      </c>
      <c r="K201" s="89">
        <f t="shared" si="52"/>
        <v>10512.5</v>
      </c>
      <c r="L201" s="89">
        <f t="shared" si="52"/>
        <v>11506.25</v>
      </c>
      <c r="M201" s="89">
        <v>12500</v>
      </c>
      <c r="N201" s="39">
        <f>M201</f>
        <v>12500</v>
      </c>
      <c r="O201" s="39">
        <v>0</v>
      </c>
    </row>
    <row r="202" spans="1:15">
      <c r="A202" s="144"/>
      <c r="B202" s="146" t="s">
        <v>300</v>
      </c>
      <c r="C202" s="132">
        <f t="shared" ref="C202:M202" si="53">C200-0.5</f>
        <v>9.7733083324721264</v>
      </c>
      <c r="D202" s="132">
        <f t="shared" si="53"/>
        <v>9.7733083324721264</v>
      </c>
      <c r="E202" s="132">
        <f t="shared" si="53"/>
        <v>9.7733083324721264</v>
      </c>
      <c r="F202" s="132">
        <f t="shared" si="53"/>
        <v>9.3707190697244211</v>
      </c>
      <c r="G202" s="132">
        <f t="shared" si="53"/>
        <v>8.8574821737842981</v>
      </c>
      <c r="H202" s="132">
        <f t="shared" si="53"/>
        <v>8.2323470587886707</v>
      </c>
      <c r="I202" s="132">
        <f t="shared" si="53"/>
        <v>7.4942597818692436</v>
      </c>
      <c r="J202" s="132">
        <f t="shared" si="53"/>
        <v>6.6423076265058372</v>
      </c>
      <c r="K202" s="132">
        <f t="shared" si="53"/>
        <v>5.6756844849990662</v>
      </c>
      <c r="L202" s="132">
        <f t="shared" si="53"/>
        <v>4.5936677228604585</v>
      </c>
      <c r="M202" s="132">
        <f t="shared" si="53"/>
        <v>3.3956019217896447</v>
      </c>
      <c r="N202" s="132">
        <f>N200-0.5</f>
        <v>2.15</v>
      </c>
      <c r="O202" s="132">
        <f>N202</f>
        <v>2.15</v>
      </c>
    </row>
    <row r="204" spans="1:15">
      <c r="A204" s="128" t="s">
        <v>428</v>
      </c>
      <c r="B204" s="39" t="s">
        <v>324</v>
      </c>
      <c r="C204" s="89">
        <v>0</v>
      </c>
      <c r="D204" s="145">
        <v>5340</v>
      </c>
      <c r="E204" s="89">
        <f>D204</f>
        <v>5340</v>
      </c>
      <c r="F204" s="89">
        <f t="shared" ref="F204:L204" si="54">$E204+($M204-$E204)/8*F$269</f>
        <v>6547.5</v>
      </c>
      <c r="G204" s="89">
        <f t="shared" si="54"/>
        <v>7755</v>
      </c>
      <c r="H204" s="89">
        <f t="shared" si="54"/>
        <v>8962.5</v>
      </c>
      <c r="I204" s="89">
        <f t="shared" si="54"/>
        <v>10170</v>
      </c>
      <c r="J204" s="89">
        <f t="shared" si="54"/>
        <v>11377.5</v>
      </c>
      <c r="K204" s="89">
        <f t="shared" si="54"/>
        <v>12585</v>
      </c>
      <c r="L204" s="89">
        <f t="shared" si="54"/>
        <v>13792.5</v>
      </c>
      <c r="M204" s="89">
        <v>15000</v>
      </c>
      <c r="N204" s="89">
        <f>M204</f>
        <v>15000</v>
      </c>
      <c r="O204" s="39">
        <v>0</v>
      </c>
    </row>
    <row r="205" spans="1:15" s="67" customFormat="1">
      <c r="B205" s="67" t="s">
        <v>305</v>
      </c>
      <c r="C205" s="132">
        <f>D205</f>
        <v>14.207178979607678</v>
      </c>
      <c r="D205" s="132">
        <f>-0.5*10^(-7)*D204^1.96+0.00007*D204+14.63-(D204/1000)^2/10^2+0.5</f>
        <v>14.207178979607678</v>
      </c>
      <c r="E205" s="132">
        <f t="shared" ref="E205:M205" si="55">-0.5*10^(-7)*E204^1.96+0.00007*E204+14.63-(E204/1000)^2/10^2+0.5</f>
        <v>14.207178979607678</v>
      </c>
      <c r="F205" s="132">
        <f t="shared" si="55"/>
        <v>13.651361239032052</v>
      </c>
      <c r="G205" s="132">
        <f t="shared" si="55"/>
        <v>12.969848410672187</v>
      </c>
      <c r="H205" s="132">
        <f t="shared" si="55"/>
        <v>12.163295125289697</v>
      </c>
      <c r="I205" s="132">
        <f t="shared" si="55"/>
        <v>11.232256804133156</v>
      </c>
      <c r="J205" s="132">
        <f t="shared" si="55"/>
        <v>10.177215503962715</v>
      </c>
      <c r="K205" s="132">
        <f t="shared" si="55"/>
        <v>8.9985968366237827</v>
      </c>
      <c r="L205" s="132">
        <f t="shared" si="55"/>
        <v>7.6967816510415883</v>
      </c>
      <c r="M205" s="132">
        <f t="shared" si="55"/>
        <v>6.2721144372953823</v>
      </c>
      <c r="N205" s="147">
        <v>3.2</v>
      </c>
      <c r="O205" s="67">
        <f>N205</f>
        <v>3.2</v>
      </c>
    </row>
    <row r="206" spans="1:15">
      <c r="A206" s="128" t="str">
        <f>A204</f>
        <v>TI 161.2</v>
      </c>
      <c r="B206" s="39" t="s">
        <v>324</v>
      </c>
      <c r="C206" s="89">
        <v>0</v>
      </c>
      <c r="D206" s="89">
        <f>D204</f>
        <v>5340</v>
      </c>
      <c r="E206" s="89">
        <f>D206</f>
        <v>5340</v>
      </c>
      <c r="F206" s="89">
        <f t="shared" ref="F206:L206" si="56">$E206+($M206-$E206)/8*F$269</f>
        <v>6235</v>
      </c>
      <c r="G206" s="89">
        <f t="shared" si="56"/>
        <v>7130</v>
      </c>
      <c r="H206" s="89">
        <f t="shared" si="56"/>
        <v>8025</v>
      </c>
      <c r="I206" s="89">
        <f t="shared" si="56"/>
        <v>8920</v>
      </c>
      <c r="J206" s="89">
        <f t="shared" si="56"/>
        <v>9815</v>
      </c>
      <c r="K206" s="89">
        <f t="shared" si="56"/>
        <v>10710</v>
      </c>
      <c r="L206" s="89">
        <f t="shared" si="56"/>
        <v>11605</v>
      </c>
      <c r="M206" s="89">
        <v>12500</v>
      </c>
      <c r="N206" s="89">
        <f>M206</f>
        <v>12500</v>
      </c>
      <c r="O206" s="39">
        <v>0</v>
      </c>
    </row>
    <row r="207" spans="1:15">
      <c r="B207" s="67" t="s">
        <v>300</v>
      </c>
      <c r="C207" s="132">
        <f t="shared" ref="C207:M207" si="57">C205-0.5</f>
        <v>13.707178979607678</v>
      </c>
      <c r="D207" s="132">
        <f t="shared" si="57"/>
        <v>13.707178979607678</v>
      </c>
      <c r="E207" s="132">
        <f t="shared" si="57"/>
        <v>13.707178979607678</v>
      </c>
      <c r="F207" s="132">
        <f t="shared" si="57"/>
        <v>13.151361239032052</v>
      </c>
      <c r="G207" s="132">
        <f t="shared" si="57"/>
        <v>12.469848410672187</v>
      </c>
      <c r="H207" s="132">
        <f t="shared" si="57"/>
        <v>11.663295125289697</v>
      </c>
      <c r="I207" s="132">
        <f t="shared" si="57"/>
        <v>10.732256804133156</v>
      </c>
      <c r="J207" s="132">
        <f t="shared" si="57"/>
        <v>9.6772155039627155</v>
      </c>
      <c r="K207" s="132">
        <f t="shared" si="57"/>
        <v>8.4985968366237827</v>
      </c>
      <c r="L207" s="132">
        <f t="shared" si="57"/>
        <v>7.1967816510415883</v>
      </c>
      <c r="M207" s="132">
        <f t="shared" si="57"/>
        <v>5.7721144372953823</v>
      </c>
      <c r="N207" s="132">
        <f>N205-0.5</f>
        <v>2.7</v>
      </c>
      <c r="O207" s="132">
        <f>N207</f>
        <v>2.7</v>
      </c>
    </row>
    <row r="208" spans="1:15" s="132" customFormat="1"/>
    <row r="209" spans="1:15">
      <c r="A209" s="128" t="s">
        <v>431</v>
      </c>
      <c r="B209" s="39" t="s">
        <v>324</v>
      </c>
      <c r="C209" s="89">
        <v>0</v>
      </c>
      <c r="D209" s="145">
        <v>6290</v>
      </c>
      <c r="E209" s="89">
        <f>D209</f>
        <v>6290</v>
      </c>
      <c r="F209" s="89">
        <f t="shared" ref="F209:L209" si="58">$E209+($M209-$E209)/8*F$269</f>
        <v>7378.75</v>
      </c>
      <c r="G209" s="89">
        <f t="shared" si="58"/>
        <v>8467.5</v>
      </c>
      <c r="H209" s="89">
        <f t="shared" si="58"/>
        <v>9556.25</v>
      </c>
      <c r="I209" s="89">
        <f t="shared" si="58"/>
        <v>10645</v>
      </c>
      <c r="J209" s="89">
        <f t="shared" si="58"/>
        <v>11733.75</v>
      </c>
      <c r="K209" s="89">
        <f t="shared" si="58"/>
        <v>12822.5</v>
      </c>
      <c r="L209" s="89">
        <f t="shared" si="58"/>
        <v>13911.25</v>
      </c>
      <c r="M209" s="89">
        <v>15000</v>
      </c>
      <c r="N209" s="89">
        <f>M209</f>
        <v>15000</v>
      </c>
      <c r="O209" s="39">
        <v>0</v>
      </c>
    </row>
    <row r="210" spans="1:15" s="67" customFormat="1">
      <c r="B210" s="67" t="s">
        <v>305</v>
      </c>
      <c r="C210" s="132">
        <f>D210</f>
        <v>16.519984746277423</v>
      </c>
      <c r="D210" s="132">
        <f>-2*10^(-7.6)*D209^1.97+0.00005*D209+17.63-(D209/1000)^2/10^2+0.5</f>
        <v>16.519984746277423</v>
      </c>
      <c r="E210" s="132">
        <f t="shared" ref="E210:M210" si="59">-2*10^(-7.6)*E209^1.97+0.00005*E209+17.63-(E209/1000)^2/10^2+0.5</f>
        <v>16.519984746277423</v>
      </c>
      <c r="F210" s="132">
        <f t="shared" si="59"/>
        <v>15.860577177590535</v>
      </c>
      <c r="G210" s="132">
        <f t="shared" si="59"/>
        <v>15.090343803262128</v>
      </c>
      <c r="H210" s="132">
        <f t="shared" si="59"/>
        <v>14.20964476672874</v>
      </c>
      <c r="I210" s="132">
        <f t="shared" si="59"/>
        <v>13.218795121152946</v>
      </c>
      <c r="J210" s="132">
        <f t="shared" si="59"/>
        <v>12.118074778887326</v>
      </c>
      <c r="K210" s="132">
        <f t="shared" si="59"/>
        <v>10.907735498245351</v>
      </c>
      <c r="L210" s="132">
        <f t="shared" si="59"/>
        <v>9.5880059780755076</v>
      </c>
      <c r="M210" s="132">
        <f t="shared" si="59"/>
        <v>8.1590956868425497</v>
      </c>
      <c r="N210" s="147">
        <v>6.2</v>
      </c>
      <c r="O210" s="67">
        <f>N210</f>
        <v>6.2</v>
      </c>
    </row>
    <row r="211" spans="1:15">
      <c r="A211" s="128" t="str">
        <f>A209</f>
        <v>TI 191.2</v>
      </c>
      <c r="B211" s="39" t="s">
        <v>324</v>
      </c>
      <c r="C211" s="89">
        <v>0</v>
      </c>
      <c r="D211" s="89">
        <f>D209</f>
        <v>6290</v>
      </c>
      <c r="E211" s="89">
        <f>D211</f>
        <v>6290</v>
      </c>
      <c r="F211" s="89">
        <f t="shared" ref="F211:L211" si="60">$E211+($M211-$E211)/8*F$269</f>
        <v>7066.25</v>
      </c>
      <c r="G211" s="89">
        <f t="shared" si="60"/>
        <v>7842.5</v>
      </c>
      <c r="H211" s="89">
        <f t="shared" si="60"/>
        <v>8618.75</v>
      </c>
      <c r="I211" s="89">
        <f t="shared" si="60"/>
        <v>9395</v>
      </c>
      <c r="J211" s="89">
        <f t="shared" si="60"/>
        <v>10171.25</v>
      </c>
      <c r="K211" s="89">
        <f t="shared" si="60"/>
        <v>10947.5</v>
      </c>
      <c r="L211" s="89">
        <f t="shared" si="60"/>
        <v>11723.75</v>
      </c>
      <c r="M211" s="89">
        <v>12500</v>
      </c>
      <c r="N211" s="89">
        <f>M211</f>
        <v>12500</v>
      </c>
      <c r="O211" s="39">
        <v>0</v>
      </c>
    </row>
    <row r="212" spans="1:15">
      <c r="B212" s="67" t="s">
        <v>300</v>
      </c>
      <c r="C212" s="132">
        <f t="shared" ref="C212:M212" si="61">C210-0.5</f>
        <v>16.019984746277423</v>
      </c>
      <c r="D212" s="132">
        <f t="shared" si="61"/>
        <v>16.019984746277423</v>
      </c>
      <c r="E212" s="132">
        <f t="shared" si="61"/>
        <v>16.019984746277423</v>
      </c>
      <c r="F212" s="132">
        <f t="shared" si="61"/>
        <v>15.360577177590535</v>
      </c>
      <c r="G212" s="132">
        <f t="shared" si="61"/>
        <v>14.590343803262128</v>
      </c>
      <c r="H212" s="132">
        <f t="shared" si="61"/>
        <v>13.70964476672874</v>
      </c>
      <c r="I212" s="132">
        <f t="shared" si="61"/>
        <v>12.718795121152946</v>
      </c>
      <c r="J212" s="132">
        <f t="shared" si="61"/>
        <v>11.618074778887326</v>
      </c>
      <c r="K212" s="132">
        <f t="shared" si="61"/>
        <v>10.407735498245351</v>
      </c>
      <c r="L212" s="132">
        <f t="shared" si="61"/>
        <v>9.0880059780755076</v>
      </c>
      <c r="M212" s="132">
        <f t="shared" si="61"/>
        <v>7.6590956868425497</v>
      </c>
      <c r="N212" s="132">
        <f>N210-0.5</f>
        <v>5.7</v>
      </c>
      <c r="O212" s="132">
        <f>N212</f>
        <v>5.7</v>
      </c>
    </row>
    <row r="213" spans="1:15" s="132" customFormat="1"/>
    <row r="214" spans="1:15">
      <c r="A214" s="143" t="s">
        <v>434</v>
      </c>
      <c r="B214" s="144" t="s">
        <v>324</v>
      </c>
      <c r="C214" s="89">
        <v>0</v>
      </c>
      <c r="D214" s="145">
        <v>6880</v>
      </c>
      <c r="E214" s="89">
        <f>D214</f>
        <v>6880</v>
      </c>
      <c r="F214" s="89">
        <f t="shared" ref="F214:L214" si="62">$E214+($M214-$E214)/8*F$269</f>
        <v>7895</v>
      </c>
      <c r="G214" s="89">
        <f t="shared" si="62"/>
        <v>8910</v>
      </c>
      <c r="H214" s="89">
        <f t="shared" si="62"/>
        <v>9925</v>
      </c>
      <c r="I214" s="89">
        <f t="shared" si="62"/>
        <v>10940</v>
      </c>
      <c r="J214" s="89">
        <f t="shared" si="62"/>
        <v>11955</v>
      </c>
      <c r="K214" s="89">
        <f t="shared" si="62"/>
        <v>12970</v>
      </c>
      <c r="L214" s="89">
        <f t="shared" si="62"/>
        <v>13985</v>
      </c>
      <c r="M214" s="89">
        <v>15000</v>
      </c>
      <c r="N214" s="89">
        <f>M214</f>
        <v>15000</v>
      </c>
      <c r="O214" s="89">
        <v>0</v>
      </c>
    </row>
    <row r="215" spans="1:15" s="67" customFormat="1">
      <c r="A215" s="146"/>
      <c r="B215" s="146" t="s">
        <v>305</v>
      </c>
      <c r="C215" s="132">
        <f>D215</f>
        <v>19.940683257927063</v>
      </c>
      <c r="D215" s="132">
        <f>-2*10^(-7.6)*D214^2+0.00015*D214+21.26-(D214/1000)^2/10^2+0.5</f>
        <v>19.940683257927063</v>
      </c>
      <c r="E215" s="132">
        <f t="shared" ref="E215:M215" si="63">-2*10^(-7.6)*E214^2+0.00015*E214+21.26-(E214/1000)^2/10^2+0.5</f>
        <v>19.940683257927063</v>
      </c>
      <c r="F215" s="132">
        <f t="shared" si="63"/>
        <v>19.189570630808319</v>
      </c>
      <c r="G215" s="132">
        <f t="shared" si="63"/>
        <v>18.314341175733496</v>
      </c>
      <c r="H215" s="132">
        <f t="shared" si="63"/>
        <v>17.314994892702593</v>
      </c>
      <c r="I215" s="132">
        <f t="shared" si="63"/>
        <v>16.191531781715618</v>
      </c>
      <c r="J215" s="132">
        <f t="shared" si="63"/>
        <v>14.943951842772556</v>
      </c>
      <c r="K215" s="132">
        <f t="shared" si="63"/>
        <v>13.572255075873418</v>
      </c>
      <c r="L215" s="132">
        <f t="shared" si="63"/>
        <v>12.076441481018206</v>
      </c>
      <c r="M215" s="132">
        <f t="shared" si="63"/>
        <v>10.456511058206914</v>
      </c>
      <c r="N215" s="147">
        <v>8.5</v>
      </c>
      <c r="O215" s="132">
        <v>8.5</v>
      </c>
    </row>
    <row r="216" spans="1:15">
      <c r="A216" s="143" t="str">
        <f>A214</f>
        <v>TI 231.2</v>
      </c>
      <c r="B216" s="144" t="s">
        <v>324</v>
      </c>
      <c r="C216" s="89">
        <v>0</v>
      </c>
      <c r="D216" s="89">
        <f>D214</f>
        <v>6880</v>
      </c>
      <c r="E216" s="89">
        <f>D216</f>
        <v>6880</v>
      </c>
      <c r="F216" s="89">
        <f t="shared" ref="F216:L216" si="64">$E216+($M216-$E216)/8*F$269</f>
        <v>7582.5</v>
      </c>
      <c r="G216" s="89">
        <f t="shared" si="64"/>
        <v>8285</v>
      </c>
      <c r="H216" s="89">
        <f t="shared" si="64"/>
        <v>8987.5</v>
      </c>
      <c r="I216" s="89">
        <f t="shared" si="64"/>
        <v>9690</v>
      </c>
      <c r="J216" s="89">
        <f t="shared" si="64"/>
        <v>10392.5</v>
      </c>
      <c r="K216" s="89">
        <f t="shared" si="64"/>
        <v>11095</v>
      </c>
      <c r="L216" s="89">
        <f t="shared" si="64"/>
        <v>11797.5</v>
      </c>
      <c r="M216" s="89">
        <v>12500</v>
      </c>
      <c r="N216" s="89">
        <f>M216</f>
        <v>12500</v>
      </c>
      <c r="O216" s="89">
        <v>0</v>
      </c>
    </row>
    <row r="217" spans="1:15">
      <c r="A217" s="144"/>
      <c r="B217" s="146" t="s">
        <v>300</v>
      </c>
      <c r="C217" s="132">
        <f t="shared" ref="C217:M217" si="65">C215-0.5</f>
        <v>19.440683257927063</v>
      </c>
      <c r="D217" s="132">
        <f t="shared" si="65"/>
        <v>19.440683257927063</v>
      </c>
      <c r="E217" s="132">
        <f t="shared" si="65"/>
        <v>19.440683257927063</v>
      </c>
      <c r="F217" s="132">
        <f t="shared" si="65"/>
        <v>18.689570630808319</v>
      </c>
      <c r="G217" s="132">
        <f t="shared" si="65"/>
        <v>17.814341175733496</v>
      </c>
      <c r="H217" s="132">
        <f t="shared" si="65"/>
        <v>16.814994892702593</v>
      </c>
      <c r="I217" s="132">
        <f t="shared" si="65"/>
        <v>15.691531781715618</v>
      </c>
      <c r="J217" s="132">
        <f t="shared" si="65"/>
        <v>14.443951842772556</v>
      </c>
      <c r="K217" s="132">
        <f t="shared" si="65"/>
        <v>13.072255075873418</v>
      </c>
      <c r="L217" s="132">
        <f t="shared" si="65"/>
        <v>11.576441481018206</v>
      </c>
      <c r="M217" s="132">
        <f t="shared" si="65"/>
        <v>9.9565110582069138</v>
      </c>
      <c r="N217" s="132">
        <f>N215-0.5</f>
        <v>8</v>
      </c>
      <c r="O217" s="132">
        <v>8</v>
      </c>
    </row>
    <row r="218" spans="1:15" s="132" customFormat="1"/>
    <row r="219" spans="1:15">
      <c r="A219" s="128" t="s">
        <v>437</v>
      </c>
      <c r="B219" s="39" t="s">
        <v>324</v>
      </c>
      <c r="C219" s="89">
        <v>0</v>
      </c>
      <c r="D219" s="145">
        <v>9500</v>
      </c>
      <c r="E219" s="89">
        <f>D219</f>
        <v>9500</v>
      </c>
      <c r="F219" s="39">
        <f t="shared" ref="F219:L219" si="66">$E219+($M219-$E219)/8*F$269</f>
        <v>11062.5</v>
      </c>
      <c r="G219" s="39">
        <f t="shared" si="66"/>
        <v>12625</v>
      </c>
      <c r="H219" s="39">
        <f t="shared" si="66"/>
        <v>14187.5</v>
      </c>
      <c r="I219" s="39">
        <f t="shared" si="66"/>
        <v>15750</v>
      </c>
      <c r="J219" s="39">
        <f t="shared" si="66"/>
        <v>17312.5</v>
      </c>
      <c r="K219" s="39">
        <f t="shared" si="66"/>
        <v>18875</v>
      </c>
      <c r="L219" s="39">
        <f t="shared" si="66"/>
        <v>20437.5</v>
      </c>
      <c r="M219" s="89">
        <v>22000</v>
      </c>
      <c r="N219" s="39">
        <f>M219</f>
        <v>22000</v>
      </c>
      <c r="O219" s="39">
        <v>0</v>
      </c>
    </row>
    <row r="220" spans="1:15" s="67" customFormat="1">
      <c r="B220" s="67" t="s">
        <v>305</v>
      </c>
      <c r="C220" s="67">
        <f>D220</f>
        <v>5.2393749999999999</v>
      </c>
      <c r="D220" s="132">
        <f>-4*10^(-9)*D219^2+0.000008*D219+5.25-(D219/1000)^2/20^2+0.5</f>
        <v>5.2393749999999999</v>
      </c>
      <c r="E220" s="132">
        <f t="shared" ref="E220:M220" si="67">-4*10^(-9)*E219^2+0.000008*E219+5.25-(E219/1000)^2/20^2+0.5</f>
        <v>5.2393749999999999</v>
      </c>
      <c r="F220" s="132">
        <f t="shared" si="67"/>
        <v>5.0430371093749997</v>
      </c>
      <c r="G220" s="132">
        <f t="shared" si="67"/>
        <v>4.8149609374999995</v>
      </c>
      <c r="H220" s="132">
        <f t="shared" si="67"/>
        <v>4.5551464843750002</v>
      </c>
      <c r="I220" s="132">
        <f t="shared" si="67"/>
        <v>4.2635937500000001</v>
      </c>
      <c r="J220" s="132">
        <f t="shared" si="67"/>
        <v>3.9403027343749999</v>
      </c>
      <c r="K220" s="132">
        <f t="shared" si="67"/>
        <v>3.5852734374999997</v>
      </c>
      <c r="L220" s="132">
        <f t="shared" si="67"/>
        <v>3.198505859375</v>
      </c>
      <c r="M220" s="132">
        <f t="shared" si="67"/>
        <v>2.78</v>
      </c>
      <c r="N220" s="147">
        <v>2.15</v>
      </c>
      <c r="O220" s="67">
        <f>N220</f>
        <v>2.15</v>
      </c>
    </row>
    <row r="221" spans="1:15">
      <c r="A221" s="128" t="str">
        <f>A219</f>
        <v>TI 62.2</v>
      </c>
      <c r="B221" s="39" t="s">
        <v>324</v>
      </c>
      <c r="C221" s="89">
        <v>0</v>
      </c>
      <c r="D221" s="89">
        <f>D219</f>
        <v>9500</v>
      </c>
      <c r="E221" s="89">
        <f>D221</f>
        <v>9500</v>
      </c>
      <c r="F221" s="89">
        <f t="shared" ref="F221:L221" si="68">$E221+($M221-$E221)/8*F$269</f>
        <v>10937.5</v>
      </c>
      <c r="G221" s="89">
        <f t="shared" si="68"/>
        <v>12375</v>
      </c>
      <c r="H221" s="89">
        <f t="shared" si="68"/>
        <v>13812.5</v>
      </c>
      <c r="I221" s="89">
        <f t="shared" si="68"/>
        <v>15250</v>
      </c>
      <c r="J221" s="89">
        <f t="shared" si="68"/>
        <v>16687.5</v>
      </c>
      <c r="K221" s="89">
        <f t="shared" si="68"/>
        <v>18125</v>
      </c>
      <c r="L221" s="89">
        <f t="shared" si="68"/>
        <v>19562.5</v>
      </c>
      <c r="M221" s="89">
        <v>21000</v>
      </c>
      <c r="N221" s="39">
        <f>M221</f>
        <v>21000</v>
      </c>
      <c r="O221" s="39">
        <v>0</v>
      </c>
    </row>
    <row r="222" spans="1:15">
      <c r="B222" s="67" t="s">
        <v>300</v>
      </c>
      <c r="C222" s="132">
        <f t="shared" ref="C222:M222" si="69">C220-0.5</f>
        <v>4.7393749999999999</v>
      </c>
      <c r="D222" s="132">
        <f t="shared" si="69"/>
        <v>4.7393749999999999</v>
      </c>
      <c r="E222" s="132">
        <f t="shared" si="69"/>
        <v>4.7393749999999999</v>
      </c>
      <c r="F222" s="132">
        <f t="shared" si="69"/>
        <v>4.5430371093749997</v>
      </c>
      <c r="G222" s="132">
        <f t="shared" si="69"/>
        <v>4.3149609374999995</v>
      </c>
      <c r="H222" s="132">
        <f t="shared" si="69"/>
        <v>4.0551464843750002</v>
      </c>
      <c r="I222" s="132">
        <f t="shared" si="69"/>
        <v>3.7635937500000001</v>
      </c>
      <c r="J222" s="132">
        <f t="shared" si="69"/>
        <v>3.4403027343749999</v>
      </c>
      <c r="K222" s="132">
        <f t="shared" si="69"/>
        <v>3.0852734374999997</v>
      </c>
      <c r="L222" s="132">
        <f t="shared" si="69"/>
        <v>2.698505859375</v>
      </c>
      <c r="M222" s="132">
        <f t="shared" si="69"/>
        <v>2.2799999999999998</v>
      </c>
      <c r="N222" s="132">
        <f>N220-0.5</f>
        <v>1.65</v>
      </c>
      <c r="O222" s="132">
        <f>N222</f>
        <v>1.65</v>
      </c>
    </row>
    <row r="223" spans="1:15" s="132" customFormat="1"/>
    <row r="224" spans="1:15">
      <c r="A224" s="128" t="s">
        <v>440</v>
      </c>
      <c r="B224" s="39" t="s">
        <v>324</v>
      </c>
      <c r="C224" s="89">
        <v>0</v>
      </c>
      <c r="D224" s="145">
        <v>7950</v>
      </c>
      <c r="E224" s="89">
        <f>D224</f>
        <v>7950</v>
      </c>
      <c r="F224" s="39">
        <f t="shared" ref="F224:L224" si="70">$E224+($M224-$E224)/8*F$269</f>
        <v>9956.25</v>
      </c>
      <c r="G224" s="39">
        <f t="shared" si="70"/>
        <v>11962.5</v>
      </c>
      <c r="H224" s="39">
        <f t="shared" si="70"/>
        <v>13968.75</v>
      </c>
      <c r="I224" s="39">
        <f t="shared" si="70"/>
        <v>15975</v>
      </c>
      <c r="J224" s="39">
        <f t="shared" si="70"/>
        <v>17981.25</v>
      </c>
      <c r="K224" s="39">
        <f t="shared" si="70"/>
        <v>19987.5</v>
      </c>
      <c r="L224" s="39">
        <f t="shared" si="70"/>
        <v>21993.75</v>
      </c>
      <c r="M224" s="89">
        <v>24000</v>
      </c>
      <c r="N224" s="39">
        <f>M224</f>
        <v>24000</v>
      </c>
      <c r="O224" s="39">
        <v>0</v>
      </c>
    </row>
    <row r="225" spans="1:15" s="67" customFormat="1">
      <c r="B225" s="67" t="s">
        <v>305</v>
      </c>
      <c r="C225" s="67">
        <f>D225</f>
        <v>8.6322852359049183</v>
      </c>
      <c r="D225" s="132">
        <f>-7*10^(-9)*D224^1.994+0.00001*D224+8.63-(D224/1000)^2/20^2+0.5</f>
        <v>8.6322852359049183</v>
      </c>
      <c r="E225" s="132">
        <f t="shared" ref="E225:M225" si="71">-7*10^(-9)*E224^1.994+0.00001*E224+8.63-(E224/1000)^2/20^2+0.5</f>
        <v>8.6322852359049183</v>
      </c>
      <c r="F225" s="132">
        <f t="shared" si="71"/>
        <v>8.3251449530583859</v>
      </c>
      <c r="G225" s="132">
        <f t="shared" si="71"/>
        <v>7.945034944045628</v>
      </c>
      <c r="H225" s="132">
        <f t="shared" si="71"/>
        <v>7.4920137187916236</v>
      </c>
      <c r="I225" s="132">
        <f t="shared" si="71"/>
        <v>6.9661305609142197</v>
      </c>
      <c r="J225" s="132">
        <f t="shared" si="71"/>
        <v>6.367428047327742</v>
      </c>
      <c r="K225" s="132">
        <f t="shared" si="71"/>
        <v>5.6959436570344817</v>
      </c>
      <c r="L225" s="132">
        <f t="shared" si="71"/>
        <v>4.9517108619100396</v>
      </c>
      <c r="M225" s="132">
        <f t="shared" si="71"/>
        <v>4.1347599007225657</v>
      </c>
      <c r="N225" s="147">
        <v>2.4500000000000002</v>
      </c>
      <c r="O225" s="67">
        <f>N225</f>
        <v>2.4500000000000002</v>
      </c>
    </row>
    <row r="226" spans="1:15">
      <c r="A226" s="128" t="str">
        <f>A224</f>
        <v>TI 102.2</v>
      </c>
      <c r="B226" s="39" t="s">
        <v>324</v>
      </c>
      <c r="C226" s="89">
        <v>0</v>
      </c>
      <c r="D226" s="89">
        <f>D224</f>
        <v>7950</v>
      </c>
      <c r="E226" s="89">
        <f>D226</f>
        <v>7950</v>
      </c>
      <c r="F226" s="89">
        <f t="shared" ref="F226:L226" si="72">$E226+($M226-$E226)/8*F$269</f>
        <v>9956.25</v>
      </c>
      <c r="G226" s="89">
        <f t="shared" si="72"/>
        <v>11962.5</v>
      </c>
      <c r="H226" s="89">
        <f t="shared" si="72"/>
        <v>13968.75</v>
      </c>
      <c r="I226" s="89">
        <f t="shared" si="72"/>
        <v>15975</v>
      </c>
      <c r="J226" s="89">
        <f t="shared" si="72"/>
        <v>17981.25</v>
      </c>
      <c r="K226" s="89">
        <f t="shared" si="72"/>
        <v>19987.5</v>
      </c>
      <c r="L226" s="89">
        <f t="shared" si="72"/>
        <v>21993.75</v>
      </c>
      <c r="M226" s="89">
        <v>24000</v>
      </c>
      <c r="N226" s="39">
        <f>M226</f>
        <v>24000</v>
      </c>
      <c r="O226" s="39">
        <v>0</v>
      </c>
    </row>
    <row r="227" spans="1:15">
      <c r="B227" s="67" t="s">
        <v>300</v>
      </c>
      <c r="C227" s="132">
        <f t="shared" ref="C227:M227" si="73">C225-0.5</f>
        <v>8.1322852359049183</v>
      </c>
      <c r="D227" s="132">
        <f t="shared" si="73"/>
        <v>8.1322852359049183</v>
      </c>
      <c r="E227" s="132">
        <f t="shared" si="73"/>
        <v>8.1322852359049183</v>
      </c>
      <c r="F227" s="132">
        <f t="shared" si="73"/>
        <v>7.8251449530583859</v>
      </c>
      <c r="G227" s="132">
        <f t="shared" si="73"/>
        <v>7.445034944045628</v>
      </c>
      <c r="H227" s="132">
        <f t="shared" si="73"/>
        <v>6.9920137187916236</v>
      </c>
      <c r="I227" s="132">
        <f t="shared" si="73"/>
        <v>6.4661305609142197</v>
      </c>
      <c r="J227" s="132">
        <f t="shared" si="73"/>
        <v>5.867428047327742</v>
      </c>
      <c r="K227" s="132">
        <f t="shared" si="73"/>
        <v>5.1959436570344817</v>
      </c>
      <c r="L227" s="132">
        <f t="shared" si="73"/>
        <v>4.4517108619100396</v>
      </c>
      <c r="M227" s="132">
        <f t="shared" si="73"/>
        <v>3.6347599007225657</v>
      </c>
      <c r="N227" s="132">
        <f>N225-0.5</f>
        <v>1.9500000000000002</v>
      </c>
      <c r="O227" s="132">
        <f>N227</f>
        <v>1.9500000000000002</v>
      </c>
    </row>
    <row r="228" spans="1:15" s="132" customFormat="1"/>
    <row r="229" spans="1:15">
      <c r="A229" s="128" t="s">
        <v>443</v>
      </c>
      <c r="B229" s="39" t="s">
        <v>324</v>
      </c>
      <c r="C229" s="89">
        <v>0</v>
      </c>
      <c r="D229" s="145">
        <v>8550</v>
      </c>
      <c r="E229" s="89">
        <f>D229</f>
        <v>8550</v>
      </c>
      <c r="F229" s="39">
        <f t="shared" ref="F229:L229" si="74">$E229+($M229-$E229)/8*F$269</f>
        <v>10481.25</v>
      </c>
      <c r="G229" s="39">
        <f t="shared" si="74"/>
        <v>12412.5</v>
      </c>
      <c r="H229" s="39">
        <f t="shared" si="74"/>
        <v>14343.75</v>
      </c>
      <c r="I229" s="39">
        <f t="shared" si="74"/>
        <v>16275</v>
      </c>
      <c r="J229" s="39">
        <f t="shared" si="74"/>
        <v>18206.25</v>
      </c>
      <c r="K229" s="39">
        <f t="shared" si="74"/>
        <v>20137.5</v>
      </c>
      <c r="L229" s="39">
        <f t="shared" si="74"/>
        <v>22068.75</v>
      </c>
      <c r="M229" s="89">
        <v>24000</v>
      </c>
      <c r="N229" s="39">
        <f>M229</f>
        <v>24000</v>
      </c>
      <c r="O229" s="39">
        <v>0</v>
      </c>
    </row>
    <row r="230" spans="1:15" s="67" customFormat="1">
      <c r="B230" s="67" t="s">
        <v>305</v>
      </c>
      <c r="C230" s="67">
        <f>D230</f>
        <v>11.721279585590221</v>
      </c>
      <c r="D230" s="132">
        <f>-7*10^(-8.9)*D229^2+0.000015*D229+11.92-(D229/1000)^2/20^2+0.5</f>
        <v>11.721279585590221</v>
      </c>
      <c r="E230" s="132">
        <f t="shared" ref="E230:M230" si="75">-7*10^(-8.9)*E229^2+0.000015*E229+11.92-(E229/1000)^2/20^2+0.5</f>
        <v>11.721279585590221</v>
      </c>
      <c r="F230" s="132">
        <f t="shared" si="75"/>
        <v>11.334468374571106</v>
      </c>
      <c r="G230" s="132">
        <f t="shared" si="75"/>
        <v>10.863272265059445</v>
      </c>
      <c r="H230" s="132">
        <f t="shared" si="75"/>
        <v>10.307691257055234</v>
      </c>
      <c r="I230" s="132">
        <f t="shared" si="75"/>
        <v>9.6677253505584719</v>
      </c>
      <c r="J230" s="132">
        <f t="shared" si="75"/>
        <v>8.9433745455691636</v>
      </c>
      <c r="K230" s="132">
        <f t="shared" si="75"/>
        <v>8.1346388420873037</v>
      </c>
      <c r="L230" s="132">
        <f t="shared" si="75"/>
        <v>7.241518240112895</v>
      </c>
      <c r="M230" s="132">
        <f t="shared" si="75"/>
        <v>6.2640127396459384</v>
      </c>
      <c r="N230" s="147">
        <v>5.05</v>
      </c>
      <c r="O230" s="67">
        <f>N230</f>
        <v>5.05</v>
      </c>
    </row>
    <row r="231" spans="1:15">
      <c r="A231" s="128" t="str">
        <f>A229</f>
        <v>TI 132.2</v>
      </c>
      <c r="B231" s="39" t="s">
        <v>324</v>
      </c>
      <c r="C231" s="89">
        <v>0</v>
      </c>
      <c r="D231" s="89">
        <f>D229</f>
        <v>8550</v>
      </c>
      <c r="E231" s="89">
        <f>D231</f>
        <v>8550</v>
      </c>
      <c r="F231" s="89">
        <f t="shared" ref="F231:L231" si="76">$E231+($M231-$E231)/8*F$269</f>
        <v>10481.25</v>
      </c>
      <c r="G231" s="89">
        <f t="shared" si="76"/>
        <v>12412.5</v>
      </c>
      <c r="H231" s="89">
        <f t="shared" si="76"/>
        <v>14343.75</v>
      </c>
      <c r="I231" s="89">
        <f t="shared" si="76"/>
        <v>16275</v>
      </c>
      <c r="J231" s="89">
        <f t="shared" si="76"/>
        <v>18206.25</v>
      </c>
      <c r="K231" s="89">
        <f t="shared" si="76"/>
        <v>20137.5</v>
      </c>
      <c r="L231" s="89">
        <f t="shared" si="76"/>
        <v>22068.75</v>
      </c>
      <c r="M231" s="89">
        <v>24000</v>
      </c>
      <c r="N231" s="39">
        <f>M231</f>
        <v>24000</v>
      </c>
      <c r="O231" s="39">
        <v>0</v>
      </c>
    </row>
    <row r="232" spans="1:15">
      <c r="B232" s="67" t="s">
        <v>300</v>
      </c>
      <c r="C232" s="132">
        <f t="shared" ref="C232:M232" si="77">C230-0.5</f>
        <v>11.221279585590221</v>
      </c>
      <c r="D232" s="132">
        <f t="shared" si="77"/>
        <v>11.221279585590221</v>
      </c>
      <c r="E232" s="132">
        <f t="shared" si="77"/>
        <v>11.221279585590221</v>
      </c>
      <c r="F232" s="132">
        <f t="shared" si="77"/>
        <v>10.834468374571106</v>
      </c>
      <c r="G232" s="132">
        <f t="shared" si="77"/>
        <v>10.363272265059445</v>
      </c>
      <c r="H232" s="132">
        <f t="shared" si="77"/>
        <v>9.8076912570552341</v>
      </c>
      <c r="I232" s="132">
        <f t="shared" si="77"/>
        <v>9.1677253505584719</v>
      </c>
      <c r="J232" s="132">
        <f t="shared" si="77"/>
        <v>8.4433745455691636</v>
      </c>
      <c r="K232" s="132">
        <f t="shared" si="77"/>
        <v>7.6346388420873037</v>
      </c>
      <c r="L232" s="132">
        <f t="shared" si="77"/>
        <v>6.741518240112895</v>
      </c>
      <c r="M232" s="132">
        <f t="shared" si="77"/>
        <v>5.7640127396459384</v>
      </c>
      <c r="N232" s="132">
        <f>N230-0.5</f>
        <v>4.55</v>
      </c>
      <c r="O232" s="132">
        <f>N232</f>
        <v>4.55</v>
      </c>
    </row>
    <row r="233" spans="1:15" s="132" customFormat="1"/>
    <row r="234" spans="1:15">
      <c r="A234" s="128" t="s">
        <v>446</v>
      </c>
      <c r="B234" s="39" t="s">
        <v>324</v>
      </c>
      <c r="C234" s="89">
        <v>0</v>
      </c>
      <c r="D234" s="145">
        <v>10800</v>
      </c>
      <c r="E234" s="89">
        <f>D234</f>
        <v>10800</v>
      </c>
      <c r="F234" s="39">
        <f t="shared" ref="F234:L234" si="78">$E234+($M234-$E234)/8*F$269</f>
        <v>12450</v>
      </c>
      <c r="G234" s="39">
        <f t="shared" si="78"/>
        <v>14100</v>
      </c>
      <c r="H234" s="39">
        <f t="shared" si="78"/>
        <v>15750</v>
      </c>
      <c r="I234" s="39">
        <f t="shared" si="78"/>
        <v>17400</v>
      </c>
      <c r="J234" s="39">
        <f t="shared" si="78"/>
        <v>19050</v>
      </c>
      <c r="K234" s="39">
        <f t="shared" si="78"/>
        <v>20700</v>
      </c>
      <c r="L234" s="39">
        <f t="shared" si="78"/>
        <v>22350</v>
      </c>
      <c r="M234" s="89">
        <v>24000</v>
      </c>
      <c r="N234" s="39">
        <f>M234</f>
        <v>24000</v>
      </c>
      <c r="O234" s="39">
        <v>0</v>
      </c>
    </row>
    <row r="235" spans="1:15" s="67" customFormat="1">
      <c r="B235" s="67" t="s">
        <v>305</v>
      </c>
      <c r="C235" s="67">
        <f>D235</f>
        <v>15.645504464250692</v>
      </c>
      <c r="D235" s="132">
        <f>-8*10^(-8.8)*D234^2+0.00002*D234+16.7-(D234/1000)^2/20^2+0.5</f>
        <v>15.645504464250692</v>
      </c>
      <c r="E235" s="132">
        <f t="shared" ref="E235:M235" si="79">-8*10^(-8.8)*E234^2+0.00002*E234+16.7-(E234/1000)^2/20^2+0.5</f>
        <v>15.645504464250692</v>
      </c>
      <c r="F235" s="132">
        <f t="shared" si="79"/>
        <v>15.096194493484379</v>
      </c>
      <c r="G235" s="132">
        <f t="shared" si="79"/>
        <v>14.46423407525446</v>
      </c>
      <c r="H235" s="132">
        <f t="shared" si="79"/>
        <v>13.749623209560934</v>
      </c>
      <c r="I235" s="132">
        <f t="shared" si="79"/>
        <v>12.952361896403804</v>
      </c>
      <c r="J235" s="132">
        <f t="shared" si="79"/>
        <v>12.072450135783068</v>
      </c>
      <c r="K235" s="132">
        <f t="shared" si="79"/>
        <v>11.109887927698724</v>
      </c>
      <c r="L235" s="132">
        <f t="shared" si="79"/>
        <v>10.064675272150778</v>
      </c>
      <c r="M235" s="132">
        <f t="shared" si="79"/>
        <v>8.936812169139225</v>
      </c>
      <c r="N235" s="147">
        <v>5.8</v>
      </c>
      <c r="O235" s="67">
        <f>N235</f>
        <v>5.8</v>
      </c>
    </row>
    <row r="236" spans="1:15">
      <c r="A236" s="128" t="str">
        <f>A234</f>
        <v>TI 182.2</v>
      </c>
      <c r="B236" s="39" t="s">
        <v>324</v>
      </c>
      <c r="C236" s="89">
        <v>0</v>
      </c>
      <c r="D236" s="89">
        <f>D234</f>
        <v>10800</v>
      </c>
      <c r="E236" s="89">
        <f>D236</f>
        <v>10800</v>
      </c>
      <c r="F236" s="89">
        <f t="shared" ref="F236:L236" si="80">$E236+($M236-$E236)/8*F$269</f>
        <v>12450</v>
      </c>
      <c r="G236" s="89">
        <f t="shared" si="80"/>
        <v>14100</v>
      </c>
      <c r="H236" s="89">
        <f t="shared" si="80"/>
        <v>15750</v>
      </c>
      <c r="I236" s="89">
        <f t="shared" si="80"/>
        <v>17400</v>
      </c>
      <c r="J236" s="89">
        <f t="shared" si="80"/>
        <v>19050</v>
      </c>
      <c r="K236" s="89">
        <f t="shared" si="80"/>
        <v>20700</v>
      </c>
      <c r="L236" s="89">
        <f t="shared" si="80"/>
        <v>22350</v>
      </c>
      <c r="M236" s="89">
        <v>24000</v>
      </c>
      <c r="N236" s="39">
        <f>M236</f>
        <v>24000</v>
      </c>
      <c r="O236" s="39">
        <v>0</v>
      </c>
    </row>
    <row r="237" spans="1:15">
      <c r="B237" s="67" t="s">
        <v>300</v>
      </c>
      <c r="C237" s="132">
        <f t="shared" ref="C237:M237" si="81">C235-0.5</f>
        <v>15.145504464250692</v>
      </c>
      <c r="D237" s="132">
        <f t="shared" si="81"/>
        <v>15.145504464250692</v>
      </c>
      <c r="E237" s="132">
        <f t="shared" si="81"/>
        <v>15.145504464250692</v>
      </c>
      <c r="F237" s="132">
        <f t="shared" si="81"/>
        <v>14.596194493484379</v>
      </c>
      <c r="G237" s="132">
        <f t="shared" si="81"/>
        <v>13.96423407525446</v>
      </c>
      <c r="H237" s="132">
        <f t="shared" si="81"/>
        <v>13.249623209560934</v>
      </c>
      <c r="I237" s="132">
        <f t="shared" si="81"/>
        <v>12.452361896403804</v>
      </c>
      <c r="J237" s="132">
        <f t="shared" si="81"/>
        <v>11.572450135783068</v>
      </c>
      <c r="K237" s="132">
        <f t="shared" si="81"/>
        <v>10.609887927698724</v>
      </c>
      <c r="L237" s="132">
        <f t="shared" si="81"/>
        <v>9.5646752721507777</v>
      </c>
      <c r="M237" s="132">
        <f t="shared" si="81"/>
        <v>8.436812169139225</v>
      </c>
      <c r="N237" s="132">
        <f>N235-0.5</f>
        <v>5.3</v>
      </c>
      <c r="O237" s="132">
        <f>N237</f>
        <v>5.3</v>
      </c>
    </row>
    <row r="238" spans="1:15" s="132" customFormat="1"/>
    <row r="239" spans="1:15">
      <c r="A239" s="143" t="s">
        <v>449</v>
      </c>
      <c r="B239" s="144" t="s">
        <v>324</v>
      </c>
      <c r="C239" s="89">
        <v>0</v>
      </c>
      <c r="D239" s="145">
        <v>11300</v>
      </c>
      <c r="E239" s="89">
        <f>D239</f>
        <v>11300</v>
      </c>
      <c r="F239" s="39">
        <f t="shared" ref="F239:L239" si="82">$E239+($M239-$E239)/8*F$269</f>
        <v>12387.5</v>
      </c>
      <c r="G239" s="39">
        <f t="shared" si="82"/>
        <v>13475</v>
      </c>
      <c r="H239" s="39">
        <f t="shared" si="82"/>
        <v>14562.5</v>
      </c>
      <c r="I239" s="39">
        <f t="shared" si="82"/>
        <v>15650</v>
      </c>
      <c r="J239" s="39">
        <f t="shared" si="82"/>
        <v>16737.5</v>
      </c>
      <c r="K239" s="39">
        <f t="shared" si="82"/>
        <v>17825</v>
      </c>
      <c r="L239" s="39">
        <f t="shared" si="82"/>
        <v>18912.5</v>
      </c>
      <c r="M239" s="89">
        <v>20000</v>
      </c>
      <c r="N239" s="39">
        <f>M239</f>
        <v>20000</v>
      </c>
      <c r="O239" s="39">
        <v>0</v>
      </c>
    </row>
    <row r="240" spans="1:15" s="67" customFormat="1">
      <c r="A240" s="146"/>
      <c r="B240" s="146" t="s">
        <v>305</v>
      </c>
      <c r="C240" s="67">
        <f>D240</f>
        <v>19.009982902746064</v>
      </c>
      <c r="D240" s="132">
        <f>-9*10^(-8.6)*D239^1.965+0.000055*D239+20.29-(D239/1000)^2/20^2+0.5</f>
        <v>19.009982902746064</v>
      </c>
      <c r="E240" s="132">
        <f t="shared" ref="E240:M240" si="83">-9*10^(-8.6)*E239^1.965+0.000055*E239+20.29-(E239/1000)^2/20^2+0.5</f>
        <v>19.009982902746064</v>
      </c>
      <c r="F240" s="132">
        <f t="shared" si="83"/>
        <v>18.593348460159032</v>
      </c>
      <c r="G240" s="132">
        <f t="shared" si="83"/>
        <v>18.134346617857783</v>
      </c>
      <c r="H240" s="132">
        <f t="shared" si="83"/>
        <v>17.633084713480109</v>
      </c>
      <c r="I240" s="132">
        <f t="shared" si="83"/>
        <v>17.089661450944966</v>
      </c>
      <c r="J240" s="132">
        <f t="shared" si="83"/>
        <v>16.504168169048747</v>
      </c>
      <c r="K240" s="132">
        <f t="shared" si="83"/>
        <v>15.876689850492252</v>
      </c>
      <c r="L240" s="132">
        <f t="shared" si="83"/>
        <v>15.207305937554249</v>
      </c>
      <c r="M240" s="132">
        <f t="shared" si="83"/>
        <v>14.496091000785604</v>
      </c>
      <c r="N240" s="147">
        <v>12.1</v>
      </c>
      <c r="O240" s="67">
        <f>N240</f>
        <v>12.1</v>
      </c>
    </row>
    <row r="241" spans="1:15">
      <c r="A241" s="143" t="str">
        <f>A239</f>
        <v>TI 212.2</v>
      </c>
      <c r="B241" s="144" t="s">
        <v>324</v>
      </c>
      <c r="C241" s="89">
        <v>0</v>
      </c>
      <c r="D241" s="89">
        <f>D239</f>
        <v>11300</v>
      </c>
      <c r="E241" s="89">
        <f>D241</f>
        <v>11300</v>
      </c>
      <c r="F241" s="89">
        <f t="shared" ref="F241:L241" si="84">$E241+($M241-$E241)/8*F$269</f>
        <v>12387.5</v>
      </c>
      <c r="G241" s="89">
        <f t="shared" si="84"/>
        <v>13475</v>
      </c>
      <c r="H241" s="89">
        <f t="shared" si="84"/>
        <v>14562.5</v>
      </c>
      <c r="I241" s="89">
        <f t="shared" si="84"/>
        <v>15650</v>
      </c>
      <c r="J241" s="89">
        <f t="shared" si="84"/>
        <v>16737.5</v>
      </c>
      <c r="K241" s="89">
        <f t="shared" si="84"/>
        <v>17825</v>
      </c>
      <c r="L241" s="89">
        <f t="shared" si="84"/>
        <v>18912.5</v>
      </c>
      <c r="M241" s="89">
        <v>20000</v>
      </c>
      <c r="N241" s="39">
        <f>M241</f>
        <v>20000</v>
      </c>
      <c r="O241" s="39">
        <v>0</v>
      </c>
    </row>
    <row r="242" spans="1:15">
      <c r="A242" s="144"/>
      <c r="B242" s="146" t="s">
        <v>300</v>
      </c>
      <c r="C242" s="132">
        <f t="shared" ref="C242:M242" si="85">C240-0.5</f>
        <v>18.509982902746064</v>
      </c>
      <c r="D242" s="132">
        <f t="shared" si="85"/>
        <v>18.509982902746064</v>
      </c>
      <c r="E242" s="132">
        <f t="shared" si="85"/>
        <v>18.509982902746064</v>
      </c>
      <c r="F242" s="132">
        <f t="shared" si="85"/>
        <v>18.093348460159032</v>
      </c>
      <c r="G242" s="132">
        <f t="shared" si="85"/>
        <v>17.634346617857783</v>
      </c>
      <c r="H242" s="132">
        <f t="shared" si="85"/>
        <v>17.133084713480109</v>
      </c>
      <c r="I242" s="132">
        <f t="shared" si="85"/>
        <v>16.589661450944966</v>
      </c>
      <c r="J242" s="132">
        <f t="shared" si="85"/>
        <v>16.004168169048747</v>
      </c>
      <c r="K242" s="132">
        <f t="shared" si="85"/>
        <v>15.376689850492252</v>
      </c>
      <c r="L242" s="132">
        <f t="shared" si="85"/>
        <v>14.707305937554249</v>
      </c>
      <c r="M242" s="132">
        <f t="shared" si="85"/>
        <v>13.996091000785604</v>
      </c>
      <c r="N242" s="132">
        <f>N240-0.5</f>
        <v>11.6</v>
      </c>
      <c r="O242" s="132">
        <f>N242</f>
        <v>11.6</v>
      </c>
    </row>
    <row r="243" spans="1:15" s="132" customFormat="1"/>
    <row r="244" spans="1:15">
      <c r="A244" s="128" t="s">
        <v>452</v>
      </c>
      <c r="B244" s="39" t="s">
        <v>324</v>
      </c>
      <c r="C244" s="89">
        <v>0</v>
      </c>
      <c r="D244" s="145">
        <v>18950</v>
      </c>
      <c r="E244" s="89">
        <f>D244</f>
        <v>18950</v>
      </c>
      <c r="F244" s="39">
        <f t="shared" ref="F244:L244" si="86">$E244+($M244-$E244)/8*F$269</f>
        <v>20331.25</v>
      </c>
      <c r="G244" s="39">
        <f t="shared" si="86"/>
        <v>21712.5</v>
      </c>
      <c r="H244" s="39">
        <f t="shared" si="86"/>
        <v>23093.75</v>
      </c>
      <c r="I244" s="39">
        <f t="shared" si="86"/>
        <v>24475</v>
      </c>
      <c r="J244" s="39">
        <f t="shared" si="86"/>
        <v>25856.25</v>
      </c>
      <c r="K244" s="39">
        <f t="shared" si="86"/>
        <v>27237.5</v>
      </c>
      <c r="L244" s="39">
        <f t="shared" si="86"/>
        <v>28618.75</v>
      </c>
      <c r="M244" s="89">
        <v>30000</v>
      </c>
      <c r="N244" s="39">
        <f>M244</f>
        <v>30000</v>
      </c>
      <c r="O244" s="39">
        <v>0</v>
      </c>
    </row>
    <row r="245" spans="1:15" s="67" customFormat="1">
      <c r="B245" s="67" t="s">
        <v>305</v>
      </c>
      <c r="C245" s="67">
        <f>D245</f>
        <v>3.6504798907151756</v>
      </c>
      <c r="D245" s="132">
        <f>-8*10^(-10.85)*D244^2.195+0.0000001*D244+3.65-(D244/1000)^2/40^2+0.5</f>
        <v>3.6504798907151756</v>
      </c>
      <c r="E245" s="132">
        <f t="shared" ref="E245:M245" si="87">-8*10^(-10.85)*E244^2.195+0.0000001*E244+3.65-(E244/1000)^2/40^2+0.5</f>
        <v>3.6504798907151756</v>
      </c>
      <c r="F245" s="132">
        <f t="shared" si="87"/>
        <v>3.5704544258789093</v>
      </c>
      <c r="G245" s="132">
        <f t="shared" si="87"/>
        <v>3.4841312105200868</v>
      </c>
      <c r="H245" s="132">
        <f t="shared" si="87"/>
        <v>3.3914597396074311</v>
      </c>
      <c r="I245" s="132">
        <f t="shared" si="87"/>
        <v>3.2923920347280671</v>
      </c>
      <c r="J245" s="132">
        <f t="shared" si="87"/>
        <v>3.186882377009133</v>
      </c>
      <c r="K245" s="132">
        <f t="shared" si="87"/>
        <v>3.0748870815187113</v>
      </c>
      <c r="L245" s="132">
        <f t="shared" si="87"/>
        <v>2.9563643048597297</v>
      </c>
      <c r="M245" s="132">
        <f t="shared" si="87"/>
        <v>2.8312738796580126</v>
      </c>
      <c r="N245" s="147">
        <v>2.65</v>
      </c>
      <c r="O245" s="67">
        <f>N245</f>
        <v>2.65</v>
      </c>
    </row>
    <row r="246" spans="1:15">
      <c r="A246" s="128" t="str">
        <f>A244</f>
        <v>TI 43.2</v>
      </c>
      <c r="B246" s="39" t="s">
        <v>324</v>
      </c>
      <c r="C246" s="89">
        <v>0</v>
      </c>
      <c r="D246" s="89">
        <f>D244</f>
        <v>18950</v>
      </c>
      <c r="E246" s="89">
        <f>D246</f>
        <v>18950</v>
      </c>
      <c r="F246" s="89">
        <f t="shared" ref="F246:L246" si="88">$E246+($M246-$E246)/8*F$269</f>
        <v>20331.25</v>
      </c>
      <c r="G246" s="89">
        <f t="shared" si="88"/>
        <v>21712.5</v>
      </c>
      <c r="H246" s="89">
        <f t="shared" si="88"/>
        <v>23093.75</v>
      </c>
      <c r="I246" s="89">
        <f t="shared" si="88"/>
        <v>24475</v>
      </c>
      <c r="J246" s="89">
        <f t="shared" si="88"/>
        <v>25856.25</v>
      </c>
      <c r="K246" s="89">
        <f t="shared" si="88"/>
        <v>27237.5</v>
      </c>
      <c r="L246" s="89">
        <f t="shared" si="88"/>
        <v>28618.75</v>
      </c>
      <c r="M246" s="89">
        <v>30000</v>
      </c>
      <c r="N246" s="39">
        <f>M246</f>
        <v>30000</v>
      </c>
      <c r="O246" s="39">
        <v>0</v>
      </c>
    </row>
    <row r="247" spans="1:15">
      <c r="B247" s="67" t="s">
        <v>300</v>
      </c>
      <c r="C247" s="132">
        <f t="shared" ref="C247:M247" si="89">C245-0.5</f>
        <v>3.1504798907151756</v>
      </c>
      <c r="D247" s="132">
        <f t="shared" si="89"/>
        <v>3.1504798907151756</v>
      </c>
      <c r="E247" s="132">
        <f t="shared" si="89"/>
        <v>3.1504798907151756</v>
      </c>
      <c r="F247" s="132">
        <f t="shared" si="89"/>
        <v>3.0704544258789093</v>
      </c>
      <c r="G247" s="132">
        <f t="shared" si="89"/>
        <v>2.9841312105200868</v>
      </c>
      <c r="H247" s="132">
        <f t="shared" si="89"/>
        <v>2.8914597396074311</v>
      </c>
      <c r="I247" s="132">
        <f t="shared" si="89"/>
        <v>2.7923920347280671</v>
      </c>
      <c r="J247" s="132">
        <f t="shared" si="89"/>
        <v>2.686882377009133</v>
      </c>
      <c r="K247" s="132">
        <f t="shared" si="89"/>
        <v>2.5748870815187113</v>
      </c>
      <c r="L247" s="132">
        <f t="shared" si="89"/>
        <v>2.4563643048597297</v>
      </c>
      <c r="M247" s="132">
        <f t="shared" si="89"/>
        <v>2.3312738796580126</v>
      </c>
      <c r="N247" s="132">
        <f>N245-0.5</f>
        <v>2.15</v>
      </c>
      <c r="O247" s="132">
        <f>N247</f>
        <v>2.15</v>
      </c>
    </row>
    <row r="248" spans="1:15" s="132" customFormat="1"/>
    <row r="249" spans="1:15">
      <c r="A249" s="128" t="s">
        <v>455</v>
      </c>
      <c r="B249" s="39" t="s">
        <v>324</v>
      </c>
      <c r="C249" s="89">
        <v>0</v>
      </c>
      <c r="D249" s="145">
        <v>15300</v>
      </c>
      <c r="E249" s="89">
        <f>D249</f>
        <v>15300</v>
      </c>
      <c r="F249" s="39">
        <f t="shared" ref="F249:L249" si="90">$E249+($M249-$E249)/8*F$269</f>
        <v>17762.5</v>
      </c>
      <c r="G249" s="39">
        <f t="shared" si="90"/>
        <v>20225</v>
      </c>
      <c r="H249" s="39">
        <f t="shared" si="90"/>
        <v>22687.5</v>
      </c>
      <c r="I249" s="39">
        <f t="shared" si="90"/>
        <v>25150</v>
      </c>
      <c r="J249" s="39">
        <f t="shared" si="90"/>
        <v>27612.5</v>
      </c>
      <c r="K249" s="39">
        <f t="shared" si="90"/>
        <v>30075</v>
      </c>
      <c r="L249" s="39">
        <f t="shared" si="90"/>
        <v>32537.5</v>
      </c>
      <c r="M249" s="89">
        <v>35000</v>
      </c>
      <c r="N249" s="39">
        <f>M249</f>
        <v>35000</v>
      </c>
      <c r="O249" s="39">
        <v>0</v>
      </c>
    </row>
    <row r="250" spans="1:15" s="67" customFormat="1">
      <c r="B250" s="67" t="s">
        <v>305</v>
      </c>
      <c r="C250" s="67">
        <f>D250</f>
        <v>6.4704185143644581</v>
      </c>
      <c r="D250" s="132">
        <f>-7*10^(-9.1)*D249^1.885+0.000005*D249+6.47 -(D249/1000)^2/40^2+0.5</f>
        <v>6.4704185143644581</v>
      </c>
      <c r="E250" s="132">
        <f t="shared" ref="E250:M250" si="91">-7*10^(-9.1)*E249^1.885+0.000005*E249+6.47 -(E249/1000)^2/40^2+0.5</f>
        <v>6.4704185143644581</v>
      </c>
      <c r="F250" s="132">
        <f t="shared" si="91"/>
        <v>6.2922265175776175</v>
      </c>
      <c r="G250" s="132">
        <f t="shared" si="91"/>
        <v>6.0881945975852858</v>
      </c>
      <c r="H250" s="132">
        <f t="shared" si="91"/>
        <v>5.8585942108659941</v>
      </c>
      <c r="I250" s="132">
        <f t="shared" si="91"/>
        <v>5.6036620557912835</v>
      </c>
      <c r="J250" s="132">
        <f t="shared" si="91"/>
        <v>5.3236076645186996</v>
      </c>
      <c r="K250" s="132">
        <f t="shared" si="91"/>
        <v>5.0186187765547823</v>
      </c>
      <c r="L250" s="132">
        <f t="shared" si="91"/>
        <v>4.6888652782152809</v>
      </c>
      <c r="M250" s="132">
        <f t="shared" si="91"/>
        <v>4.3345021743836121</v>
      </c>
      <c r="N250" s="147">
        <v>3.85</v>
      </c>
      <c r="O250" s="67">
        <f>N250</f>
        <v>3.85</v>
      </c>
    </row>
    <row r="251" spans="1:15">
      <c r="A251" s="128" t="str">
        <f>A249</f>
        <v>TI 73.2</v>
      </c>
      <c r="B251" s="39" t="s">
        <v>324</v>
      </c>
      <c r="C251" s="89">
        <v>0</v>
      </c>
      <c r="D251" s="89">
        <f>D249</f>
        <v>15300</v>
      </c>
      <c r="E251" s="89">
        <f>D251</f>
        <v>15300</v>
      </c>
      <c r="F251" s="89">
        <f t="shared" ref="F251:L251" si="92">$E251+($M251-$E251)/8*F$269</f>
        <v>17762.5</v>
      </c>
      <c r="G251" s="89">
        <f t="shared" si="92"/>
        <v>20225</v>
      </c>
      <c r="H251" s="89">
        <f t="shared" si="92"/>
        <v>22687.5</v>
      </c>
      <c r="I251" s="89">
        <f t="shared" si="92"/>
        <v>25150</v>
      </c>
      <c r="J251" s="89">
        <f t="shared" si="92"/>
        <v>27612.5</v>
      </c>
      <c r="K251" s="89">
        <f t="shared" si="92"/>
        <v>30075</v>
      </c>
      <c r="L251" s="89">
        <f t="shared" si="92"/>
        <v>32537.5</v>
      </c>
      <c r="M251" s="89">
        <v>35000</v>
      </c>
      <c r="N251" s="39">
        <f>M251</f>
        <v>35000</v>
      </c>
      <c r="O251" s="39">
        <v>0</v>
      </c>
    </row>
    <row r="252" spans="1:15">
      <c r="B252" s="67" t="s">
        <v>300</v>
      </c>
      <c r="C252" s="132">
        <f t="shared" ref="C252:M252" si="93">C250-0.5</f>
        <v>5.9704185143644581</v>
      </c>
      <c r="D252" s="132">
        <f t="shared" si="93"/>
        <v>5.9704185143644581</v>
      </c>
      <c r="E252" s="132">
        <f t="shared" si="93"/>
        <v>5.9704185143644581</v>
      </c>
      <c r="F252" s="132">
        <f t="shared" si="93"/>
        <v>5.7922265175776175</v>
      </c>
      <c r="G252" s="132">
        <f t="shared" si="93"/>
        <v>5.5881945975852858</v>
      </c>
      <c r="H252" s="132">
        <f t="shared" si="93"/>
        <v>5.3585942108659941</v>
      </c>
      <c r="I252" s="132">
        <f t="shared" si="93"/>
        <v>5.1036620557912835</v>
      </c>
      <c r="J252" s="132">
        <f t="shared" si="93"/>
        <v>4.8236076645186996</v>
      </c>
      <c r="K252" s="132">
        <f t="shared" si="93"/>
        <v>4.5186187765547823</v>
      </c>
      <c r="L252" s="132">
        <f t="shared" si="93"/>
        <v>4.1888652782152809</v>
      </c>
      <c r="M252" s="132">
        <f t="shared" si="93"/>
        <v>3.8345021743836121</v>
      </c>
      <c r="N252" s="132">
        <f>N250-0.5</f>
        <v>3.35</v>
      </c>
      <c r="O252" s="132">
        <f>N252</f>
        <v>3.35</v>
      </c>
    </row>
    <row r="253" spans="1:15" s="132" customFormat="1"/>
    <row r="254" spans="1:15">
      <c r="A254" s="128" t="s">
        <v>458</v>
      </c>
      <c r="B254" s="39" t="s">
        <v>324</v>
      </c>
      <c r="C254" s="89">
        <v>0</v>
      </c>
      <c r="D254" s="145">
        <v>13600</v>
      </c>
      <c r="E254" s="89">
        <f>D254</f>
        <v>13600</v>
      </c>
      <c r="F254" s="39">
        <f t="shared" ref="F254:L254" si="94">$E254+($M254-$E254)/8*F$269</f>
        <v>16900</v>
      </c>
      <c r="G254" s="39">
        <f t="shared" si="94"/>
        <v>20200</v>
      </c>
      <c r="H254" s="39">
        <f t="shared" si="94"/>
        <v>23500</v>
      </c>
      <c r="I254" s="39">
        <f t="shared" si="94"/>
        <v>26800</v>
      </c>
      <c r="J254" s="39">
        <f t="shared" si="94"/>
        <v>30100</v>
      </c>
      <c r="K254" s="39">
        <f t="shared" si="94"/>
        <v>33400</v>
      </c>
      <c r="L254" s="39">
        <f t="shared" si="94"/>
        <v>36700</v>
      </c>
      <c r="M254" s="89">
        <v>40000</v>
      </c>
      <c r="N254" s="39">
        <f>M254</f>
        <v>40000</v>
      </c>
      <c r="O254" s="39">
        <v>0</v>
      </c>
    </row>
    <row r="255" spans="1:15" s="67" customFormat="1">
      <c r="B255" s="67" t="s">
        <v>305</v>
      </c>
      <c r="C255" s="67">
        <f>D255</f>
        <v>9.2706986922951327</v>
      </c>
      <c r="D255" s="132">
        <f>-3*10^(-8.8)*D254^1.93+0.000005*D254+9.27 -(D254/1000)^2/40^2+0.5</f>
        <v>9.2706986922951327</v>
      </c>
      <c r="E255" s="132">
        <f t="shared" ref="E255:M255" si="95">-3*10^(-8.8)*E254^1.93+0.000005*E254+9.27 -(E254/1000)^2/40^2+0.5</f>
        <v>9.2706986922951327</v>
      </c>
      <c r="F255" s="132">
        <f t="shared" si="95"/>
        <v>8.9890161212144655</v>
      </c>
      <c r="G255" s="132">
        <f t="shared" si="95"/>
        <v>8.6466946739292023</v>
      </c>
      <c r="H255" s="132">
        <f t="shared" si="95"/>
        <v>8.2443212252291467</v>
      </c>
      <c r="I255" s="132">
        <f t="shared" si="95"/>
        <v>7.7823870961943777</v>
      </c>
      <c r="J255" s="132">
        <f t="shared" si="95"/>
        <v>7.2613142896528675</v>
      </c>
      <c r="K255" s="132">
        <f t="shared" si="95"/>
        <v>6.6814722618033713</v>
      </c>
      <c r="L255" s="132">
        <f t="shared" si="95"/>
        <v>6.0431892909267475</v>
      </c>
      <c r="M255" s="132">
        <f t="shared" si="95"/>
        <v>5.3467605361223605</v>
      </c>
      <c r="N255" s="147">
        <v>4.8</v>
      </c>
      <c r="O255" s="67">
        <f>N255</f>
        <v>4.8</v>
      </c>
    </row>
    <row r="256" spans="1:15">
      <c r="A256" s="128" t="str">
        <f>A254</f>
        <v>TI 103.2</v>
      </c>
      <c r="B256" s="39" t="s">
        <v>324</v>
      </c>
      <c r="C256" s="89">
        <v>0</v>
      </c>
      <c r="D256" s="89">
        <f>D254</f>
        <v>13600</v>
      </c>
      <c r="E256" s="89">
        <f>D256</f>
        <v>13600</v>
      </c>
      <c r="F256" s="89">
        <f t="shared" ref="F256:L256" si="96">$E256+($M256-$E256)/8*F$269</f>
        <v>16900</v>
      </c>
      <c r="G256" s="89">
        <f t="shared" si="96"/>
        <v>20200</v>
      </c>
      <c r="H256" s="89">
        <f t="shared" si="96"/>
        <v>23500</v>
      </c>
      <c r="I256" s="89">
        <f t="shared" si="96"/>
        <v>26800</v>
      </c>
      <c r="J256" s="89">
        <f t="shared" si="96"/>
        <v>30100</v>
      </c>
      <c r="K256" s="89">
        <f t="shared" si="96"/>
        <v>33400</v>
      </c>
      <c r="L256" s="89">
        <f t="shared" si="96"/>
        <v>36700</v>
      </c>
      <c r="M256" s="89">
        <v>40000</v>
      </c>
      <c r="N256" s="39">
        <f>M256</f>
        <v>40000</v>
      </c>
      <c r="O256" s="39">
        <v>0</v>
      </c>
    </row>
    <row r="257" spans="1:15">
      <c r="B257" s="67" t="s">
        <v>300</v>
      </c>
      <c r="C257" s="132">
        <f t="shared" ref="C257:M257" si="97">C255-0.5</f>
        <v>8.7706986922951327</v>
      </c>
      <c r="D257" s="132">
        <f t="shared" si="97"/>
        <v>8.7706986922951327</v>
      </c>
      <c r="E257" s="132">
        <f t="shared" si="97"/>
        <v>8.7706986922951327</v>
      </c>
      <c r="F257" s="132">
        <f t="shared" si="97"/>
        <v>8.4890161212144655</v>
      </c>
      <c r="G257" s="132">
        <f t="shared" si="97"/>
        <v>8.1466946739292023</v>
      </c>
      <c r="H257" s="132">
        <f t="shared" si="97"/>
        <v>7.7443212252291467</v>
      </c>
      <c r="I257" s="132">
        <f t="shared" si="97"/>
        <v>7.2823870961943777</v>
      </c>
      <c r="J257" s="132">
        <f t="shared" si="97"/>
        <v>6.7613142896528675</v>
      </c>
      <c r="K257" s="132">
        <f t="shared" si="97"/>
        <v>6.1814722618033713</v>
      </c>
      <c r="L257" s="132">
        <f t="shared" si="97"/>
        <v>5.5431892909267475</v>
      </c>
      <c r="M257" s="132">
        <f t="shared" si="97"/>
        <v>4.8467605361223605</v>
      </c>
      <c r="N257" s="132">
        <f>N255-0.5</f>
        <v>4.3</v>
      </c>
      <c r="O257" s="132">
        <f>N257</f>
        <v>4.3</v>
      </c>
    </row>
    <row r="258" spans="1:15" s="89" customFormat="1"/>
    <row r="259" spans="1:15">
      <c r="A259" s="143" t="s">
        <v>461</v>
      </c>
      <c r="B259" s="144" t="s">
        <v>324</v>
      </c>
      <c r="C259" s="89">
        <v>0</v>
      </c>
      <c r="D259" s="145">
        <v>13290</v>
      </c>
      <c r="E259" s="89">
        <f>D259</f>
        <v>13290</v>
      </c>
      <c r="F259" s="39">
        <f t="shared" ref="F259:L259" si="98">$E259+($M259-$E259)/8*F$269</f>
        <v>16628.75</v>
      </c>
      <c r="G259" s="39">
        <f t="shared" si="98"/>
        <v>19967.5</v>
      </c>
      <c r="H259" s="39">
        <f t="shared" si="98"/>
        <v>23306.25</v>
      </c>
      <c r="I259" s="39">
        <f t="shared" si="98"/>
        <v>26645</v>
      </c>
      <c r="J259" s="39">
        <f t="shared" si="98"/>
        <v>29983.75</v>
      </c>
      <c r="K259" s="39">
        <f t="shared" si="98"/>
        <v>33322.5</v>
      </c>
      <c r="L259" s="39">
        <f t="shared" si="98"/>
        <v>36661.25</v>
      </c>
      <c r="M259" s="89">
        <v>40000</v>
      </c>
      <c r="N259" s="39">
        <f>M259</f>
        <v>40000</v>
      </c>
      <c r="O259" s="39">
        <v>0</v>
      </c>
    </row>
    <row r="260" spans="1:15" s="67" customFormat="1">
      <c r="A260" s="146"/>
      <c r="B260" s="146" t="s">
        <v>305</v>
      </c>
      <c r="C260" s="67">
        <f>D260</f>
        <v>11.808106456758011</v>
      </c>
      <c r="D260" s="132">
        <f>-3*10^(-8.5)*D254^1.88+0.000001*D254+12.06 -(D254/1000)^2/30^2+0.5</f>
        <v>11.808106456758011</v>
      </c>
      <c r="E260" s="132">
        <f t="shared" ref="E260:M260" si="99">-3*10^(-8.5)*E254^1.88+0.000001*E254+12.06 -(E254/1000)^2/30^2+0.5</f>
        <v>11.808106456758011</v>
      </c>
      <c r="F260" s="132">
        <f t="shared" si="99"/>
        <v>11.417097554239627</v>
      </c>
      <c r="G260" s="132">
        <f t="shared" si="99"/>
        <v>10.948723108482181</v>
      </c>
      <c r="H260" s="132">
        <f t="shared" si="99"/>
        <v>10.404115759390212</v>
      </c>
      <c r="I260" s="132">
        <f t="shared" si="99"/>
        <v>9.7842158297076658</v>
      </c>
      <c r="J260" s="132">
        <f t="shared" si="99"/>
        <v>9.0898252241825972</v>
      </c>
      <c r="K260" s="132">
        <f t="shared" si="99"/>
        <v>8.3216416286296138</v>
      </c>
      <c r="L260" s="132">
        <f t="shared" si="99"/>
        <v>7.4802815424630449</v>
      </c>
      <c r="M260" s="132">
        <f t="shared" si="99"/>
        <v>6.5662965126074626</v>
      </c>
      <c r="N260" s="147">
        <v>4.3</v>
      </c>
      <c r="O260" s="67">
        <f>N260</f>
        <v>4.3</v>
      </c>
    </row>
    <row r="261" spans="1:15">
      <c r="A261" s="143" t="str">
        <f>A259</f>
        <v>TI 133.2</v>
      </c>
      <c r="B261" s="144" t="s">
        <v>324</v>
      </c>
      <c r="C261" s="89">
        <v>0</v>
      </c>
      <c r="D261" s="89">
        <f>D259</f>
        <v>13290</v>
      </c>
      <c r="E261" s="89">
        <f>D261</f>
        <v>13290</v>
      </c>
      <c r="F261" s="89">
        <f t="shared" ref="F261:L261" si="100">$E261+($M261-$E261)/8*F$269</f>
        <v>16628.75</v>
      </c>
      <c r="G261" s="89">
        <f t="shared" si="100"/>
        <v>19967.5</v>
      </c>
      <c r="H261" s="89">
        <f t="shared" si="100"/>
        <v>23306.25</v>
      </c>
      <c r="I261" s="89">
        <f t="shared" si="100"/>
        <v>26645</v>
      </c>
      <c r="J261" s="89">
        <f t="shared" si="100"/>
        <v>29983.75</v>
      </c>
      <c r="K261" s="89">
        <f t="shared" si="100"/>
        <v>33322.5</v>
      </c>
      <c r="L261" s="89">
        <f t="shared" si="100"/>
        <v>36661.25</v>
      </c>
      <c r="M261" s="89">
        <v>40000</v>
      </c>
      <c r="N261" s="39">
        <f>M261</f>
        <v>40000</v>
      </c>
      <c r="O261" s="39">
        <v>0</v>
      </c>
    </row>
    <row r="262" spans="1:15">
      <c r="A262" s="144"/>
      <c r="B262" s="146" t="s">
        <v>300</v>
      </c>
      <c r="C262" s="132">
        <f t="shared" ref="C262:M262" si="101">C260-0.5</f>
        <v>11.308106456758011</v>
      </c>
      <c r="D262" s="132">
        <f t="shared" si="101"/>
        <v>11.308106456758011</v>
      </c>
      <c r="E262" s="132">
        <f t="shared" si="101"/>
        <v>11.308106456758011</v>
      </c>
      <c r="F262" s="132">
        <f t="shared" si="101"/>
        <v>10.917097554239627</v>
      </c>
      <c r="G262" s="132">
        <f t="shared" si="101"/>
        <v>10.448723108482181</v>
      </c>
      <c r="H262" s="132">
        <f t="shared" si="101"/>
        <v>9.904115759390212</v>
      </c>
      <c r="I262" s="132">
        <f t="shared" si="101"/>
        <v>9.2842158297076658</v>
      </c>
      <c r="J262" s="132">
        <f t="shared" si="101"/>
        <v>8.5898252241825972</v>
      </c>
      <c r="K262" s="132">
        <f t="shared" si="101"/>
        <v>7.8216416286296138</v>
      </c>
      <c r="L262" s="132">
        <f t="shared" si="101"/>
        <v>6.9802815424630449</v>
      </c>
      <c r="M262" s="132">
        <f t="shared" si="101"/>
        <v>6.0662965126074626</v>
      </c>
      <c r="N262" s="132">
        <f>N260-0.5</f>
        <v>3.8</v>
      </c>
      <c r="O262" s="132">
        <f>N262</f>
        <v>3.8</v>
      </c>
    </row>
    <row r="263" spans="1:15" s="89" customFormat="1"/>
    <row r="264" spans="1:15" s="89" customFormat="1"/>
    <row r="265" spans="1:15" s="89" customFormat="1"/>
    <row r="266" spans="1:15" s="89" customFormat="1"/>
    <row r="269" spans="1:15">
      <c r="A269" s="39" t="s">
        <v>468</v>
      </c>
      <c r="E269" s="39">
        <v>0</v>
      </c>
      <c r="F269" s="39">
        <v>1</v>
      </c>
      <c r="G269" s="39">
        <v>2</v>
      </c>
      <c r="H269" s="39">
        <v>3</v>
      </c>
      <c r="I269" s="39">
        <v>4</v>
      </c>
      <c r="J269" s="39">
        <v>5</v>
      </c>
      <c r="K269" s="39">
        <v>6</v>
      </c>
      <c r="L269" s="39">
        <v>7</v>
      </c>
      <c r="M269" s="39">
        <v>8</v>
      </c>
    </row>
    <row r="272" spans="1:15">
      <c r="A272" s="39" t="s">
        <v>337</v>
      </c>
      <c r="B272" s="39" t="s">
        <v>338</v>
      </c>
      <c r="C272" s="39" t="s">
        <v>339</v>
      </c>
      <c r="D272" s="39" t="s">
        <v>340</v>
      </c>
      <c r="E272" s="39" t="s">
        <v>341</v>
      </c>
      <c r="F272" s="39" t="s">
        <v>342</v>
      </c>
      <c r="G272" s="39" t="s">
        <v>343</v>
      </c>
      <c r="H272" s="39" t="s">
        <v>344</v>
      </c>
      <c r="I272" s="39" t="s">
        <v>345</v>
      </c>
      <c r="J272" s="39" t="s">
        <v>346</v>
      </c>
    </row>
    <row r="273" spans="1:10">
      <c r="A273" s="39">
        <v>0</v>
      </c>
      <c r="B273" s="39">
        <v>-6.7000000000000004E-8</v>
      </c>
      <c r="C273" s="39">
        <v>-9.9999999999999995E-7</v>
      </c>
      <c r="D273" s="39">
        <v>9.0499999999999999E-4</v>
      </c>
      <c r="E273" s="39">
        <v>1.1199999999999999E-5</v>
      </c>
      <c r="F273" s="39">
        <v>1.6000000000000001E-4</v>
      </c>
      <c r="G273" s="39">
        <v>-0.1525</v>
      </c>
      <c r="H273" s="39">
        <v>-5.6999999999999998E-4</v>
      </c>
      <c r="I273" s="39">
        <v>-5.4999999999999997E-3</v>
      </c>
      <c r="J273" s="39">
        <v>7.2283999999999997</v>
      </c>
    </row>
    <row r="275" spans="1:10">
      <c r="A275" s="39" t="s">
        <v>347</v>
      </c>
      <c r="B275" s="39">
        <v>144</v>
      </c>
    </row>
    <row r="276" spans="1:10">
      <c r="A276" s="39" t="s">
        <v>469</v>
      </c>
      <c r="B276" s="39">
        <f>($B$280*POWER('[2]T Auswahl'!$P$15,2)+$C$280*'[2]T Auswahl'!$P$15+D273)*POWER('[2]T Auswahl'!$P$11,2)+($E$280*POWER('[2]T Auswahl'!$P$15,2)+$F$280*'[2]T Auswahl'!$P$15+$G$280)*'[2]T Auswahl'!$P$11+($H$280*POWER('[2]T Auswahl'!$P$15,2)+$I$280*'[2]T Auswahl'!$P$15+$J$280)-1</f>
        <v>2.1345250000000027</v>
      </c>
    </row>
    <row r="279" spans="1:10">
      <c r="A279" s="93" t="s">
        <v>337</v>
      </c>
      <c r="B279" s="94" t="s">
        <v>338</v>
      </c>
      <c r="C279" s="94" t="s">
        <v>339</v>
      </c>
      <c r="D279" s="94" t="s">
        <v>340</v>
      </c>
      <c r="E279" s="94" t="s">
        <v>341</v>
      </c>
      <c r="F279" s="94" t="s">
        <v>342</v>
      </c>
      <c r="G279" s="94" t="s">
        <v>343</v>
      </c>
      <c r="H279" s="94" t="s">
        <v>344</v>
      </c>
      <c r="I279" s="94" t="s">
        <v>345</v>
      </c>
      <c r="J279" s="94" t="s">
        <v>346</v>
      </c>
    </row>
    <row r="280" spans="1:10">
      <c r="B280" s="96">
        <v>-6.7000000000000004E-8</v>
      </c>
      <c r="C280" s="97">
        <v>-9.9999999999999995E-7</v>
      </c>
      <c r="D280" s="98">
        <v>9.0499999999999999E-4</v>
      </c>
      <c r="E280" s="97">
        <v>1.1199999999999999E-5</v>
      </c>
      <c r="F280" s="98">
        <v>1.6000000000000001E-4</v>
      </c>
      <c r="G280" s="98">
        <v>-0.1525</v>
      </c>
      <c r="H280" s="98">
        <v>-5.6999999999999998E-4</v>
      </c>
      <c r="I280" s="98">
        <v>-5.4999999999999997E-3</v>
      </c>
      <c r="J280" s="98">
        <v>7.2283999999999997</v>
      </c>
    </row>
    <row r="281" spans="1:10" ht="15.6">
      <c r="A281" s="99"/>
      <c r="B281" s="100"/>
      <c r="C281" s="100"/>
      <c r="D281" s="100"/>
      <c r="E281" s="101"/>
      <c r="F281" s="100"/>
      <c r="G281" s="100"/>
      <c r="H281" s="100"/>
      <c r="I281" s="100"/>
      <c r="J281" s="100"/>
    </row>
    <row r="282" spans="1:10" ht="16.2" thickBot="1">
      <c r="A282" s="102" t="s">
        <v>347</v>
      </c>
      <c r="B282" s="104"/>
      <c r="C282" s="100"/>
      <c r="D282" s="100"/>
      <c r="E282" s="101"/>
      <c r="F282" s="100"/>
      <c r="G282" s="100"/>
      <c r="H282" s="100"/>
      <c r="I282" s="100"/>
      <c r="J282" s="100"/>
    </row>
    <row r="283" spans="1:10" ht="16.8" thickBot="1">
      <c r="A283" s="103" t="s">
        <v>348</v>
      </c>
      <c r="B283" s="104"/>
      <c r="C283" s="100"/>
      <c r="D283" s="100"/>
      <c r="E283" s="101"/>
      <c r="F283" s="100"/>
      <c r="G283" s="100"/>
      <c r="H283" s="100"/>
      <c r="I283" s="100"/>
      <c r="J283" s="100"/>
    </row>
  </sheetData>
  <mergeCells count="1">
    <mergeCell ref="B97:G97"/>
  </mergeCells>
  <pageMargins left="0.78740157499999996" right="0.78740157499999996" top="0.984251969" bottom="0.984251969" header="0.4921259845" footer="0.492125984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outlinePr summaryBelow="0" summaryRight="0"/>
  </sheetPr>
  <dimension ref="A1:X244"/>
  <sheetViews>
    <sheetView view="pageBreakPreview" zoomScale="70" zoomScaleNormal="70" zoomScaleSheetLayoutView="70" workbookViewId="0">
      <pane ySplit="26" topLeftCell="A78" activePane="bottomLeft" state="frozenSplit"/>
      <selection pane="bottomLeft" activeCell="U40" sqref="U40"/>
    </sheetView>
  </sheetViews>
  <sheetFormatPr defaultRowHeight="13.2" outlineLevelRow="1"/>
  <cols>
    <col min="1" max="3" width="10" style="39" customWidth="1"/>
    <col min="4" max="4" width="11.19921875" style="39" customWidth="1"/>
    <col min="5" max="10" width="10" style="39" customWidth="1"/>
    <col min="11" max="11" width="2.19921875" style="39" customWidth="1"/>
    <col min="12" max="12" width="4.8984375" style="39" customWidth="1"/>
    <col min="13" max="13" width="12.59765625" style="39" customWidth="1"/>
    <col min="14" max="14" width="45.19921875" style="39" bestFit="1" customWidth="1"/>
    <col min="15" max="15" width="7.19921875" style="39" customWidth="1"/>
    <col min="16" max="16" width="11.09765625" style="39" customWidth="1"/>
    <col min="17" max="17" width="6.5" style="39" customWidth="1"/>
    <col min="18" max="18" width="46.59765625" style="39" customWidth="1"/>
    <col min="19" max="19" width="9.09765625" style="39" bestFit="1" customWidth="1"/>
    <col min="20" max="20" width="8.19921875" style="39" bestFit="1" customWidth="1"/>
    <col min="21" max="21" width="10.3984375" style="39" customWidth="1"/>
    <col min="22" max="22" width="25.3984375" style="39" hidden="1" customWidth="1"/>
    <col min="23" max="23" width="10" style="39" customWidth="1"/>
    <col min="24" max="24" width="6.09765625" style="39" customWidth="1"/>
    <col min="25" max="259" width="10" style="39" customWidth="1"/>
    <col min="260" max="260" width="11.19921875" style="39" customWidth="1"/>
    <col min="261" max="266" width="10" style="39" customWidth="1"/>
    <col min="267" max="267" width="2.19921875" style="39" customWidth="1"/>
    <col min="268" max="268" width="4.8984375" style="39" customWidth="1"/>
    <col min="269" max="269" width="12.59765625" style="39" customWidth="1"/>
    <col min="270" max="270" width="45.19921875" style="39" bestFit="1" customWidth="1"/>
    <col min="271" max="271" width="7.19921875" style="39" customWidth="1"/>
    <col min="272" max="272" width="11.09765625" style="39" customWidth="1"/>
    <col min="273" max="273" width="6.5" style="39" customWidth="1"/>
    <col min="274" max="274" width="46.59765625" style="39" customWidth="1"/>
    <col min="275" max="275" width="9.09765625" style="39" bestFit="1" customWidth="1"/>
    <col min="276" max="276" width="8.19921875" style="39" bestFit="1" customWidth="1"/>
    <col min="277" max="277" width="10.3984375" style="39" customWidth="1"/>
    <col min="278" max="278" width="0" style="39" hidden="1" customWidth="1"/>
    <col min="279" max="279" width="10" style="39" customWidth="1"/>
    <col min="280" max="280" width="6.09765625" style="39" customWidth="1"/>
    <col min="281" max="515" width="10" style="39" customWidth="1"/>
    <col min="516" max="516" width="11.19921875" style="39" customWidth="1"/>
    <col min="517" max="522" width="10" style="39" customWidth="1"/>
    <col min="523" max="523" width="2.19921875" style="39" customWidth="1"/>
    <col min="524" max="524" width="4.8984375" style="39" customWidth="1"/>
    <col min="525" max="525" width="12.59765625" style="39" customWidth="1"/>
    <col min="526" max="526" width="45.19921875" style="39" bestFit="1" customWidth="1"/>
    <col min="527" max="527" width="7.19921875" style="39" customWidth="1"/>
    <col min="528" max="528" width="11.09765625" style="39" customWidth="1"/>
    <col min="529" max="529" width="6.5" style="39" customWidth="1"/>
    <col min="530" max="530" width="46.59765625" style="39" customWidth="1"/>
    <col min="531" max="531" width="9.09765625" style="39" bestFit="1" customWidth="1"/>
    <col min="532" max="532" width="8.19921875" style="39" bestFit="1" customWidth="1"/>
    <col min="533" max="533" width="10.3984375" style="39" customWidth="1"/>
    <col min="534" max="534" width="0" style="39" hidden="1" customWidth="1"/>
    <col min="535" max="535" width="10" style="39" customWidth="1"/>
    <col min="536" max="536" width="6.09765625" style="39" customWidth="1"/>
    <col min="537" max="771" width="10" style="39" customWidth="1"/>
    <col min="772" max="772" width="11.19921875" style="39" customWidth="1"/>
    <col min="773" max="778" width="10" style="39" customWidth="1"/>
    <col min="779" max="779" width="2.19921875" style="39" customWidth="1"/>
    <col min="780" max="780" width="4.8984375" style="39" customWidth="1"/>
    <col min="781" max="781" width="12.59765625" style="39" customWidth="1"/>
    <col min="782" max="782" width="45.19921875" style="39" bestFit="1" customWidth="1"/>
    <col min="783" max="783" width="7.19921875" style="39" customWidth="1"/>
    <col min="784" max="784" width="11.09765625" style="39" customWidth="1"/>
    <col min="785" max="785" width="6.5" style="39" customWidth="1"/>
    <col min="786" max="786" width="46.59765625" style="39" customWidth="1"/>
    <col min="787" max="787" width="9.09765625" style="39" bestFit="1" customWidth="1"/>
    <col min="788" max="788" width="8.19921875" style="39" bestFit="1" customWidth="1"/>
    <col min="789" max="789" width="10.3984375" style="39" customWidth="1"/>
    <col min="790" max="790" width="0" style="39" hidden="1" customWidth="1"/>
    <col min="791" max="791" width="10" style="39" customWidth="1"/>
    <col min="792" max="792" width="6.09765625" style="39" customWidth="1"/>
    <col min="793" max="1027" width="10" style="39" customWidth="1"/>
    <col min="1028" max="1028" width="11.19921875" style="39" customWidth="1"/>
    <col min="1029" max="1034" width="10" style="39" customWidth="1"/>
    <col min="1035" max="1035" width="2.19921875" style="39" customWidth="1"/>
    <col min="1036" max="1036" width="4.8984375" style="39" customWidth="1"/>
    <col min="1037" max="1037" width="12.59765625" style="39" customWidth="1"/>
    <col min="1038" max="1038" width="45.19921875" style="39" bestFit="1" customWidth="1"/>
    <col min="1039" max="1039" width="7.19921875" style="39" customWidth="1"/>
    <col min="1040" max="1040" width="11.09765625" style="39" customWidth="1"/>
    <col min="1041" max="1041" width="6.5" style="39" customWidth="1"/>
    <col min="1042" max="1042" width="46.59765625" style="39" customWidth="1"/>
    <col min="1043" max="1043" width="9.09765625" style="39" bestFit="1" customWidth="1"/>
    <col min="1044" max="1044" width="8.19921875" style="39" bestFit="1" customWidth="1"/>
    <col min="1045" max="1045" width="10.3984375" style="39" customWidth="1"/>
    <col min="1046" max="1046" width="0" style="39" hidden="1" customWidth="1"/>
    <col min="1047" max="1047" width="10" style="39" customWidth="1"/>
    <col min="1048" max="1048" width="6.09765625" style="39" customWidth="1"/>
    <col min="1049" max="1283" width="10" style="39" customWidth="1"/>
    <col min="1284" max="1284" width="11.19921875" style="39" customWidth="1"/>
    <col min="1285" max="1290" width="10" style="39" customWidth="1"/>
    <col min="1291" max="1291" width="2.19921875" style="39" customWidth="1"/>
    <col min="1292" max="1292" width="4.8984375" style="39" customWidth="1"/>
    <col min="1293" max="1293" width="12.59765625" style="39" customWidth="1"/>
    <col min="1294" max="1294" width="45.19921875" style="39" bestFit="1" customWidth="1"/>
    <col min="1295" max="1295" width="7.19921875" style="39" customWidth="1"/>
    <col min="1296" max="1296" width="11.09765625" style="39" customWidth="1"/>
    <col min="1297" max="1297" width="6.5" style="39" customWidth="1"/>
    <col min="1298" max="1298" width="46.59765625" style="39" customWidth="1"/>
    <col min="1299" max="1299" width="9.09765625" style="39" bestFit="1" customWidth="1"/>
    <col min="1300" max="1300" width="8.19921875" style="39" bestFit="1" customWidth="1"/>
    <col min="1301" max="1301" width="10.3984375" style="39" customWidth="1"/>
    <col min="1302" max="1302" width="0" style="39" hidden="1" customWidth="1"/>
    <col min="1303" max="1303" width="10" style="39" customWidth="1"/>
    <col min="1304" max="1304" width="6.09765625" style="39" customWidth="1"/>
    <col min="1305" max="1539" width="10" style="39" customWidth="1"/>
    <col min="1540" max="1540" width="11.19921875" style="39" customWidth="1"/>
    <col min="1541" max="1546" width="10" style="39" customWidth="1"/>
    <col min="1547" max="1547" width="2.19921875" style="39" customWidth="1"/>
    <col min="1548" max="1548" width="4.8984375" style="39" customWidth="1"/>
    <col min="1549" max="1549" width="12.59765625" style="39" customWidth="1"/>
    <col min="1550" max="1550" width="45.19921875" style="39" bestFit="1" customWidth="1"/>
    <col min="1551" max="1551" width="7.19921875" style="39" customWidth="1"/>
    <col min="1552" max="1552" width="11.09765625" style="39" customWidth="1"/>
    <col min="1553" max="1553" width="6.5" style="39" customWidth="1"/>
    <col min="1554" max="1554" width="46.59765625" style="39" customWidth="1"/>
    <col min="1555" max="1555" width="9.09765625" style="39" bestFit="1" customWidth="1"/>
    <col min="1556" max="1556" width="8.19921875" style="39" bestFit="1" customWidth="1"/>
    <col min="1557" max="1557" width="10.3984375" style="39" customWidth="1"/>
    <col min="1558" max="1558" width="0" style="39" hidden="1" customWidth="1"/>
    <col min="1559" max="1559" width="10" style="39" customWidth="1"/>
    <col min="1560" max="1560" width="6.09765625" style="39" customWidth="1"/>
    <col min="1561" max="1795" width="10" style="39" customWidth="1"/>
    <col min="1796" max="1796" width="11.19921875" style="39" customWidth="1"/>
    <col min="1797" max="1802" width="10" style="39" customWidth="1"/>
    <col min="1803" max="1803" width="2.19921875" style="39" customWidth="1"/>
    <col min="1804" max="1804" width="4.8984375" style="39" customWidth="1"/>
    <col min="1805" max="1805" width="12.59765625" style="39" customWidth="1"/>
    <col min="1806" max="1806" width="45.19921875" style="39" bestFit="1" customWidth="1"/>
    <col min="1807" max="1807" width="7.19921875" style="39" customWidth="1"/>
    <col min="1808" max="1808" width="11.09765625" style="39" customWidth="1"/>
    <col min="1809" max="1809" width="6.5" style="39" customWidth="1"/>
    <col min="1810" max="1810" width="46.59765625" style="39" customWidth="1"/>
    <col min="1811" max="1811" width="9.09765625" style="39" bestFit="1" customWidth="1"/>
    <col min="1812" max="1812" width="8.19921875" style="39" bestFit="1" customWidth="1"/>
    <col min="1813" max="1813" width="10.3984375" style="39" customWidth="1"/>
    <col min="1814" max="1814" width="0" style="39" hidden="1" customWidth="1"/>
    <col min="1815" max="1815" width="10" style="39" customWidth="1"/>
    <col min="1816" max="1816" width="6.09765625" style="39" customWidth="1"/>
    <col min="1817" max="2051" width="10" style="39" customWidth="1"/>
    <col min="2052" max="2052" width="11.19921875" style="39" customWidth="1"/>
    <col min="2053" max="2058" width="10" style="39" customWidth="1"/>
    <col min="2059" max="2059" width="2.19921875" style="39" customWidth="1"/>
    <col min="2060" max="2060" width="4.8984375" style="39" customWidth="1"/>
    <col min="2061" max="2061" width="12.59765625" style="39" customWidth="1"/>
    <col min="2062" max="2062" width="45.19921875" style="39" bestFit="1" customWidth="1"/>
    <col min="2063" max="2063" width="7.19921875" style="39" customWidth="1"/>
    <col min="2064" max="2064" width="11.09765625" style="39" customWidth="1"/>
    <col min="2065" max="2065" width="6.5" style="39" customWidth="1"/>
    <col min="2066" max="2066" width="46.59765625" style="39" customWidth="1"/>
    <col min="2067" max="2067" width="9.09765625" style="39" bestFit="1" customWidth="1"/>
    <col min="2068" max="2068" width="8.19921875" style="39" bestFit="1" customWidth="1"/>
    <col min="2069" max="2069" width="10.3984375" style="39" customWidth="1"/>
    <col min="2070" max="2070" width="0" style="39" hidden="1" customWidth="1"/>
    <col min="2071" max="2071" width="10" style="39" customWidth="1"/>
    <col min="2072" max="2072" width="6.09765625" style="39" customWidth="1"/>
    <col min="2073" max="2307" width="10" style="39" customWidth="1"/>
    <col min="2308" max="2308" width="11.19921875" style="39" customWidth="1"/>
    <col min="2309" max="2314" width="10" style="39" customWidth="1"/>
    <col min="2315" max="2315" width="2.19921875" style="39" customWidth="1"/>
    <col min="2316" max="2316" width="4.8984375" style="39" customWidth="1"/>
    <col min="2317" max="2317" width="12.59765625" style="39" customWidth="1"/>
    <col min="2318" max="2318" width="45.19921875" style="39" bestFit="1" customWidth="1"/>
    <col min="2319" max="2319" width="7.19921875" style="39" customWidth="1"/>
    <col min="2320" max="2320" width="11.09765625" style="39" customWidth="1"/>
    <col min="2321" max="2321" width="6.5" style="39" customWidth="1"/>
    <col min="2322" max="2322" width="46.59765625" style="39" customWidth="1"/>
    <col min="2323" max="2323" width="9.09765625" style="39" bestFit="1" customWidth="1"/>
    <col min="2324" max="2324" width="8.19921875" style="39" bestFit="1" customWidth="1"/>
    <col min="2325" max="2325" width="10.3984375" style="39" customWidth="1"/>
    <col min="2326" max="2326" width="0" style="39" hidden="1" customWidth="1"/>
    <col min="2327" max="2327" width="10" style="39" customWidth="1"/>
    <col min="2328" max="2328" width="6.09765625" style="39" customWidth="1"/>
    <col min="2329" max="2563" width="10" style="39" customWidth="1"/>
    <col min="2564" max="2564" width="11.19921875" style="39" customWidth="1"/>
    <col min="2565" max="2570" width="10" style="39" customWidth="1"/>
    <col min="2571" max="2571" width="2.19921875" style="39" customWidth="1"/>
    <col min="2572" max="2572" width="4.8984375" style="39" customWidth="1"/>
    <col min="2573" max="2573" width="12.59765625" style="39" customWidth="1"/>
    <col min="2574" max="2574" width="45.19921875" style="39" bestFit="1" customWidth="1"/>
    <col min="2575" max="2575" width="7.19921875" style="39" customWidth="1"/>
    <col min="2576" max="2576" width="11.09765625" style="39" customWidth="1"/>
    <col min="2577" max="2577" width="6.5" style="39" customWidth="1"/>
    <col min="2578" max="2578" width="46.59765625" style="39" customWidth="1"/>
    <col min="2579" max="2579" width="9.09765625" style="39" bestFit="1" customWidth="1"/>
    <col min="2580" max="2580" width="8.19921875" style="39" bestFit="1" customWidth="1"/>
    <col min="2581" max="2581" width="10.3984375" style="39" customWidth="1"/>
    <col min="2582" max="2582" width="0" style="39" hidden="1" customWidth="1"/>
    <col min="2583" max="2583" width="10" style="39" customWidth="1"/>
    <col min="2584" max="2584" width="6.09765625" style="39" customWidth="1"/>
    <col min="2585" max="2819" width="10" style="39" customWidth="1"/>
    <col min="2820" max="2820" width="11.19921875" style="39" customWidth="1"/>
    <col min="2821" max="2826" width="10" style="39" customWidth="1"/>
    <col min="2827" max="2827" width="2.19921875" style="39" customWidth="1"/>
    <col min="2828" max="2828" width="4.8984375" style="39" customWidth="1"/>
    <col min="2829" max="2829" width="12.59765625" style="39" customWidth="1"/>
    <col min="2830" max="2830" width="45.19921875" style="39" bestFit="1" customWidth="1"/>
    <col min="2831" max="2831" width="7.19921875" style="39" customWidth="1"/>
    <col min="2832" max="2832" width="11.09765625" style="39" customWidth="1"/>
    <col min="2833" max="2833" width="6.5" style="39" customWidth="1"/>
    <col min="2834" max="2834" width="46.59765625" style="39" customWidth="1"/>
    <col min="2835" max="2835" width="9.09765625" style="39" bestFit="1" customWidth="1"/>
    <col min="2836" max="2836" width="8.19921875" style="39" bestFit="1" customWidth="1"/>
    <col min="2837" max="2837" width="10.3984375" style="39" customWidth="1"/>
    <col min="2838" max="2838" width="0" style="39" hidden="1" customWidth="1"/>
    <col min="2839" max="2839" width="10" style="39" customWidth="1"/>
    <col min="2840" max="2840" width="6.09765625" style="39" customWidth="1"/>
    <col min="2841" max="3075" width="10" style="39" customWidth="1"/>
    <col min="3076" max="3076" width="11.19921875" style="39" customWidth="1"/>
    <col min="3077" max="3082" width="10" style="39" customWidth="1"/>
    <col min="3083" max="3083" width="2.19921875" style="39" customWidth="1"/>
    <col min="3084" max="3084" width="4.8984375" style="39" customWidth="1"/>
    <col min="3085" max="3085" width="12.59765625" style="39" customWidth="1"/>
    <col min="3086" max="3086" width="45.19921875" style="39" bestFit="1" customWidth="1"/>
    <col min="3087" max="3087" width="7.19921875" style="39" customWidth="1"/>
    <col min="3088" max="3088" width="11.09765625" style="39" customWidth="1"/>
    <col min="3089" max="3089" width="6.5" style="39" customWidth="1"/>
    <col min="3090" max="3090" width="46.59765625" style="39" customWidth="1"/>
    <col min="3091" max="3091" width="9.09765625" style="39" bestFit="1" customWidth="1"/>
    <col min="3092" max="3092" width="8.19921875" style="39" bestFit="1" customWidth="1"/>
    <col min="3093" max="3093" width="10.3984375" style="39" customWidth="1"/>
    <col min="3094" max="3094" width="0" style="39" hidden="1" customWidth="1"/>
    <col min="3095" max="3095" width="10" style="39" customWidth="1"/>
    <col min="3096" max="3096" width="6.09765625" style="39" customWidth="1"/>
    <col min="3097" max="3331" width="10" style="39" customWidth="1"/>
    <col min="3332" max="3332" width="11.19921875" style="39" customWidth="1"/>
    <col min="3333" max="3338" width="10" style="39" customWidth="1"/>
    <col min="3339" max="3339" width="2.19921875" style="39" customWidth="1"/>
    <col min="3340" max="3340" width="4.8984375" style="39" customWidth="1"/>
    <col min="3341" max="3341" width="12.59765625" style="39" customWidth="1"/>
    <col min="3342" max="3342" width="45.19921875" style="39" bestFit="1" customWidth="1"/>
    <col min="3343" max="3343" width="7.19921875" style="39" customWidth="1"/>
    <col min="3344" max="3344" width="11.09765625" style="39" customWidth="1"/>
    <col min="3345" max="3345" width="6.5" style="39" customWidth="1"/>
    <col min="3346" max="3346" width="46.59765625" style="39" customWidth="1"/>
    <col min="3347" max="3347" width="9.09765625" style="39" bestFit="1" customWidth="1"/>
    <col min="3348" max="3348" width="8.19921875" style="39" bestFit="1" customWidth="1"/>
    <col min="3349" max="3349" width="10.3984375" style="39" customWidth="1"/>
    <col min="3350" max="3350" width="0" style="39" hidden="1" customWidth="1"/>
    <col min="3351" max="3351" width="10" style="39" customWidth="1"/>
    <col min="3352" max="3352" width="6.09765625" style="39" customWidth="1"/>
    <col min="3353" max="3587" width="10" style="39" customWidth="1"/>
    <col min="3588" max="3588" width="11.19921875" style="39" customWidth="1"/>
    <col min="3589" max="3594" width="10" style="39" customWidth="1"/>
    <col min="3595" max="3595" width="2.19921875" style="39" customWidth="1"/>
    <col min="3596" max="3596" width="4.8984375" style="39" customWidth="1"/>
    <col min="3597" max="3597" width="12.59765625" style="39" customWidth="1"/>
    <col min="3598" max="3598" width="45.19921875" style="39" bestFit="1" customWidth="1"/>
    <col min="3599" max="3599" width="7.19921875" style="39" customWidth="1"/>
    <col min="3600" max="3600" width="11.09765625" style="39" customWidth="1"/>
    <col min="3601" max="3601" width="6.5" style="39" customWidth="1"/>
    <col min="3602" max="3602" width="46.59765625" style="39" customWidth="1"/>
    <col min="3603" max="3603" width="9.09765625" style="39" bestFit="1" customWidth="1"/>
    <col min="3604" max="3604" width="8.19921875" style="39" bestFit="1" customWidth="1"/>
    <col min="3605" max="3605" width="10.3984375" style="39" customWidth="1"/>
    <col min="3606" max="3606" width="0" style="39" hidden="1" customWidth="1"/>
    <col min="3607" max="3607" width="10" style="39" customWidth="1"/>
    <col min="3608" max="3608" width="6.09765625" style="39" customWidth="1"/>
    <col min="3609" max="3843" width="10" style="39" customWidth="1"/>
    <col min="3844" max="3844" width="11.19921875" style="39" customWidth="1"/>
    <col min="3845" max="3850" width="10" style="39" customWidth="1"/>
    <col min="3851" max="3851" width="2.19921875" style="39" customWidth="1"/>
    <col min="3852" max="3852" width="4.8984375" style="39" customWidth="1"/>
    <col min="3853" max="3853" width="12.59765625" style="39" customWidth="1"/>
    <col min="3854" max="3854" width="45.19921875" style="39" bestFit="1" customWidth="1"/>
    <col min="3855" max="3855" width="7.19921875" style="39" customWidth="1"/>
    <col min="3856" max="3856" width="11.09765625" style="39" customWidth="1"/>
    <col min="3857" max="3857" width="6.5" style="39" customWidth="1"/>
    <col min="3858" max="3858" width="46.59765625" style="39" customWidth="1"/>
    <col min="3859" max="3859" width="9.09765625" style="39" bestFit="1" customWidth="1"/>
    <col min="3860" max="3860" width="8.19921875" style="39" bestFit="1" customWidth="1"/>
    <col min="3861" max="3861" width="10.3984375" style="39" customWidth="1"/>
    <col min="3862" max="3862" width="0" style="39" hidden="1" customWidth="1"/>
    <col min="3863" max="3863" width="10" style="39" customWidth="1"/>
    <col min="3864" max="3864" width="6.09765625" style="39" customWidth="1"/>
    <col min="3865" max="4099" width="10" style="39" customWidth="1"/>
    <col min="4100" max="4100" width="11.19921875" style="39" customWidth="1"/>
    <col min="4101" max="4106" width="10" style="39" customWidth="1"/>
    <col min="4107" max="4107" width="2.19921875" style="39" customWidth="1"/>
    <col min="4108" max="4108" width="4.8984375" style="39" customWidth="1"/>
    <col min="4109" max="4109" width="12.59765625" style="39" customWidth="1"/>
    <col min="4110" max="4110" width="45.19921875" style="39" bestFit="1" customWidth="1"/>
    <col min="4111" max="4111" width="7.19921875" style="39" customWidth="1"/>
    <col min="4112" max="4112" width="11.09765625" style="39" customWidth="1"/>
    <col min="4113" max="4113" width="6.5" style="39" customWidth="1"/>
    <col min="4114" max="4114" width="46.59765625" style="39" customWidth="1"/>
    <col min="4115" max="4115" width="9.09765625" style="39" bestFit="1" customWidth="1"/>
    <col min="4116" max="4116" width="8.19921875" style="39" bestFit="1" customWidth="1"/>
    <col min="4117" max="4117" width="10.3984375" style="39" customWidth="1"/>
    <col min="4118" max="4118" width="0" style="39" hidden="1" customWidth="1"/>
    <col min="4119" max="4119" width="10" style="39" customWidth="1"/>
    <col min="4120" max="4120" width="6.09765625" style="39" customWidth="1"/>
    <col min="4121" max="4355" width="10" style="39" customWidth="1"/>
    <col min="4356" max="4356" width="11.19921875" style="39" customWidth="1"/>
    <col min="4357" max="4362" width="10" style="39" customWidth="1"/>
    <col min="4363" max="4363" width="2.19921875" style="39" customWidth="1"/>
    <col min="4364" max="4364" width="4.8984375" style="39" customWidth="1"/>
    <col min="4365" max="4365" width="12.59765625" style="39" customWidth="1"/>
    <col min="4366" max="4366" width="45.19921875" style="39" bestFit="1" customWidth="1"/>
    <col min="4367" max="4367" width="7.19921875" style="39" customWidth="1"/>
    <col min="4368" max="4368" width="11.09765625" style="39" customWidth="1"/>
    <col min="4369" max="4369" width="6.5" style="39" customWidth="1"/>
    <col min="4370" max="4370" width="46.59765625" style="39" customWidth="1"/>
    <col min="4371" max="4371" width="9.09765625" style="39" bestFit="1" customWidth="1"/>
    <col min="4372" max="4372" width="8.19921875" style="39" bestFit="1" customWidth="1"/>
    <col min="4373" max="4373" width="10.3984375" style="39" customWidth="1"/>
    <col min="4374" max="4374" width="0" style="39" hidden="1" customWidth="1"/>
    <col min="4375" max="4375" width="10" style="39" customWidth="1"/>
    <col min="4376" max="4376" width="6.09765625" style="39" customWidth="1"/>
    <col min="4377" max="4611" width="10" style="39" customWidth="1"/>
    <col min="4612" max="4612" width="11.19921875" style="39" customWidth="1"/>
    <col min="4613" max="4618" width="10" style="39" customWidth="1"/>
    <col min="4619" max="4619" width="2.19921875" style="39" customWidth="1"/>
    <col min="4620" max="4620" width="4.8984375" style="39" customWidth="1"/>
    <col min="4621" max="4621" width="12.59765625" style="39" customWidth="1"/>
    <col min="4622" max="4622" width="45.19921875" style="39" bestFit="1" customWidth="1"/>
    <col min="4623" max="4623" width="7.19921875" style="39" customWidth="1"/>
    <col min="4624" max="4624" width="11.09765625" style="39" customWidth="1"/>
    <col min="4625" max="4625" width="6.5" style="39" customWidth="1"/>
    <col min="4626" max="4626" width="46.59765625" style="39" customWidth="1"/>
    <col min="4627" max="4627" width="9.09765625" style="39" bestFit="1" customWidth="1"/>
    <col min="4628" max="4628" width="8.19921875" style="39" bestFit="1" customWidth="1"/>
    <col min="4629" max="4629" width="10.3984375" style="39" customWidth="1"/>
    <col min="4630" max="4630" width="0" style="39" hidden="1" customWidth="1"/>
    <col min="4631" max="4631" width="10" style="39" customWidth="1"/>
    <col min="4632" max="4632" width="6.09765625" style="39" customWidth="1"/>
    <col min="4633" max="4867" width="10" style="39" customWidth="1"/>
    <col min="4868" max="4868" width="11.19921875" style="39" customWidth="1"/>
    <col min="4869" max="4874" width="10" style="39" customWidth="1"/>
    <col min="4875" max="4875" width="2.19921875" style="39" customWidth="1"/>
    <col min="4876" max="4876" width="4.8984375" style="39" customWidth="1"/>
    <col min="4877" max="4877" width="12.59765625" style="39" customWidth="1"/>
    <col min="4878" max="4878" width="45.19921875" style="39" bestFit="1" customWidth="1"/>
    <col min="4879" max="4879" width="7.19921875" style="39" customWidth="1"/>
    <col min="4880" max="4880" width="11.09765625" style="39" customWidth="1"/>
    <col min="4881" max="4881" width="6.5" style="39" customWidth="1"/>
    <col min="4882" max="4882" width="46.59765625" style="39" customWidth="1"/>
    <col min="4883" max="4883" width="9.09765625" style="39" bestFit="1" customWidth="1"/>
    <col min="4884" max="4884" width="8.19921875" style="39" bestFit="1" customWidth="1"/>
    <col min="4885" max="4885" width="10.3984375" style="39" customWidth="1"/>
    <col min="4886" max="4886" width="0" style="39" hidden="1" customWidth="1"/>
    <col min="4887" max="4887" width="10" style="39" customWidth="1"/>
    <col min="4888" max="4888" width="6.09765625" style="39" customWidth="1"/>
    <col min="4889" max="5123" width="10" style="39" customWidth="1"/>
    <col min="5124" max="5124" width="11.19921875" style="39" customWidth="1"/>
    <col min="5125" max="5130" width="10" style="39" customWidth="1"/>
    <col min="5131" max="5131" width="2.19921875" style="39" customWidth="1"/>
    <col min="5132" max="5132" width="4.8984375" style="39" customWidth="1"/>
    <col min="5133" max="5133" width="12.59765625" style="39" customWidth="1"/>
    <col min="5134" max="5134" width="45.19921875" style="39" bestFit="1" customWidth="1"/>
    <col min="5135" max="5135" width="7.19921875" style="39" customWidth="1"/>
    <col min="5136" max="5136" width="11.09765625" style="39" customWidth="1"/>
    <col min="5137" max="5137" width="6.5" style="39" customWidth="1"/>
    <col min="5138" max="5138" width="46.59765625" style="39" customWidth="1"/>
    <col min="5139" max="5139" width="9.09765625" style="39" bestFit="1" customWidth="1"/>
    <col min="5140" max="5140" width="8.19921875" style="39" bestFit="1" customWidth="1"/>
    <col min="5141" max="5141" width="10.3984375" style="39" customWidth="1"/>
    <col min="5142" max="5142" width="0" style="39" hidden="1" customWidth="1"/>
    <col min="5143" max="5143" width="10" style="39" customWidth="1"/>
    <col min="5144" max="5144" width="6.09765625" style="39" customWidth="1"/>
    <col min="5145" max="5379" width="10" style="39" customWidth="1"/>
    <col min="5380" max="5380" width="11.19921875" style="39" customWidth="1"/>
    <col min="5381" max="5386" width="10" style="39" customWidth="1"/>
    <col min="5387" max="5387" width="2.19921875" style="39" customWidth="1"/>
    <col min="5388" max="5388" width="4.8984375" style="39" customWidth="1"/>
    <col min="5389" max="5389" width="12.59765625" style="39" customWidth="1"/>
    <col min="5390" max="5390" width="45.19921875" style="39" bestFit="1" customWidth="1"/>
    <col min="5391" max="5391" width="7.19921875" style="39" customWidth="1"/>
    <col min="5392" max="5392" width="11.09765625" style="39" customWidth="1"/>
    <col min="5393" max="5393" width="6.5" style="39" customWidth="1"/>
    <col min="5394" max="5394" width="46.59765625" style="39" customWidth="1"/>
    <col min="5395" max="5395" width="9.09765625" style="39" bestFit="1" customWidth="1"/>
    <col min="5396" max="5396" width="8.19921875" style="39" bestFit="1" customWidth="1"/>
    <col min="5397" max="5397" width="10.3984375" style="39" customWidth="1"/>
    <col min="5398" max="5398" width="0" style="39" hidden="1" customWidth="1"/>
    <col min="5399" max="5399" width="10" style="39" customWidth="1"/>
    <col min="5400" max="5400" width="6.09765625" style="39" customWidth="1"/>
    <col min="5401" max="5635" width="10" style="39" customWidth="1"/>
    <col min="5636" max="5636" width="11.19921875" style="39" customWidth="1"/>
    <col min="5637" max="5642" width="10" style="39" customWidth="1"/>
    <col min="5643" max="5643" width="2.19921875" style="39" customWidth="1"/>
    <col min="5644" max="5644" width="4.8984375" style="39" customWidth="1"/>
    <col min="5645" max="5645" width="12.59765625" style="39" customWidth="1"/>
    <col min="5646" max="5646" width="45.19921875" style="39" bestFit="1" customWidth="1"/>
    <col min="5647" max="5647" width="7.19921875" style="39" customWidth="1"/>
    <col min="5648" max="5648" width="11.09765625" style="39" customWidth="1"/>
    <col min="5649" max="5649" width="6.5" style="39" customWidth="1"/>
    <col min="5650" max="5650" width="46.59765625" style="39" customWidth="1"/>
    <col min="5651" max="5651" width="9.09765625" style="39" bestFit="1" customWidth="1"/>
    <col min="5652" max="5652" width="8.19921875" style="39" bestFit="1" customWidth="1"/>
    <col min="5653" max="5653" width="10.3984375" style="39" customWidth="1"/>
    <col min="5654" max="5654" width="0" style="39" hidden="1" customWidth="1"/>
    <col min="5655" max="5655" width="10" style="39" customWidth="1"/>
    <col min="5656" max="5656" width="6.09765625" style="39" customWidth="1"/>
    <col min="5657" max="5891" width="10" style="39" customWidth="1"/>
    <col min="5892" max="5892" width="11.19921875" style="39" customWidth="1"/>
    <col min="5893" max="5898" width="10" style="39" customWidth="1"/>
    <col min="5899" max="5899" width="2.19921875" style="39" customWidth="1"/>
    <col min="5900" max="5900" width="4.8984375" style="39" customWidth="1"/>
    <col min="5901" max="5901" width="12.59765625" style="39" customWidth="1"/>
    <col min="5902" max="5902" width="45.19921875" style="39" bestFit="1" customWidth="1"/>
    <col min="5903" max="5903" width="7.19921875" style="39" customWidth="1"/>
    <col min="5904" max="5904" width="11.09765625" style="39" customWidth="1"/>
    <col min="5905" max="5905" width="6.5" style="39" customWidth="1"/>
    <col min="5906" max="5906" width="46.59765625" style="39" customWidth="1"/>
    <col min="5907" max="5907" width="9.09765625" style="39" bestFit="1" customWidth="1"/>
    <col min="5908" max="5908" width="8.19921875" style="39" bestFit="1" customWidth="1"/>
    <col min="5909" max="5909" width="10.3984375" style="39" customWidth="1"/>
    <col min="5910" max="5910" width="0" style="39" hidden="1" customWidth="1"/>
    <col min="5911" max="5911" width="10" style="39" customWidth="1"/>
    <col min="5912" max="5912" width="6.09765625" style="39" customWidth="1"/>
    <col min="5913" max="6147" width="10" style="39" customWidth="1"/>
    <col min="6148" max="6148" width="11.19921875" style="39" customWidth="1"/>
    <col min="6149" max="6154" width="10" style="39" customWidth="1"/>
    <col min="6155" max="6155" width="2.19921875" style="39" customWidth="1"/>
    <col min="6156" max="6156" width="4.8984375" style="39" customWidth="1"/>
    <col min="6157" max="6157" width="12.59765625" style="39" customWidth="1"/>
    <col min="6158" max="6158" width="45.19921875" style="39" bestFit="1" customWidth="1"/>
    <col min="6159" max="6159" width="7.19921875" style="39" customWidth="1"/>
    <col min="6160" max="6160" width="11.09765625" style="39" customWidth="1"/>
    <col min="6161" max="6161" width="6.5" style="39" customWidth="1"/>
    <col min="6162" max="6162" width="46.59765625" style="39" customWidth="1"/>
    <col min="6163" max="6163" width="9.09765625" style="39" bestFit="1" customWidth="1"/>
    <col min="6164" max="6164" width="8.19921875" style="39" bestFit="1" customWidth="1"/>
    <col min="6165" max="6165" width="10.3984375" style="39" customWidth="1"/>
    <col min="6166" max="6166" width="0" style="39" hidden="1" customWidth="1"/>
    <col min="6167" max="6167" width="10" style="39" customWidth="1"/>
    <col min="6168" max="6168" width="6.09765625" style="39" customWidth="1"/>
    <col min="6169" max="6403" width="10" style="39" customWidth="1"/>
    <col min="6404" max="6404" width="11.19921875" style="39" customWidth="1"/>
    <col min="6405" max="6410" width="10" style="39" customWidth="1"/>
    <col min="6411" max="6411" width="2.19921875" style="39" customWidth="1"/>
    <col min="6412" max="6412" width="4.8984375" style="39" customWidth="1"/>
    <col min="6413" max="6413" width="12.59765625" style="39" customWidth="1"/>
    <col min="6414" max="6414" width="45.19921875" style="39" bestFit="1" customWidth="1"/>
    <col min="6415" max="6415" width="7.19921875" style="39" customWidth="1"/>
    <col min="6416" max="6416" width="11.09765625" style="39" customWidth="1"/>
    <col min="6417" max="6417" width="6.5" style="39" customWidth="1"/>
    <col min="6418" max="6418" width="46.59765625" style="39" customWidth="1"/>
    <col min="6419" max="6419" width="9.09765625" style="39" bestFit="1" customWidth="1"/>
    <col min="6420" max="6420" width="8.19921875" style="39" bestFit="1" customWidth="1"/>
    <col min="6421" max="6421" width="10.3984375" style="39" customWidth="1"/>
    <col min="6422" max="6422" width="0" style="39" hidden="1" customWidth="1"/>
    <col min="6423" max="6423" width="10" style="39" customWidth="1"/>
    <col min="6424" max="6424" width="6.09765625" style="39" customWidth="1"/>
    <col min="6425" max="6659" width="10" style="39" customWidth="1"/>
    <col min="6660" max="6660" width="11.19921875" style="39" customWidth="1"/>
    <col min="6661" max="6666" width="10" style="39" customWidth="1"/>
    <col min="6667" max="6667" width="2.19921875" style="39" customWidth="1"/>
    <col min="6668" max="6668" width="4.8984375" style="39" customWidth="1"/>
    <col min="6669" max="6669" width="12.59765625" style="39" customWidth="1"/>
    <col min="6670" max="6670" width="45.19921875" style="39" bestFit="1" customWidth="1"/>
    <col min="6671" max="6671" width="7.19921875" style="39" customWidth="1"/>
    <col min="6672" max="6672" width="11.09765625" style="39" customWidth="1"/>
    <col min="6673" max="6673" width="6.5" style="39" customWidth="1"/>
    <col min="6674" max="6674" width="46.59765625" style="39" customWidth="1"/>
    <col min="6675" max="6675" width="9.09765625" style="39" bestFit="1" customWidth="1"/>
    <col min="6676" max="6676" width="8.19921875" style="39" bestFit="1" customWidth="1"/>
    <col min="6677" max="6677" width="10.3984375" style="39" customWidth="1"/>
    <col min="6678" max="6678" width="0" style="39" hidden="1" customWidth="1"/>
    <col min="6679" max="6679" width="10" style="39" customWidth="1"/>
    <col min="6680" max="6680" width="6.09765625" style="39" customWidth="1"/>
    <col min="6681" max="6915" width="10" style="39" customWidth="1"/>
    <col min="6916" max="6916" width="11.19921875" style="39" customWidth="1"/>
    <col min="6917" max="6922" width="10" style="39" customWidth="1"/>
    <col min="6923" max="6923" width="2.19921875" style="39" customWidth="1"/>
    <col min="6924" max="6924" width="4.8984375" style="39" customWidth="1"/>
    <col min="6925" max="6925" width="12.59765625" style="39" customWidth="1"/>
    <col min="6926" max="6926" width="45.19921875" style="39" bestFit="1" customWidth="1"/>
    <col min="6927" max="6927" width="7.19921875" style="39" customWidth="1"/>
    <col min="6928" max="6928" width="11.09765625" style="39" customWidth="1"/>
    <col min="6929" max="6929" width="6.5" style="39" customWidth="1"/>
    <col min="6930" max="6930" width="46.59765625" style="39" customWidth="1"/>
    <col min="6931" max="6931" width="9.09765625" style="39" bestFit="1" customWidth="1"/>
    <col min="6932" max="6932" width="8.19921875" style="39" bestFit="1" customWidth="1"/>
    <col min="6933" max="6933" width="10.3984375" style="39" customWidth="1"/>
    <col min="6934" max="6934" width="0" style="39" hidden="1" customWidth="1"/>
    <col min="6935" max="6935" width="10" style="39" customWidth="1"/>
    <col min="6936" max="6936" width="6.09765625" style="39" customWidth="1"/>
    <col min="6937" max="7171" width="10" style="39" customWidth="1"/>
    <col min="7172" max="7172" width="11.19921875" style="39" customWidth="1"/>
    <col min="7173" max="7178" width="10" style="39" customWidth="1"/>
    <col min="7179" max="7179" width="2.19921875" style="39" customWidth="1"/>
    <col min="7180" max="7180" width="4.8984375" style="39" customWidth="1"/>
    <col min="7181" max="7181" width="12.59765625" style="39" customWidth="1"/>
    <col min="7182" max="7182" width="45.19921875" style="39" bestFit="1" customWidth="1"/>
    <col min="7183" max="7183" width="7.19921875" style="39" customWidth="1"/>
    <col min="7184" max="7184" width="11.09765625" style="39" customWidth="1"/>
    <col min="7185" max="7185" width="6.5" style="39" customWidth="1"/>
    <col min="7186" max="7186" width="46.59765625" style="39" customWidth="1"/>
    <col min="7187" max="7187" width="9.09765625" style="39" bestFit="1" customWidth="1"/>
    <col min="7188" max="7188" width="8.19921875" style="39" bestFit="1" customWidth="1"/>
    <col min="7189" max="7189" width="10.3984375" style="39" customWidth="1"/>
    <col min="7190" max="7190" width="0" style="39" hidden="1" customWidth="1"/>
    <col min="7191" max="7191" width="10" style="39" customWidth="1"/>
    <col min="7192" max="7192" width="6.09765625" style="39" customWidth="1"/>
    <col min="7193" max="7427" width="10" style="39" customWidth="1"/>
    <col min="7428" max="7428" width="11.19921875" style="39" customWidth="1"/>
    <col min="7429" max="7434" width="10" style="39" customWidth="1"/>
    <col min="7435" max="7435" width="2.19921875" style="39" customWidth="1"/>
    <col min="7436" max="7436" width="4.8984375" style="39" customWidth="1"/>
    <col min="7437" max="7437" width="12.59765625" style="39" customWidth="1"/>
    <col min="7438" max="7438" width="45.19921875" style="39" bestFit="1" customWidth="1"/>
    <col min="7439" max="7439" width="7.19921875" style="39" customWidth="1"/>
    <col min="7440" max="7440" width="11.09765625" style="39" customWidth="1"/>
    <col min="7441" max="7441" width="6.5" style="39" customWidth="1"/>
    <col min="7442" max="7442" width="46.59765625" style="39" customWidth="1"/>
    <col min="7443" max="7443" width="9.09765625" style="39" bestFit="1" customWidth="1"/>
    <col min="7444" max="7444" width="8.19921875" style="39" bestFit="1" customWidth="1"/>
    <col min="7445" max="7445" width="10.3984375" style="39" customWidth="1"/>
    <col min="7446" max="7446" width="0" style="39" hidden="1" customWidth="1"/>
    <col min="7447" max="7447" width="10" style="39" customWidth="1"/>
    <col min="7448" max="7448" width="6.09765625" style="39" customWidth="1"/>
    <col min="7449" max="7683" width="10" style="39" customWidth="1"/>
    <col min="7684" max="7684" width="11.19921875" style="39" customWidth="1"/>
    <col min="7685" max="7690" width="10" style="39" customWidth="1"/>
    <col min="7691" max="7691" width="2.19921875" style="39" customWidth="1"/>
    <col min="7692" max="7692" width="4.8984375" style="39" customWidth="1"/>
    <col min="7693" max="7693" width="12.59765625" style="39" customWidth="1"/>
    <col min="7694" max="7694" width="45.19921875" style="39" bestFit="1" customWidth="1"/>
    <col min="7695" max="7695" width="7.19921875" style="39" customWidth="1"/>
    <col min="7696" max="7696" width="11.09765625" style="39" customWidth="1"/>
    <col min="7697" max="7697" width="6.5" style="39" customWidth="1"/>
    <col min="7698" max="7698" width="46.59765625" style="39" customWidth="1"/>
    <col min="7699" max="7699" width="9.09765625" style="39" bestFit="1" customWidth="1"/>
    <col min="7700" max="7700" width="8.19921875" style="39" bestFit="1" customWidth="1"/>
    <col min="7701" max="7701" width="10.3984375" style="39" customWidth="1"/>
    <col min="7702" max="7702" width="0" style="39" hidden="1" customWidth="1"/>
    <col min="7703" max="7703" width="10" style="39" customWidth="1"/>
    <col min="7704" max="7704" width="6.09765625" style="39" customWidth="1"/>
    <col min="7705" max="7939" width="10" style="39" customWidth="1"/>
    <col min="7940" max="7940" width="11.19921875" style="39" customWidth="1"/>
    <col min="7941" max="7946" width="10" style="39" customWidth="1"/>
    <col min="7947" max="7947" width="2.19921875" style="39" customWidth="1"/>
    <col min="7948" max="7948" width="4.8984375" style="39" customWidth="1"/>
    <col min="7949" max="7949" width="12.59765625" style="39" customWidth="1"/>
    <col min="7950" max="7950" width="45.19921875" style="39" bestFit="1" customWidth="1"/>
    <col min="7951" max="7951" width="7.19921875" style="39" customWidth="1"/>
    <col min="7952" max="7952" width="11.09765625" style="39" customWidth="1"/>
    <col min="7953" max="7953" width="6.5" style="39" customWidth="1"/>
    <col min="7954" max="7954" width="46.59765625" style="39" customWidth="1"/>
    <col min="7955" max="7955" width="9.09765625" style="39" bestFit="1" customWidth="1"/>
    <col min="7956" max="7956" width="8.19921875" style="39" bestFit="1" customWidth="1"/>
    <col min="7957" max="7957" width="10.3984375" style="39" customWidth="1"/>
    <col min="7958" max="7958" width="0" style="39" hidden="1" customWidth="1"/>
    <col min="7959" max="7959" width="10" style="39" customWidth="1"/>
    <col min="7960" max="7960" width="6.09765625" style="39" customWidth="1"/>
    <col min="7961" max="8195" width="10" style="39" customWidth="1"/>
    <col min="8196" max="8196" width="11.19921875" style="39" customWidth="1"/>
    <col min="8197" max="8202" width="10" style="39" customWidth="1"/>
    <col min="8203" max="8203" width="2.19921875" style="39" customWidth="1"/>
    <col min="8204" max="8204" width="4.8984375" style="39" customWidth="1"/>
    <col min="8205" max="8205" width="12.59765625" style="39" customWidth="1"/>
    <col min="8206" max="8206" width="45.19921875" style="39" bestFit="1" customWidth="1"/>
    <col min="8207" max="8207" width="7.19921875" style="39" customWidth="1"/>
    <col min="8208" max="8208" width="11.09765625" style="39" customWidth="1"/>
    <col min="8209" max="8209" width="6.5" style="39" customWidth="1"/>
    <col min="8210" max="8210" width="46.59765625" style="39" customWidth="1"/>
    <col min="8211" max="8211" width="9.09765625" style="39" bestFit="1" customWidth="1"/>
    <col min="8212" max="8212" width="8.19921875" style="39" bestFit="1" customWidth="1"/>
    <col min="8213" max="8213" width="10.3984375" style="39" customWidth="1"/>
    <col min="8214" max="8214" width="0" style="39" hidden="1" customWidth="1"/>
    <col min="8215" max="8215" width="10" style="39" customWidth="1"/>
    <col min="8216" max="8216" width="6.09765625" style="39" customWidth="1"/>
    <col min="8217" max="8451" width="10" style="39" customWidth="1"/>
    <col min="8452" max="8452" width="11.19921875" style="39" customWidth="1"/>
    <col min="8453" max="8458" width="10" style="39" customWidth="1"/>
    <col min="8459" max="8459" width="2.19921875" style="39" customWidth="1"/>
    <col min="8460" max="8460" width="4.8984375" style="39" customWidth="1"/>
    <col min="8461" max="8461" width="12.59765625" style="39" customWidth="1"/>
    <col min="8462" max="8462" width="45.19921875" style="39" bestFit="1" customWidth="1"/>
    <col min="8463" max="8463" width="7.19921875" style="39" customWidth="1"/>
    <col min="8464" max="8464" width="11.09765625" style="39" customWidth="1"/>
    <col min="8465" max="8465" width="6.5" style="39" customWidth="1"/>
    <col min="8466" max="8466" width="46.59765625" style="39" customWidth="1"/>
    <col min="8467" max="8467" width="9.09765625" style="39" bestFit="1" customWidth="1"/>
    <col min="8468" max="8468" width="8.19921875" style="39" bestFit="1" customWidth="1"/>
    <col min="8469" max="8469" width="10.3984375" style="39" customWidth="1"/>
    <col min="8470" max="8470" width="0" style="39" hidden="1" customWidth="1"/>
    <col min="8471" max="8471" width="10" style="39" customWidth="1"/>
    <col min="8472" max="8472" width="6.09765625" style="39" customWidth="1"/>
    <col min="8473" max="8707" width="10" style="39" customWidth="1"/>
    <col min="8708" max="8708" width="11.19921875" style="39" customWidth="1"/>
    <col min="8709" max="8714" width="10" style="39" customWidth="1"/>
    <col min="8715" max="8715" width="2.19921875" style="39" customWidth="1"/>
    <col min="8716" max="8716" width="4.8984375" style="39" customWidth="1"/>
    <col min="8717" max="8717" width="12.59765625" style="39" customWidth="1"/>
    <col min="8718" max="8718" width="45.19921875" style="39" bestFit="1" customWidth="1"/>
    <col min="8719" max="8719" width="7.19921875" style="39" customWidth="1"/>
    <col min="8720" max="8720" width="11.09765625" style="39" customWidth="1"/>
    <col min="8721" max="8721" width="6.5" style="39" customWidth="1"/>
    <col min="8722" max="8722" width="46.59765625" style="39" customWidth="1"/>
    <col min="8723" max="8723" width="9.09765625" style="39" bestFit="1" customWidth="1"/>
    <col min="8724" max="8724" width="8.19921875" style="39" bestFit="1" customWidth="1"/>
    <col min="8725" max="8725" width="10.3984375" style="39" customWidth="1"/>
    <col min="8726" max="8726" width="0" style="39" hidden="1" customWidth="1"/>
    <col min="8727" max="8727" width="10" style="39" customWidth="1"/>
    <col min="8728" max="8728" width="6.09765625" style="39" customWidth="1"/>
    <col min="8729" max="8963" width="10" style="39" customWidth="1"/>
    <col min="8964" max="8964" width="11.19921875" style="39" customWidth="1"/>
    <col min="8965" max="8970" width="10" style="39" customWidth="1"/>
    <col min="8971" max="8971" width="2.19921875" style="39" customWidth="1"/>
    <col min="8972" max="8972" width="4.8984375" style="39" customWidth="1"/>
    <col min="8973" max="8973" width="12.59765625" style="39" customWidth="1"/>
    <col min="8974" max="8974" width="45.19921875" style="39" bestFit="1" customWidth="1"/>
    <col min="8975" max="8975" width="7.19921875" style="39" customWidth="1"/>
    <col min="8976" max="8976" width="11.09765625" style="39" customWidth="1"/>
    <col min="8977" max="8977" width="6.5" style="39" customWidth="1"/>
    <col min="8978" max="8978" width="46.59765625" style="39" customWidth="1"/>
    <col min="8979" max="8979" width="9.09765625" style="39" bestFit="1" customWidth="1"/>
    <col min="8980" max="8980" width="8.19921875" style="39" bestFit="1" customWidth="1"/>
    <col min="8981" max="8981" width="10.3984375" style="39" customWidth="1"/>
    <col min="8982" max="8982" width="0" style="39" hidden="1" customWidth="1"/>
    <col min="8983" max="8983" width="10" style="39" customWidth="1"/>
    <col min="8984" max="8984" width="6.09765625" style="39" customWidth="1"/>
    <col min="8985" max="9219" width="10" style="39" customWidth="1"/>
    <col min="9220" max="9220" width="11.19921875" style="39" customWidth="1"/>
    <col min="9221" max="9226" width="10" style="39" customWidth="1"/>
    <col min="9227" max="9227" width="2.19921875" style="39" customWidth="1"/>
    <col min="9228" max="9228" width="4.8984375" style="39" customWidth="1"/>
    <col min="9229" max="9229" width="12.59765625" style="39" customWidth="1"/>
    <col min="9230" max="9230" width="45.19921875" style="39" bestFit="1" customWidth="1"/>
    <col min="9231" max="9231" width="7.19921875" style="39" customWidth="1"/>
    <col min="9232" max="9232" width="11.09765625" style="39" customWidth="1"/>
    <col min="9233" max="9233" width="6.5" style="39" customWidth="1"/>
    <col min="9234" max="9234" width="46.59765625" style="39" customWidth="1"/>
    <col min="9235" max="9235" width="9.09765625" style="39" bestFit="1" customWidth="1"/>
    <col min="9236" max="9236" width="8.19921875" style="39" bestFit="1" customWidth="1"/>
    <col min="9237" max="9237" width="10.3984375" style="39" customWidth="1"/>
    <col min="9238" max="9238" width="0" style="39" hidden="1" customWidth="1"/>
    <col min="9239" max="9239" width="10" style="39" customWidth="1"/>
    <col min="9240" max="9240" width="6.09765625" style="39" customWidth="1"/>
    <col min="9241" max="9475" width="10" style="39" customWidth="1"/>
    <col min="9476" max="9476" width="11.19921875" style="39" customWidth="1"/>
    <col min="9477" max="9482" width="10" style="39" customWidth="1"/>
    <col min="9483" max="9483" width="2.19921875" style="39" customWidth="1"/>
    <col min="9484" max="9484" width="4.8984375" style="39" customWidth="1"/>
    <col min="9485" max="9485" width="12.59765625" style="39" customWidth="1"/>
    <col min="9486" max="9486" width="45.19921875" style="39" bestFit="1" customWidth="1"/>
    <col min="9487" max="9487" width="7.19921875" style="39" customWidth="1"/>
    <col min="9488" max="9488" width="11.09765625" style="39" customWidth="1"/>
    <col min="9489" max="9489" width="6.5" style="39" customWidth="1"/>
    <col min="9490" max="9490" width="46.59765625" style="39" customWidth="1"/>
    <col min="9491" max="9491" width="9.09765625" style="39" bestFit="1" customWidth="1"/>
    <col min="9492" max="9492" width="8.19921875" style="39" bestFit="1" customWidth="1"/>
    <col min="9493" max="9493" width="10.3984375" style="39" customWidth="1"/>
    <col min="9494" max="9494" width="0" style="39" hidden="1" customWidth="1"/>
    <col min="9495" max="9495" width="10" style="39" customWidth="1"/>
    <col min="9496" max="9496" width="6.09765625" style="39" customWidth="1"/>
    <col min="9497" max="9731" width="10" style="39" customWidth="1"/>
    <col min="9732" max="9732" width="11.19921875" style="39" customWidth="1"/>
    <col min="9733" max="9738" width="10" style="39" customWidth="1"/>
    <col min="9739" max="9739" width="2.19921875" style="39" customWidth="1"/>
    <col min="9740" max="9740" width="4.8984375" style="39" customWidth="1"/>
    <col min="9741" max="9741" width="12.59765625" style="39" customWidth="1"/>
    <col min="9742" max="9742" width="45.19921875" style="39" bestFit="1" customWidth="1"/>
    <col min="9743" max="9743" width="7.19921875" style="39" customWidth="1"/>
    <col min="9744" max="9744" width="11.09765625" style="39" customWidth="1"/>
    <col min="9745" max="9745" width="6.5" style="39" customWidth="1"/>
    <col min="9746" max="9746" width="46.59765625" style="39" customWidth="1"/>
    <col min="9747" max="9747" width="9.09765625" style="39" bestFit="1" customWidth="1"/>
    <col min="9748" max="9748" width="8.19921875" style="39" bestFit="1" customWidth="1"/>
    <col min="9749" max="9749" width="10.3984375" style="39" customWidth="1"/>
    <col min="9750" max="9750" width="0" style="39" hidden="1" customWidth="1"/>
    <col min="9751" max="9751" width="10" style="39" customWidth="1"/>
    <col min="9752" max="9752" width="6.09765625" style="39" customWidth="1"/>
    <col min="9753" max="9987" width="10" style="39" customWidth="1"/>
    <col min="9988" max="9988" width="11.19921875" style="39" customWidth="1"/>
    <col min="9989" max="9994" width="10" style="39" customWidth="1"/>
    <col min="9995" max="9995" width="2.19921875" style="39" customWidth="1"/>
    <col min="9996" max="9996" width="4.8984375" style="39" customWidth="1"/>
    <col min="9997" max="9997" width="12.59765625" style="39" customWidth="1"/>
    <col min="9998" max="9998" width="45.19921875" style="39" bestFit="1" customWidth="1"/>
    <col min="9999" max="9999" width="7.19921875" style="39" customWidth="1"/>
    <col min="10000" max="10000" width="11.09765625" style="39" customWidth="1"/>
    <col min="10001" max="10001" width="6.5" style="39" customWidth="1"/>
    <col min="10002" max="10002" width="46.59765625" style="39" customWidth="1"/>
    <col min="10003" max="10003" width="9.09765625" style="39" bestFit="1" customWidth="1"/>
    <col min="10004" max="10004" width="8.19921875" style="39" bestFit="1" customWidth="1"/>
    <col min="10005" max="10005" width="10.3984375" style="39" customWidth="1"/>
    <col min="10006" max="10006" width="0" style="39" hidden="1" customWidth="1"/>
    <col min="10007" max="10007" width="10" style="39" customWidth="1"/>
    <col min="10008" max="10008" width="6.09765625" style="39" customWidth="1"/>
    <col min="10009" max="10243" width="10" style="39" customWidth="1"/>
    <col min="10244" max="10244" width="11.19921875" style="39" customWidth="1"/>
    <col min="10245" max="10250" width="10" style="39" customWidth="1"/>
    <col min="10251" max="10251" width="2.19921875" style="39" customWidth="1"/>
    <col min="10252" max="10252" width="4.8984375" style="39" customWidth="1"/>
    <col min="10253" max="10253" width="12.59765625" style="39" customWidth="1"/>
    <col min="10254" max="10254" width="45.19921875" style="39" bestFit="1" customWidth="1"/>
    <col min="10255" max="10255" width="7.19921875" style="39" customWidth="1"/>
    <col min="10256" max="10256" width="11.09765625" style="39" customWidth="1"/>
    <col min="10257" max="10257" width="6.5" style="39" customWidth="1"/>
    <col min="10258" max="10258" width="46.59765625" style="39" customWidth="1"/>
    <col min="10259" max="10259" width="9.09765625" style="39" bestFit="1" customWidth="1"/>
    <col min="10260" max="10260" width="8.19921875" style="39" bestFit="1" customWidth="1"/>
    <col min="10261" max="10261" width="10.3984375" style="39" customWidth="1"/>
    <col min="10262" max="10262" width="0" style="39" hidden="1" customWidth="1"/>
    <col min="10263" max="10263" width="10" style="39" customWidth="1"/>
    <col min="10264" max="10264" width="6.09765625" style="39" customWidth="1"/>
    <col min="10265" max="10499" width="10" style="39" customWidth="1"/>
    <col min="10500" max="10500" width="11.19921875" style="39" customWidth="1"/>
    <col min="10501" max="10506" width="10" style="39" customWidth="1"/>
    <col min="10507" max="10507" width="2.19921875" style="39" customWidth="1"/>
    <col min="10508" max="10508" width="4.8984375" style="39" customWidth="1"/>
    <col min="10509" max="10509" width="12.59765625" style="39" customWidth="1"/>
    <col min="10510" max="10510" width="45.19921875" style="39" bestFit="1" customWidth="1"/>
    <col min="10511" max="10511" width="7.19921875" style="39" customWidth="1"/>
    <col min="10512" max="10512" width="11.09765625" style="39" customWidth="1"/>
    <col min="10513" max="10513" width="6.5" style="39" customWidth="1"/>
    <col min="10514" max="10514" width="46.59765625" style="39" customWidth="1"/>
    <col min="10515" max="10515" width="9.09765625" style="39" bestFit="1" customWidth="1"/>
    <col min="10516" max="10516" width="8.19921875" style="39" bestFit="1" customWidth="1"/>
    <col min="10517" max="10517" width="10.3984375" style="39" customWidth="1"/>
    <col min="10518" max="10518" width="0" style="39" hidden="1" customWidth="1"/>
    <col min="10519" max="10519" width="10" style="39" customWidth="1"/>
    <col min="10520" max="10520" width="6.09765625" style="39" customWidth="1"/>
    <col min="10521" max="10755" width="10" style="39" customWidth="1"/>
    <col min="10756" max="10756" width="11.19921875" style="39" customWidth="1"/>
    <col min="10757" max="10762" width="10" style="39" customWidth="1"/>
    <col min="10763" max="10763" width="2.19921875" style="39" customWidth="1"/>
    <col min="10764" max="10764" width="4.8984375" style="39" customWidth="1"/>
    <col min="10765" max="10765" width="12.59765625" style="39" customWidth="1"/>
    <col min="10766" max="10766" width="45.19921875" style="39" bestFit="1" customWidth="1"/>
    <col min="10767" max="10767" width="7.19921875" style="39" customWidth="1"/>
    <col min="10768" max="10768" width="11.09765625" style="39" customWidth="1"/>
    <col min="10769" max="10769" width="6.5" style="39" customWidth="1"/>
    <col min="10770" max="10770" width="46.59765625" style="39" customWidth="1"/>
    <col min="10771" max="10771" width="9.09765625" style="39" bestFit="1" customWidth="1"/>
    <col min="10772" max="10772" width="8.19921875" style="39" bestFit="1" customWidth="1"/>
    <col min="10773" max="10773" width="10.3984375" style="39" customWidth="1"/>
    <col min="10774" max="10774" width="0" style="39" hidden="1" customWidth="1"/>
    <col min="10775" max="10775" width="10" style="39" customWidth="1"/>
    <col min="10776" max="10776" width="6.09765625" style="39" customWidth="1"/>
    <col min="10777" max="11011" width="10" style="39" customWidth="1"/>
    <col min="11012" max="11012" width="11.19921875" style="39" customWidth="1"/>
    <col min="11013" max="11018" width="10" style="39" customWidth="1"/>
    <col min="11019" max="11019" width="2.19921875" style="39" customWidth="1"/>
    <col min="11020" max="11020" width="4.8984375" style="39" customWidth="1"/>
    <col min="11021" max="11021" width="12.59765625" style="39" customWidth="1"/>
    <col min="11022" max="11022" width="45.19921875" style="39" bestFit="1" customWidth="1"/>
    <col min="11023" max="11023" width="7.19921875" style="39" customWidth="1"/>
    <col min="11024" max="11024" width="11.09765625" style="39" customWidth="1"/>
    <col min="11025" max="11025" width="6.5" style="39" customWidth="1"/>
    <col min="11026" max="11026" width="46.59765625" style="39" customWidth="1"/>
    <col min="11027" max="11027" width="9.09765625" style="39" bestFit="1" customWidth="1"/>
    <col min="11028" max="11028" width="8.19921875" style="39" bestFit="1" customWidth="1"/>
    <col min="11029" max="11029" width="10.3984375" style="39" customWidth="1"/>
    <col min="11030" max="11030" width="0" style="39" hidden="1" customWidth="1"/>
    <col min="11031" max="11031" width="10" style="39" customWidth="1"/>
    <col min="11032" max="11032" width="6.09765625" style="39" customWidth="1"/>
    <col min="11033" max="11267" width="10" style="39" customWidth="1"/>
    <col min="11268" max="11268" width="11.19921875" style="39" customWidth="1"/>
    <col min="11269" max="11274" width="10" style="39" customWidth="1"/>
    <col min="11275" max="11275" width="2.19921875" style="39" customWidth="1"/>
    <col min="11276" max="11276" width="4.8984375" style="39" customWidth="1"/>
    <col min="11277" max="11277" width="12.59765625" style="39" customWidth="1"/>
    <col min="11278" max="11278" width="45.19921875" style="39" bestFit="1" customWidth="1"/>
    <col min="11279" max="11279" width="7.19921875" style="39" customWidth="1"/>
    <col min="11280" max="11280" width="11.09765625" style="39" customWidth="1"/>
    <col min="11281" max="11281" width="6.5" style="39" customWidth="1"/>
    <col min="11282" max="11282" width="46.59765625" style="39" customWidth="1"/>
    <col min="11283" max="11283" width="9.09765625" style="39" bestFit="1" customWidth="1"/>
    <col min="11284" max="11284" width="8.19921875" style="39" bestFit="1" customWidth="1"/>
    <col min="11285" max="11285" width="10.3984375" style="39" customWidth="1"/>
    <col min="11286" max="11286" width="0" style="39" hidden="1" customWidth="1"/>
    <col min="11287" max="11287" width="10" style="39" customWidth="1"/>
    <col min="11288" max="11288" width="6.09765625" style="39" customWidth="1"/>
    <col min="11289" max="11523" width="10" style="39" customWidth="1"/>
    <col min="11524" max="11524" width="11.19921875" style="39" customWidth="1"/>
    <col min="11525" max="11530" width="10" style="39" customWidth="1"/>
    <col min="11531" max="11531" width="2.19921875" style="39" customWidth="1"/>
    <col min="11532" max="11532" width="4.8984375" style="39" customWidth="1"/>
    <col min="11533" max="11533" width="12.59765625" style="39" customWidth="1"/>
    <col min="11534" max="11534" width="45.19921875" style="39" bestFit="1" customWidth="1"/>
    <col min="11535" max="11535" width="7.19921875" style="39" customWidth="1"/>
    <col min="11536" max="11536" width="11.09765625" style="39" customWidth="1"/>
    <col min="11537" max="11537" width="6.5" style="39" customWidth="1"/>
    <col min="11538" max="11538" width="46.59765625" style="39" customWidth="1"/>
    <col min="11539" max="11539" width="9.09765625" style="39" bestFit="1" customWidth="1"/>
    <col min="11540" max="11540" width="8.19921875" style="39" bestFit="1" customWidth="1"/>
    <col min="11541" max="11541" width="10.3984375" style="39" customWidth="1"/>
    <col min="11542" max="11542" width="0" style="39" hidden="1" customWidth="1"/>
    <col min="11543" max="11543" width="10" style="39" customWidth="1"/>
    <col min="11544" max="11544" width="6.09765625" style="39" customWidth="1"/>
    <col min="11545" max="11779" width="10" style="39" customWidth="1"/>
    <col min="11780" max="11780" width="11.19921875" style="39" customWidth="1"/>
    <col min="11781" max="11786" width="10" style="39" customWidth="1"/>
    <col min="11787" max="11787" width="2.19921875" style="39" customWidth="1"/>
    <col min="11788" max="11788" width="4.8984375" style="39" customWidth="1"/>
    <col min="11789" max="11789" width="12.59765625" style="39" customWidth="1"/>
    <col min="11790" max="11790" width="45.19921875" style="39" bestFit="1" customWidth="1"/>
    <col min="11791" max="11791" width="7.19921875" style="39" customWidth="1"/>
    <col min="11792" max="11792" width="11.09765625" style="39" customWidth="1"/>
    <col min="11793" max="11793" width="6.5" style="39" customWidth="1"/>
    <col min="11794" max="11794" width="46.59765625" style="39" customWidth="1"/>
    <col min="11795" max="11795" width="9.09765625" style="39" bestFit="1" customWidth="1"/>
    <col min="11796" max="11796" width="8.19921875" style="39" bestFit="1" customWidth="1"/>
    <col min="11797" max="11797" width="10.3984375" style="39" customWidth="1"/>
    <col min="11798" max="11798" width="0" style="39" hidden="1" customWidth="1"/>
    <col min="11799" max="11799" width="10" style="39" customWidth="1"/>
    <col min="11800" max="11800" width="6.09765625" style="39" customWidth="1"/>
    <col min="11801" max="12035" width="10" style="39" customWidth="1"/>
    <col min="12036" max="12036" width="11.19921875" style="39" customWidth="1"/>
    <col min="12037" max="12042" width="10" style="39" customWidth="1"/>
    <col min="12043" max="12043" width="2.19921875" style="39" customWidth="1"/>
    <col min="12044" max="12044" width="4.8984375" style="39" customWidth="1"/>
    <col min="12045" max="12045" width="12.59765625" style="39" customWidth="1"/>
    <col min="12046" max="12046" width="45.19921875" style="39" bestFit="1" customWidth="1"/>
    <col min="12047" max="12047" width="7.19921875" style="39" customWidth="1"/>
    <col min="12048" max="12048" width="11.09765625" style="39" customWidth="1"/>
    <col min="12049" max="12049" width="6.5" style="39" customWidth="1"/>
    <col min="12050" max="12050" width="46.59765625" style="39" customWidth="1"/>
    <col min="12051" max="12051" width="9.09765625" style="39" bestFit="1" customWidth="1"/>
    <col min="12052" max="12052" width="8.19921875" style="39" bestFit="1" customWidth="1"/>
    <col min="12053" max="12053" width="10.3984375" style="39" customWidth="1"/>
    <col min="12054" max="12054" width="0" style="39" hidden="1" customWidth="1"/>
    <col min="12055" max="12055" width="10" style="39" customWidth="1"/>
    <col min="12056" max="12056" width="6.09765625" style="39" customWidth="1"/>
    <col min="12057" max="12291" width="10" style="39" customWidth="1"/>
    <col min="12292" max="12292" width="11.19921875" style="39" customWidth="1"/>
    <col min="12293" max="12298" width="10" style="39" customWidth="1"/>
    <col min="12299" max="12299" width="2.19921875" style="39" customWidth="1"/>
    <col min="12300" max="12300" width="4.8984375" style="39" customWidth="1"/>
    <col min="12301" max="12301" width="12.59765625" style="39" customWidth="1"/>
    <col min="12302" max="12302" width="45.19921875" style="39" bestFit="1" customWidth="1"/>
    <col min="12303" max="12303" width="7.19921875" style="39" customWidth="1"/>
    <col min="12304" max="12304" width="11.09765625" style="39" customWidth="1"/>
    <col min="12305" max="12305" width="6.5" style="39" customWidth="1"/>
    <col min="12306" max="12306" width="46.59765625" style="39" customWidth="1"/>
    <col min="12307" max="12307" width="9.09765625" style="39" bestFit="1" customWidth="1"/>
    <col min="12308" max="12308" width="8.19921875" style="39" bestFit="1" customWidth="1"/>
    <col min="12309" max="12309" width="10.3984375" style="39" customWidth="1"/>
    <col min="12310" max="12310" width="0" style="39" hidden="1" customWidth="1"/>
    <col min="12311" max="12311" width="10" style="39" customWidth="1"/>
    <col min="12312" max="12312" width="6.09765625" style="39" customWidth="1"/>
    <col min="12313" max="12547" width="10" style="39" customWidth="1"/>
    <col min="12548" max="12548" width="11.19921875" style="39" customWidth="1"/>
    <col min="12549" max="12554" width="10" style="39" customWidth="1"/>
    <col min="12555" max="12555" width="2.19921875" style="39" customWidth="1"/>
    <col min="12556" max="12556" width="4.8984375" style="39" customWidth="1"/>
    <col min="12557" max="12557" width="12.59765625" style="39" customWidth="1"/>
    <col min="12558" max="12558" width="45.19921875" style="39" bestFit="1" customWidth="1"/>
    <col min="12559" max="12559" width="7.19921875" style="39" customWidth="1"/>
    <col min="12560" max="12560" width="11.09765625" style="39" customWidth="1"/>
    <col min="12561" max="12561" width="6.5" style="39" customWidth="1"/>
    <col min="12562" max="12562" width="46.59765625" style="39" customWidth="1"/>
    <col min="12563" max="12563" width="9.09765625" style="39" bestFit="1" customWidth="1"/>
    <col min="12564" max="12564" width="8.19921875" style="39" bestFit="1" customWidth="1"/>
    <col min="12565" max="12565" width="10.3984375" style="39" customWidth="1"/>
    <col min="12566" max="12566" width="0" style="39" hidden="1" customWidth="1"/>
    <col min="12567" max="12567" width="10" style="39" customWidth="1"/>
    <col min="12568" max="12568" width="6.09765625" style="39" customWidth="1"/>
    <col min="12569" max="12803" width="10" style="39" customWidth="1"/>
    <col min="12804" max="12804" width="11.19921875" style="39" customWidth="1"/>
    <col min="12805" max="12810" width="10" style="39" customWidth="1"/>
    <col min="12811" max="12811" width="2.19921875" style="39" customWidth="1"/>
    <col min="12812" max="12812" width="4.8984375" style="39" customWidth="1"/>
    <col min="12813" max="12813" width="12.59765625" style="39" customWidth="1"/>
    <col min="12814" max="12814" width="45.19921875" style="39" bestFit="1" customWidth="1"/>
    <col min="12815" max="12815" width="7.19921875" style="39" customWidth="1"/>
    <col min="12816" max="12816" width="11.09765625" style="39" customWidth="1"/>
    <col min="12817" max="12817" width="6.5" style="39" customWidth="1"/>
    <col min="12818" max="12818" width="46.59765625" style="39" customWidth="1"/>
    <col min="12819" max="12819" width="9.09765625" style="39" bestFit="1" customWidth="1"/>
    <col min="12820" max="12820" width="8.19921875" style="39" bestFit="1" customWidth="1"/>
    <col min="12821" max="12821" width="10.3984375" style="39" customWidth="1"/>
    <col min="12822" max="12822" width="0" style="39" hidden="1" customWidth="1"/>
    <col min="12823" max="12823" width="10" style="39" customWidth="1"/>
    <col min="12824" max="12824" width="6.09765625" style="39" customWidth="1"/>
    <col min="12825" max="13059" width="10" style="39" customWidth="1"/>
    <col min="13060" max="13060" width="11.19921875" style="39" customWidth="1"/>
    <col min="13061" max="13066" width="10" style="39" customWidth="1"/>
    <col min="13067" max="13067" width="2.19921875" style="39" customWidth="1"/>
    <col min="13068" max="13068" width="4.8984375" style="39" customWidth="1"/>
    <col min="13069" max="13069" width="12.59765625" style="39" customWidth="1"/>
    <col min="13070" max="13070" width="45.19921875" style="39" bestFit="1" customWidth="1"/>
    <col min="13071" max="13071" width="7.19921875" style="39" customWidth="1"/>
    <col min="13072" max="13072" width="11.09765625" style="39" customWidth="1"/>
    <col min="13073" max="13073" width="6.5" style="39" customWidth="1"/>
    <col min="13074" max="13074" width="46.59765625" style="39" customWidth="1"/>
    <col min="13075" max="13075" width="9.09765625" style="39" bestFit="1" customWidth="1"/>
    <col min="13076" max="13076" width="8.19921875" style="39" bestFit="1" customWidth="1"/>
    <col min="13077" max="13077" width="10.3984375" style="39" customWidth="1"/>
    <col min="13078" max="13078" width="0" style="39" hidden="1" customWidth="1"/>
    <col min="13079" max="13079" width="10" style="39" customWidth="1"/>
    <col min="13080" max="13080" width="6.09765625" style="39" customWidth="1"/>
    <col min="13081" max="13315" width="10" style="39" customWidth="1"/>
    <col min="13316" max="13316" width="11.19921875" style="39" customWidth="1"/>
    <col min="13317" max="13322" width="10" style="39" customWidth="1"/>
    <col min="13323" max="13323" width="2.19921875" style="39" customWidth="1"/>
    <col min="13324" max="13324" width="4.8984375" style="39" customWidth="1"/>
    <col min="13325" max="13325" width="12.59765625" style="39" customWidth="1"/>
    <col min="13326" max="13326" width="45.19921875" style="39" bestFit="1" customWidth="1"/>
    <col min="13327" max="13327" width="7.19921875" style="39" customWidth="1"/>
    <col min="13328" max="13328" width="11.09765625" style="39" customWidth="1"/>
    <col min="13329" max="13329" width="6.5" style="39" customWidth="1"/>
    <col min="13330" max="13330" width="46.59765625" style="39" customWidth="1"/>
    <col min="13331" max="13331" width="9.09765625" style="39" bestFit="1" customWidth="1"/>
    <col min="13332" max="13332" width="8.19921875" style="39" bestFit="1" customWidth="1"/>
    <col min="13333" max="13333" width="10.3984375" style="39" customWidth="1"/>
    <col min="13334" max="13334" width="0" style="39" hidden="1" customWidth="1"/>
    <col min="13335" max="13335" width="10" style="39" customWidth="1"/>
    <col min="13336" max="13336" width="6.09765625" style="39" customWidth="1"/>
    <col min="13337" max="13571" width="10" style="39" customWidth="1"/>
    <col min="13572" max="13572" width="11.19921875" style="39" customWidth="1"/>
    <col min="13573" max="13578" width="10" style="39" customWidth="1"/>
    <col min="13579" max="13579" width="2.19921875" style="39" customWidth="1"/>
    <col min="13580" max="13580" width="4.8984375" style="39" customWidth="1"/>
    <col min="13581" max="13581" width="12.59765625" style="39" customWidth="1"/>
    <col min="13582" max="13582" width="45.19921875" style="39" bestFit="1" customWidth="1"/>
    <col min="13583" max="13583" width="7.19921875" style="39" customWidth="1"/>
    <col min="13584" max="13584" width="11.09765625" style="39" customWidth="1"/>
    <col min="13585" max="13585" width="6.5" style="39" customWidth="1"/>
    <col min="13586" max="13586" width="46.59765625" style="39" customWidth="1"/>
    <col min="13587" max="13587" width="9.09765625" style="39" bestFit="1" customWidth="1"/>
    <col min="13588" max="13588" width="8.19921875" style="39" bestFit="1" customWidth="1"/>
    <col min="13589" max="13589" width="10.3984375" style="39" customWidth="1"/>
    <col min="13590" max="13590" width="0" style="39" hidden="1" customWidth="1"/>
    <col min="13591" max="13591" width="10" style="39" customWidth="1"/>
    <col min="13592" max="13592" width="6.09765625" style="39" customWidth="1"/>
    <col min="13593" max="13827" width="10" style="39" customWidth="1"/>
    <col min="13828" max="13828" width="11.19921875" style="39" customWidth="1"/>
    <col min="13829" max="13834" width="10" style="39" customWidth="1"/>
    <col min="13835" max="13835" width="2.19921875" style="39" customWidth="1"/>
    <col min="13836" max="13836" width="4.8984375" style="39" customWidth="1"/>
    <col min="13837" max="13837" width="12.59765625" style="39" customWidth="1"/>
    <col min="13838" max="13838" width="45.19921875" style="39" bestFit="1" customWidth="1"/>
    <col min="13839" max="13839" width="7.19921875" style="39" customWidth="1"/>
    <col min="13840" max="13840" width="11.09765625" style="39" customWidth="1"/>
    <col min="13841" max="13841" width="6.5" style="39" customWidth="1"/>
    <col min="13842" max="13842" width="46.59765625" style="39" customWidth="1"/>
    <col min="13843" max="13843" width="9.09765625" style="39" bestFit="1" customWidth="1"/>
    <col min="13844" max="13844" width="8.19921875" style="39" bestFit="1" customWidth="1"/>
    <col min="13845" max="13845" width="10.3984375" style="39" customWidth="1"/>
    <col min="13846" max="13846" width="0" style="39" hidden="1" customWidth="1"/>
    <col min="13847" max="13847" width="10" style="39" customWidth="1"/>
    <col min="13848" max="13848" width="6.09765625" style="39" customWidth="1"/>
    <col min="13849" max="14083" width="10" style="39" customWidth="1"/>
    <col min="14084" max="14084" width="11.19921875" style="39" customWidth="1"/>
    <col min="14085" max="14090" width="10" style="39" customWidth="1"/>
    <col min="14091" max="14091" width="2.19921875" style="39" customWidth="1"/>
    <col min="14092" max="14092" width="4.8984375" style="39" customWidth="1"/>
    <col min="14093" max="14093" width="12.59765625" style="39" customWidth="1"/>
    <col min="14094" max="14094" width="45.19921875" style="39" bestFit="1" customWidth="1"/>
    <col min="14095" max="14095" width="7.19921875" style="39" customWidth="1"/>
    <col min="14096" max="14096" width="11.09765625" style="39" customWidth="1"/>
    <col min="14097" max="14097" width="6.5" style="39" customWidth="1"/>
    <col min="14098" max="14098" width="46.59765625" style="39" customWidth="1"/>
    <col min="14099" max="14099" width="9.09765625" style="39" bestFit="1" customWidth="1"/>
    <col min="14100" max="14100" width="8.19921875" style="39" bestFit="1" customWidth="1"/>
    <col min="14101" max="14101" width="10.3984375" style="39" customWidth="1"/>
    <col min="14102" max="14102" width="0" style="39" hidden="1" customWidth="1"/>
    <col min="14103" max="14103" width="10" style="39" customWidth="1"/>
    <col min="14104" max="14104" width="6.09765625" style="39" customWidth="1"/>
    <col min="14105" max="14339" width="10" style="39" customWidth="1"/>
    <col min="14340" max="14340" width="11.19921875" style="39" customWidth="1"/>
    <col min="14341" max="14346" width="10" style="39" customWidth="1"/>
    <col min="14347" max="14347" width="2.19921875" style="39" customWidth="1"/>
    <col min="14348" max="14348" width="4.8984375" style="39" customWidth="1"/>
    <col min="14349" max="14349" width="12.59765625" style="39" customWidth="1"/>
    <col min="14350" max="14350" width="45.19921875" style="39" bestFit="1" customWidth="1"/>
    <col min="14351" max="14351" width="7.19921875" style="39" customWidth="1"/>
    <col min="14352" max="14352" width="11.09765625" style="39" customWidth="1"/>
    <col min="14353" max="14353" width="6.5" style="39" customWidth="1"/>
    <col min="14354" max="14354" width="46.59765625" style="39" customWidth="1"/>
    <col min="14355" max="14355" width="9.09765625" style="39" bestFit="1" customWidth="1"/>
    <col min="14356" max="14356" width="8.19921875" style="39" bestFit="1" customWidth="1"/>
    <col min="14357" max="14357" width="10.3984375" style="39" customWidth="1"/>
    <col min="14358" max="14358" width="0" style="39" hidden="1" customWidth="1"/>
    <col min="14359" max="14359" width="10" style="39" customWidth="1"/>
    <col min="14360" max="14360" width="6.09765625" style="39" customWidth="1"/>
    <col min="14361" max="14595" width="10" style="39" customWidth="1"/>
    <col min="14596" max="14596" width="11.19921875" style="39" customWidth="1"/>
    <col min="14597" max="14602" width="10" style="39" customWidth="1"/>
    <col min="14603" max="14603" width="2.19921875" style="39" customWidth="1"/>
    <col min="14604" max="14604" width="4.8984375" style="39" customWidth="1"/>
    <col min="14605" max="14605" width="12.59765625" style="39" customWidth="1"/>
    <col min="14606" max="14606" width="45.19921875" style="39" bestFit="1" customWidth="1"/>
    <col min="14607" max="14607" width="7.19921875" style="39" customWidth="1"/>
    <col min="14608" max="14608" width="11.09765625" style="39" customWidth="1"/>
    <col min="14609" max="14609" width="6.5" style="39" customWidth="1"/>
    <col min="14610" max="14610" width="46.59765625" style="39" customWidth="1"/>
    <col min="14611" max="14611" width="9.09765625" style="39" bestFit="1" customWidth="1"/>
    <col min="14612" max="14612" width="8.19921875" style="39" bestFit="1" customWidth="1"/>
    <col min="14613" max="14613" width="10.3984375" style="39" customWidth="1"/>
    <col min="14614" max="14614" width="0" style="39" hidden="1" customWidth="1"/>
    <col min="14615" max="14615" width="10" style="39" customWidth="1"/>
    <col min="14616" max="14616" width="6.09765625" style="39" customWidth="1"/>
    <col min="14617" max="14851" width="10" style="39" customWidth="1"/>
    <col min="14852" max="14852" width="11.19921875" style="39" customWidth="1"/>
    <col min="14853" max="14858" width="10" style="39" customWidth="1"/>
    <col min="14859" max="14859" width="2.19921875" style="39" customWidth="1"/>
    <col min="14860" max="14860" width="4.8984375" style="39" customWidth="1"/>
    <col min="14861" max="14861" width="12.59765625" style="39" customWidth="1"/>
    <col min="14862" max="14862" width="45.19921875" style="39" bestFit="1" customWidth="1"/>
    <col min="14863" max="14863" width="7.19921875" style="39" customWidth="1"/>
    <col min="14864" max="14864" width="11.09765625" style="39" customWidth="1"/>
    <col min="14865" max="14865" width="6.5" style="39" customWidth="1"/>
    <col min="14866" max="14866" width="46.59765625" style="39" customWidth="1"/>
    <col min="14867" max="14867" width="9.09765625" style="39" bestFit="1" customWidth="1"/>
    <col min="14868" max="14868" width="8.19921875" style="39" bestFit="1" customWidth="1"/>
    <col min="14869" max="14869" width="10.3984375" style="39" customWidth="1"/>
    <col min="14870" max="14870" width="0" style="39" hidden="1" customWidth="1"/>
    <col min="14871" max="14871" width="10" style="39" customWidth="1"/>
    <col min="14872" max="14872" width="6.09765625" style="39" customWidth="1"/>
    <col min="14873" max="15107" width="10" style="39" customWidth="1"/>
    <col min="15108" max="15108" width="11.19921875" style="39" customWidth="1"/>
    <col min="15109" max="15114" width="10" style="39" customWidth="1"/>
    <col min="15115" max="15115" width="2.19921875" style="39" customWidth="1"/>
    <col min="15116" max="15116" width="4.8984375" style="39" customWidth="1"/>
    <col min="15117" max="15117" width="12.59765625" style="39" customWidth="1"/>
    <col min="15118" max="15118" width="45.19921875" style="39" bestFit="1" customWidth="1"/>
    <col min="15119" max="15119" width="7.19921875" style="39" customWidth="1"/>
    <col min="15120" max="15120" width="11.09765625" style="39" customWidth="1"/>
    <col min="15121" max="15121" width="6.5" style="39" customWidth="1"/>
    <col min="15122" max="15122" width="46.59765625" style="39" customWidth="1"/>
    <col min="15123" max="15123" width="9.09765625" style="39" bestFit="1" customWidth="1"/>
    <col min="15124" max="15124" width="8.19921875" style="39" bestFit="1" customWidth="1"/>
    <col min="15125" max="15125" width="10.3984375" style="39" customWidth="1"/>
    <col min="15126" max="15126" width="0" style="39" hidden="1" customWidth="1"/>
    <col min="15127" max="15127" width="10" style="39" customWidth="1"/>
    <col min="15128" max="15128" width="6.09765625" style="39" customWidth="1"/>
    <col min="15129" max="15363" width="10" style="39" customWidth="1"/>
    <col min="15364" max="15364" width="11.19921875" style="39" customWidth="1"/>
    <col min="15365" max="15370" width="10" style="39" customWidth="1"/>
    <col min="15371" max="15371" width="2.19921875" style="39" customWidth="1"/>
    <col min="15372" max="15372" width="4.8984375" style="39" customWidth="1"/>
    <col min="15373" max="15373" width="12.59765625" style="39" customWidth="1"/>
    <col min="15374" max="15374" width="45.19921875" style="39" bestFit="1" customWidth="1"/>
    <col min="15375" max="15375" width="7.19921875" style="39" customWidth="1"/>
    <col min="15376" max="15376" width="11.09765625" style="39" customWidth="1"/>
    <col min="15377" max="15377" width="6.5" style="39" customWidth="1"/>
    <col min="15378" max="15378" width="46.59765625" style="39" customWidth="1"/>
    <col min="15379" max="15379" width="9.09765625" style="39" bestFit="1" customWidth="1"/>
    <col min="15380" max="15380" width="8.19921875" style="39" bestFit="1" customWidth="1"/>
    <col min="15381" max="15381" width="10.3984375" style="39" customWidth="1"/>
    <col min="15382" max="15382" width="0" style="39" hidden="1" customWidth="1"/>
    <col min="15383" max="15383" width="10" style="39" customWidth="1"/>
    <col min="15384" max="15384" width="6.09765625" style="39" customWidth="1"/>
    <col min="15385" max="15619" width="10" style="39" customWidth="1"/>
    <col min="15620" max="15620" width="11.19921875" style="39" customWidth="1"/>
    <col min="15621" max="15626" width="10" style="39" customWidth="1"/>
    <col min="15627" max="15627" width="2.19921875" style="39" customWidth="1"/>
    <col min="15628" max="15628" width="4.8984375" style="39" customWidth="1"/>
    <col min="15629" max="15629" width="12.59765625" style="39" customWidth="1"/>
    <col min="15630" max="15630" width="45.19921875" style="39" bestFit="1" customWidth="1"/>
    <col min="15631" max="15631" width="7.19921875" style="39" customWidth="1"/>
    <col min="15632" max="15632" width="11.09765625" style="39" customWidth="1"/>
    <col min="15633" max="15633" width="6.5" style="39" customWidth="1"/>
    <col min="15634" max="15634" width="46.59765625" style="39" customWidth="1"/>
    <col min="15635" max="15635" width="9.09765625" style="39" bestFit="1" customWidth="1"/>
    <col min="15636" max="15636" width="8.19921875" style="39" bestFit="1" customWidth="1"/>
    <col min="15637" max="15637" width="10.3984375" style="39" customWidth="1"/>
    <col min="15638" max="15638" width="0" style="39" hidden="1" customWidth="1"/>
    <col min="15639" max="15639" width="10" style="39" customWidth="1"/>
    <col min="15640" max="15640" width="6.09765625" style="39" customWidth="1"/>
    <col min="15641" max="15875" width="10" style="39" customWidth="1"/>
    <col min="15876" max="15876" width="11.19921875" style="39" customWidth="1"/>
    <col min="15877" max="15882" width="10" style="39" customWidth="1"/>
    <col min="15883" max="15883" width="2.19921875" style="39" customWidth="1"/>
    <col min="15884" max="15884" width="4.8984375" style="39" customWidth="1"/>
    <col min="15885" max="15885" width="12.59765625" style="39" customWidth="1"/>
    <col min="15886" max="15886" width="45.19921875" style="39" bestFit="1" customWidth="1"/>
    <col min="15887" max="15887" width="7.19921875" style="39" customWidth="1"/>
    <col min="15888" max="15888" width="11.09765625" style="39" customWidth="1"/>
    <col min="15889" max="15889" width="6.5" style="39" customWidth="1"/>
    <col min="15890" max="15890" width="46.59765625" style="39" customWidth="1"/>
    <col min="15891" max="15891" width="9.09765625" style="39" bestFit="1" customWidth="1"/>
    <col min="15892" max="15892" width="8.19921875" style="39" bestFit="1" customWidth="1"/>
    <col min="15893" max="15893" width="10.3984375" style="39" customWidth="1"/>
    <col min="15894" max="15894" width="0" style="39" hidden="1" customWidth="1"/>
    <col min="15895" max="15895" width="10" style="39" customWidth="1"/>
    <col min="15896" max="15896" width="6.09765625" style="39" customWidth="1"/>
    <col min="15897" max="16131" width="10" style="39" customWidth="1"/>
    <col min="16132" max="16132" width="11.19921875" style="39" customWidth="1"/>
    <col min="16133" max="16138" width="10" style="39" customWidth="1"/>
    <col min="16139" max="16139" width="2.19921875" style="39" customWidth="1"/>
    <col min="16140" max="16140" width="4.8984375" style="39" customWidth="1"/>
    <col min="16141" max="16141" width="12.59765625" style="39" customWidth="1"/>
    <col min="16142" max="16142" width="45.19921875" style="39" bestFit="1" customWidth="1"/>
    <col min="16143" max="16143" width="7.19921875" style="39" customWidth="1"/>
    <col min="16144" max="16144" width="11.09765625" style="39" customWidth="1"/>
    <col min="16145" max="16145" width="6.5" style="39" customWidth="1"/>
    <col min="16146" max="16146" width="46.59765625" style="39" customWidth="1"/>
    <col min="16147" max="16147" width="9.09765625" style="39" bestFit="1" customWidth="1"/>
    <col min="16148" max="16148" width="8.19921875" style="39" bestFit="1" customWidth="1"/>
    <col min="16149" max="16149" width="10.3984375" style="39" customWidth="1"/>
    <col min="16150" max="16150" width="0" style="39" hidden="1" customWidth="1"/>
    <col min="16151" max="16151" width="10" style="39" customWidth="1"/>
    <col min="16152" max="16152" width="6.09765625" style="39" customWidth="1"/>
    <col min="16153" max="16384" width="10" style="39" customWidth="1"/>
  </cols>
  <sheetData>
    <row r="1" spans="1:24">
      <c r="B1" s="344"/>
      <c r="C1" s="345"/>
      <c r="D1" s="345"/>
      <c r="E1" s="345"/>
    </row>
    <row r="2" spans="1:24">
      <c r="B2" s="344"/>
      <c r="C2" s="345"/>
      <c r="D2" s="345"/>
      <c r="E2" s="345"/>
    </row>
    <row r="3" spans="1:24" ht="25.8">
      <c r="B3" s="81"/>
      <c r="C3" s="345"/>
      <c r="D3" s="345"/>
      <c r="M3" s="392"/>
      <c r="N3" s="392"/>
      <c r="O3" s="392"/>
      <c r="P3" s="392"/>
      <c r="Q3" s="392"/>
      <c r="R3" s="393" t="s">
        <v>848</v>
      </c>
    </row>
    <row r="4" spans="1:24" ht="13.8">
      <c r="B4" s="344"/>
      <c r="C4" s="345"/>
      <c r="D4" s="345"/>
      <c r="E4" s="345"/>
      <c r="M4" s="392"/>
      <c r="N4" s="392"/>
      <c r="O4" s="392"/>
      <c r="P4" s="392"/>
      <c r="Q4" s="392"/>
      <c r="R4" s="392"/>
    </row>
    <row r="5" spans="1:24" ht="18">
      <c r="A5" s="394" t="s">
        <v>783</v>
      </c>
      <c r="B5" s="344"/>
      <c r="C5" s="345"/>
      <c r="D5" s="345"/>
      <c r="E5" s="345"/>
      <c r="M5" s="392"/>
      <c r="N5" s="392"/>
      <c r="O5" s="392"/>
      <c r="P5" s="392"/>
      <c r="Q5" s="392"/>
      <c r="R5" s="395" t="s">
        <v>374</v>
      </c>
    </row>
    <row r="6" spans="1:24" ht="13.8">
      <c r="B6" s="344"/>
      <c r="C6" s="345"/>
      <c r="D6" s="345"/>
      <c r="E6" s="345"/>
      <c r="M6" s="392"/>
      <c r="N6" s="392"/>
      <c r="O6" s="392"/>
      <c r="P6" s="392"/>
      <c r="Q6" s="392"/>
      <c r="R6" s="392"/>
    </row>
    <row r="7" spans="1:24" ht="18">
      <c r="A7" s="398" t="s">
        <v>852</v>
      </c>
      <c r="B7" s="399"/>
      <c r="C7" s="400"/>
      <c r="D7" s="400"/>
      <c r="E7" s="400"/>
      <c r="F7" s="401"/>
      <c r="G7" s="398" t="s">
        <v>853</v>
      </c>
      <c r="H7" s="401"/>
      <c r="I7" s="401"/>
      <c r="J7" s="401"/>
      <c r="K7" s="401"/>
      <c r="L7" s="401"/>
      <c r="M7" s="402"/>
      <c r="N7" s="398" t="s">
        <v>854</v>
      </c>
      <c r="O7" s="402"/>
      <c r="P7" s="402"/>
      <c r="Q7" s="392"/>
      <c r="R7" s="392"/>
    </row>
    <row r="8" spans="1:24" ht="18">
      <c r="A8" s="398" t="s">
        <v>855</v>
      </c>
      <c r="B8" s="403"/>
      <c r="C8" s="404"/>
      <c r="D8" s="404"/>
      <c r="E8" s="405"/>
      <c r="F8" s="406"/>
      <c r="G8" s="398" t="s">
        <v>856</v>
      </c>
      <c r="H8" s="406"/>
      <c r="I8" s="406"/>
      <c r="J8" s="406"/>
      <c r="K8" s="401"/>
      <c r="L8" s="401"/>
      <c r="M8" s="402"/>
      <c r="N8" s="398" t="s">
        <v>857</v>
      </c>
      <c r="O8" s="402"/>
      <c r="P8" s="402"/>
      <c r="Q8" s="392"/>
      <c r="R8" s="392"/>
    </row>
    <row r="9" spans="1:24" ht="37.5" customHeight="1">
      <c r="A9" s="407" t="s">
        <v>858</v>
      </c>
      <c r="M9" s="392"/>
      <c r="N9" s="392"/>
      <c r="O9" s="392"/>
      <c r="P9" s="392"/>
      <c r="Q9" s="392"/>
      <c r="R9" s="392"/>
    </row>
    <row r="10" spans="1:24" ht="15.6" outlineLevel="1">
      <c r="A10" s="349"/>
      <c r="B10" s="350"/>
      <c r="C10" s="350"/>
      <c r="D10" s="350"/>
      <c r="E10" s="350"/>
      <c r="F10" s="350"/>
      <c r="G10" s="350"/>
      <c r="H10" s="350"/>
      <c r="I10" s="350"/>
      <c r="J10" s="350"/>
      <c r="K10" s="350"/>
      <c r="L10" s="351"/>
      <c r="M10" s="408"/>
      <c r="N10" s="409"/>
      <c r="O10" s="409"/>
      <c r="P10" s="409"/>
      <c r="Q10" s="409"/>
      <c r="R10" s="410"/>
    </row>
    <row r="11" spans="1:24" ht="18" outlineLevel="1">
      <c r="A11" s="411"/>
      <c r="B11" s="79"/>
      <c r="C11" s="79"/>
      <c r="D11" s="79"/>
      <c r="E11" s="79"/>
      <c r="F11" s="79"/>
      <c r="G11" s="79"/>
      <c r="H11" s="79"/>
      <c r="I11" s="79"/>
      <c r="J11" s="79"/>
      <c r="K11" s="79"/>
      <c r="L11" s="354"/>
      <c r="M11" s="412"/>
      <c r="N11" s="413" t="s">
        <v>859</v>
      </c>
      <c r="O11" s="413"/>
      <c r="P11" s="413"/>
      <c r="Q11" s="413"/>
      <c r="R11" s="414"/>
      <c r="S11" s="40"/>
      <c r="T11" s="40"/>
      <c r="U11" s="40"/>
    </row>
    <row r="12" spans="1:24" ht="18" outlineLevel="1">
      <c r="A12" s="411"/>
      <c r="B12" s="79"/>
      <c r="C12" s="79"/>
      <c r="D12" s="79"/>
      <c r="E12" s="79"/>
      <c r="F12" s="79"/>
      <c r="G12" s="79"/>
      <c r="H12" s="79"/>
      <c r="I12" s="79"/>
      <c r="J12" s="79"/>
      <c r="K12" s="79"/>
      <c r="L12" s="354"/>
      <c r="M12" s="412"/>
      <c r="N12" s="413"/>
      <c r="O12" s="413"/>
      <c r="P12" s="413"/>
      <c r="Q12" s="413"/>
      <c r="R12" s="414"/>
      <c r="S12" s="42"/>
      <c r="T12" s="42"/>
      <c r="U12" s="40"/>
    </row>
    <row r="13" spans="1:24" ht="18" outlineLevel="1">
      <c r="A13" s="353"/>
      <c r="B13" s="79"/>
      <c r="C13" s="79"/>
      <c r="D13" s="79"/>
      <c r="E13" s="79"/>
      <c r="F13" s="79"/>
      <c r="G13" s="79"/>
      <c r="H13" s="79"/>
      <c r="I13" s="79"/>
      <c r="J13" s="79"/>
      <c r="K13" s="79"/>
      <c r="L13" s="354"/>
      <c r="M13" s="415" t="str">
        <f>Translation!M8</f>
        <v>• Input</v>
      </c>
      <c r="N13" s="416" t="str">
        <f>Translation!N8</f>
        <v>• Safety temperature limiter</v>
      </c>
      <c r="O13" s="417" t="s">
        <v>286</v>
      </c>
      <c r="P13" s="418">
        <v>100</v>
      </c>
      <c r="Q13" s="416" t="s">
        <v>49</v>
      </c>
      <c r="R13" s="419" t="str">
        <f>Translation!R8</f>
        <v>calculation only for TAZ&lt;= 150°C !!!</v>
      </c>
      <c r="S13" s="48"/>
      <c r="T13" s="48"/>
      <c r="U13" s="48"/>
      <c r="V13" s="49"/>
      <c r="W13" s="49"/>
      <c r="X13" s="49"/>
    </row>
    <row r="14" spans="1:24" ht="18" outlineLevel="1">
      <c r="A14" s="353"/>
      <c r="B14" s="79"/>
      <c r="C14" s="79"/>
      <c r="D14" s="79"/>
      <c r="E14" s="79"/>
      <c r="F14" s="79"/>
      <c r="G14" s="79"/>
      <c r="H14" s="79"/>
      <c r="I14" s="79"/>
      <c r="J14" s="79"/>
      <c r="K14" s="79"/>
      <c r="L14" s="354"/>
      <c r="M14" s="420"/>
      <c r="N14" s="416" t="str">
        <f>Translation!N9</f>
        <v>• Maximum system temperature</v>
      </c>
      <c r="O14" s="417" t="s">
        <v>289</v>
      </c>
      <c r="P14" s="418">
        <f>'T Auswahl'!P12</f>
        <v>40</v>
      </c>
      <c r="Q14" s="416" t="s">
        <v>49</v>
      </c>
      <c r="R14" s="414"/>
      <c r="S14" s="51"/>
      <c r="T14" s="51"/>
      <c r="U14" s="40"/>
    </row>
    <row r="15" spans="1:24" ht="18" outlineLevel="1">
      <c r="A15" s="353"/>
      <c r="B15" s="79"/>
      <c r="C15" s="79"/>
      <c r="D15" s="79"/>
      <c r="E15" s="79"/>
      <c r="F15" s="79"/>
      <c r="G15" s="79"/>
      <c r="H15" s="79"/>
      <c r="I15" s="355"/>
      <c r="J15" s="79"/>
      <c r="K15" s="79"/>
      <c r="L15" s="354"/>
      <c r="M15" s="412"/>
      <c r="N15" s="421" t="str">
        <f>Translation!N10</f>
        <v>• Power of heat generator</v>
      </c>
      <c r="O15" s="422" t="s">
        <v>291</v>
      </c>
      <c r="P15" s="418">
        <f>'T Auswahl'!P13</f>
        <v>4530</v>
      </c>
      <c r="Q15" s="421" t="s">
        <v>212</v>
      </c>
      <c r="R15" s="414"/>
      <c r="S15" s="42"/>
      <c r="T15" s="55"/>
      <c r="U15" s="40"/>
    </row>
    <row r="16" spans="1:24" ht="18" outlineLevel="1">
      <c r="A16" s="353"/>
      <c r="B16" s="79"/>
      <c r="C16" s="79"/>
      <c r="D16" s="79"/>
      <c r="E16" s="79"/>
      <c r="F16" s="79"/>
      <c r="G16" s="79"/>
      <c r="H16" s="79"/>
      <c r="I16" s="355"/>
      <c r="J16" s="79"/>
      <c r="K16" s="79"/>
      <c r="L16" s="354"/>
      <c r="M16" s="412"/>
      <c r="N16" s="421" t="str">
        <f>Translation!N11</f>
        <v>• Static head</v>
      </c>
      <c r="O16" s="423" t="s">
        <v>860</v>
      </c>
      <c r="P16" s="418">
        <f>'T Auswahl'!P14</f>
        <v>26</v>
      </c>
      <c r="Q16" s="421" t="s">
        <v>7</v>
      </c>
      <c r="R16" s="414"/>
      <c r="S16" s="42"/>
      <c r="T16" s="55"/>
      <c r="U16" s="40"/>
    </row>
    <row r="17" spans="1:24" ht="18" outlineLevel="1">
      <c r="A17" s="353"/>
      <c r="B17" s="79"/>
      <c r="C17" s="79"/>
      <c r="D17" s="79"/>
      <c r="E17" s="79"/>
      <c r="F17" s="79"/>
      <c r="G17" s="79"/>
      <c r="H17" s="79"/>
      <c r="I17" s="355"/>
      <c r="J17" s="79"/>
      <c r="K17" s="79"/>
      <c r="L17" s="354"/>
      <c r="M17" s="412"/>
      <c r="N17" s="421" t="str">
        <f>Translation!N12</f>
        <v>• Addition of antifreeze</v>
      </c>
      <c r="O17" s="422" t="s">
        <v>295</v>
      </c>
      <c r="P17" s="424">
        <f>'T Auswahl'!P15</f>
        <v>0</v>
      </c>
      <c r="Q17" s="421" t="s">
        <v>5</v>
      </c>
      <c r="R17" s="414"/>
      <c r="S17" s="42"/>
      <c r="T17" s="55"/>
      <c r="U17" s="40"/>
    </row>
    <row r="18" spans="1:24" ht="18" outlineLevel="1">
      <c r="A18" s="353"/>
      <c r="B18" s="79"/>
      <c r="C18" s="79"/>
      <c r="D18" s="79"/>
      <c r="E18" s="79"/>
      <c r="F18" s="79"/>
      <c r="G18" s="79"/>
      <c r="H18" s="79"/>
      <c r="I18" s="355"/>
      <c r="J18" s="79"/>
      <c r="K18" s="79"/>
      <c r="L18" s="354"/>
      <c r="M18" s="412"/>
      <c r="N18" s="425"/>
      <c r="O18" s="425"/>
      <c r="P18" s="426"/>
      <c r="Q18" s="425"/>
      <c r="R18" s="414"/>
      <c r="S18" s="42"/>
      <c r="T18" s="55"/>
      <c r="U18" s="40"/>
    </row>
    <row r="19" spans="1:24" ht="18" outlineLevel="1">
      <c r="A19" s="353"/>
      <c r="B19" s="79"/>
      <c r="C19" s="79"/>
      <c r="D19" s="79"/>
      <c r="E19" s="79"/>
      <c r="F19" s="79"/>
      <c r="G19" s="79"/>
      <c r="H19" s="79"/>
      <c r="I19" s="355"/>
      <c r="J19" s="79"/>
      <c r="K19" s="79"/>
      <c r="L19" s="354"/>
      <c r="M19" s="415" t="str">
        <f>Translation!M14</f>
        <v>• Output</v>
      </c>
      <c r="N19" s="416" t="str">
        <f>Translation!N14</f>
        <v>• Evaporation pressure</v>
      </c>
      <c r="O19" s="416" t="s">
        <v>785</v>
      </c>
      <c r="P19" s="427">
        <f>IF(P13&lt;100,0,IF((Data!$B$243*POWER('Selection pman-p0-qN'!$P$17,2)+Data!$C$243*'Selection pman-p0-qN'!$P$17+Data!D243)*POWER('Selection pman-p0-qN'!$P$13,2)+(Data!$E$243*POWER('Selection pman-p0-qN'!$P$17,2)+Data!$F$243*'Selection pman-p0-qN'!$P$17+Data!$G$243)*'Selection pman-p0-qN'!$P$13+(Data!$H$243*POWER('Selection pman-p0-qN'!$P$17,2)+Data!$I$243*'Selection pman-p0-qN'!$P$17+Data!$J$243)-1&lt;0,0,(Data!$B$243*POWER('Selection pman-p0-qN'!$P$17,2)+Data!$C$243*'Selection pman-p0-qN'!$P$17+Data!D243)*POWER('Selection pman-p0-qN'!$P$13,2)+(Data!$E$243*POWER('Selection pman-p0-qN'!$P$17,2)+Data!$F$243*'Selection pman-p0-qN'!$P$17+Data!$G$243)*'Selection pman-p0-qN'!$P$13+(Data!$H$243*POWER('Selection pman-p0-qN'!$P$17,2)+Data!$I$243*'Selection pman-p0-qN'!$P$17+Data!$J$243)-1))</f>
        <v>2.8400000000000425E-2</v>
      </c>
      <c r="Q19" s="416" t="s">
        <v>3</v>
      </c>
      <c r="R19" s="414"/>
      <c r="S19" s="40"/>
      <c r="T19" s="40"/>
      <c r="U19" s="40"/>
    </row>
    <row r="20" spans="1:24" ht="18" outlineLevel="1">
      <c r="A20" s="353"/>
      <c r="B20" s="79"/>
      <c r="C20" s="79"/>
      <c r="D20" s="79"/>
      <c r="E20" s="79"/>
      <c r="F20" s="79"/>
      <c r="G20" s="79"/>
      <c r="H20" s="79"/>
      <c r="I20" s="355"/>
      <c r="J20" s="79"/>
      <c r="K20" s="79"/>
      <c r="L20" s="354"/>
      <c r="M20" s="420"/>
      <c r="N20" s="421" t="str">
        <f>Translation!N15</f>
        <v>• Minimal pressure, BrainCube calculation</v>
      </c>
      <c r="O20" s="421" t="s">
        <v>127</v>
      </c>
      <c r="P20" s="428">
        <f>P16/10+0.3+P19</f>
        <v>2.9284000000000003</v>
      </c>
      <c r="Q20" s="421" t="s">
        <v>3</v>
      </c>
      <c r="R20" s="429" t="str">
        <f>Translation!R15</f>
        <v>BrainCube calculation, display in Info-Menu</v>
      </c>
      <c r="S20" s="48"/>
      <c r="T20" s="48"/>
      <c r="U20" s="48"/>
      <c r="V20" s="49"/>
      <c r="W20" s="49"/>
      <c r="X20" s="49"/>
    </row>
    <row r="21" spans="1:24" ht="18" outlineLevel="1">
      <c r="A21" s="353"/>
      <c r="B21" s="79"/>
      <c r="C21" s="79"/>
      <c r="D21" s="79"/>
      <c r="E21" s="79"/>
      <c r="F21" s="79"/>
      <c r="G21" s="79"/>
      <c r="H21" s="79"/>
      <c r="I21" s="355"/>
      <c r="J21" s="79"/>
      <c r="K21" s="79"/>
      <c r="L21" s="354"/>
      <c r="M21" s="412"/>
      <c r="N21" s="421" t="str">
        <f>Translation!N16</f>
        <v>• Preset pressure, pump on</v>
      </c>
      <c r="O21" s="421" t="s">
        <v>157</v>
      </c>
      <c r="P21" s="430">
        <f>P22-0.2</f>
        <v>3.2284000000000002</v>
      </c>
      <c r="Q21" s="421" t="s">
        <v>3</v>
      </c>
      <c r="R21" s="431" t="str">
        <f>Translation!R16</f>
        <v>BrainCube calculation</v>
      </c>
      <c r="S21" s="65"/>
      <c r="T21" s="58"/>
      <c r="U21" s="58"/>
      <c r="V21" s="66"/>
      <c r="W21" s="66"/>
      <c r="X21" s="116"/>
    </row>
    <row r="22" spans="1:24" ht="18" outlineLevel="1">
      <c r="A22" s="353"/>
      <c r="B22" s="79"/>
      <c r="C22" s="79"/>
      <c r="D22" s="79"/>
      <c r="E22" s="79"/>
      <c r="F22" s="79"/>
      <c r="G22" s="79"/>
      <c r="H22" s="79"/>
      <c r="I22" s="355"/>
      <c r="J22" s="79"/>
      <c r="K22" s="79"/>
      <c r="L22" s="354"/>
      <c r="M22" s="412"/>
      <c r="N22" s="421" t="str">
        <f>Translation!N17</f>
        <v>• Pump off, relief valve closed</v>
      </c>
      <c r="O22" s="432" t="s">
        <v>786</v>
      </c>
      <c r="P22" s="433">
        <f>P20+0.5</f>
        <v>3.4284000000000003</v>
      </c>
      <c r="Q22" s="421" t="s">
        <v>3</v>
      </c>
      <c r="R22" s="431"/>
      <c r="S22" s="52"/>
      <c r="T22" s="58"/>
      <c r="U22" s="58"/>
      <c r="V22" s="70"/>
      <c r="W22" s="70"/>
      <c r="X22" s="116"/>
    </row>
    <row r="23" spans="1:24" ht="18" outlineLevel="1">
      <c r="A23" s="353"/>
      <c r="B23" s="79"/>
      <c r="C23" s="79"/>
      <c r="D23" s="79"/>
      <c r="E23" s="79"/>
      <c r="F23" s="79"/>
      <c r="G23" s="79"/>
      <c r="H23" s="79"/>
      <c r="I23" s="355"/>
      <c r="J23" s="79"/>
      <c r="K23" s="79"/>
      <c r="L23" s="354"/>
      <c r="M23" s="412"/>
      <c r="N23" s="421" t="str">
        <f>Translation!N18</f>
        <v>• End pressure, relief valve open</v>
      </c>
      <c r="O23" s="434" t="s">
        <v>307</v>
      </c>
      <c r="P23" s="435">
        <f>P22+0.2</f>
        <v>3.6284000000000005</v>
      </c>
      <c r="Q23" s="434"/>
      <c r="R23" s="431" t="str">
        <f>Translation!R18</f>
        <v>BrainCube calculation</v>
      </c>
      <c r="S23" s="58"/>
      <c r="T23" s="58"/>
      <c r="U23" s="58"/>
      <c r="V23" s="66"/>
      <c r="W23" s="66"/>
      <c r="X23" s="116"/>
    </row>
    <row r="24" spans="1:24" ht="20.399999999999999" outlineLevel="1">
      <c r="A24" s="353"/>
      <c r="B24" s="79"/>
      <c r="C24" s="79"/>
      <c r="D24" s="79"/>
      <c r="E24" s="79"/>
      <c r="F24" s="79"/>
      <c r="G24" s="79"/>
      <c r="H24" s="79"/>
      <c r="I24" s="355"/>
      <c r="J24" s="79"/>
      <c r="K24" s="79"/>
      <c r="L24" s="354"/>
      <c r="M24" s="412"/>
      <c r="N24" s="421" t="str">
        <f>Translation!N19</f>
        <v>• Specific flowrate of equalization volume</v>
      </c>
      <c r="O24" s="421" t="s">
        <v>861</v>
      </c>
      <c r="P24" s="436">
        <f>IF(0.0058*P14+ 0.094&lt;0.384,0.384,0.0058*P14+ 0.094)</f>
        <v>0.38400000000000001</v>
      </c>
      <c r="Q24" s="421" t="s">
        <v>310</v>
      </c>
      <c r="R24" s="414"/>
      <c r="S24" s="42"/>
      <c r="T24" s="42"/>
      <c r="U24" s="42"/>
      <c r="V24" s="79"/>
    </row>
    <row r="25" spans="1:24" ht="18" outlineLevel="1">
      <c r="A25" s="353"/>
      <c r="B25" s="79"/>
      <c r="C25" s="79"/>
      <c r="D25" s="79"/>
      <c r="E25" s="79"/>
      <c r="F25" s="79"/>
      <c r="G25" s="79"/>
      <c r="H25" s="79"/>
      <c r="I25" s="355"/>
      <c r="J25" s="79"/>
      <c r="K25" s="79"/>
      <c r="L25" s="354"/>
      <c r="M25" s="437"/>
      <c r="N25" s="421" t="str">
        <f>Translation!N20</f>
        <v>• Necessary flowrate of equalization volume</v>
      </c>
      <c r="O25" s="432" t="s">
        <v>787</v>
      </c>
      <c r="P25" s="438">
        <f>P24*P15</f>
        <v>1739.52</v>
      </c>
      <c r="Q25" s="421" t="s">
        <v>313</v>
      </c>
      <c r="R25" s="439"/>
      <c r="S25" s="59"/>
      <c r="T25" s="59"/>
      <c r="U25" s="59"/>
      <c r="V25" s="79"/>
    </row>
    <row r="26" spans="1:24" ht="17.399999999999999">
      <c r="A26" s="360"/>
      <c r="B26" s="361"/>
      <c r="C26" s="361"/>
      <c r="D26" s="361"/>
      <c r="E26" s="361"/>
      <c r="F26" s="361"/>
      <c r="G26" s="361"/>
      <c r="H26" s="361"/>
      <c r="I26" s="361"/>
      <c r="J26" s="361"/>
      <c r="K26" s="361"/>
      <c r="L26" s="362"/>
      <c r="M26" s="363"/>
      <c r="N26" s="364"/>
      <c r="O26" s="364"/>
      <c r="P26" s="365"/>
      <c r="Q26" s="364"/>
      <c r="R26" s="366"/>
      <c r="S26" s="59"/>
      <c r="T26" s="59"/>
      <c r="U26" s="59"/>
      <c r="V26" s="79"/>
    </row>
    <row r="28" spans="1:24" ht="25.8">
      <c r="A28" s="407" t="s">
        <v>862</v>
      </c>
    </row>
    <row r="29" spans="1:24" outlineLevel="1"/>
    <row r="30" spans="1:24" outlineLevel="1"/>
    <row r="31" spans="1:24" outlineLevel="1"/>
    <row r="32" spans="1:24" outlineLevel="1"/>
    <row r="33" outlineLevel="1"/>
    <row r="34" outlineLevel="1"/>
    <row r="35" outlineLevel="1"/>
    <row r="36" outlineLevel="1"/>
    <row r="37" outlineLevel="1"/>
    <row r="38" outlineLevel="1"/>
    <row r="39" outlineLevel="1"/>
    <row r="40" outlineLevel="1"/>
    <row r="41" outlineLevel="1"/>
    <row r="42" outlineLevel="1"/>
    <row r="43" outlineLevel="1"/>
    <row r="44" outlineLevel="1"/>
    <row r="45" outlineLevel="1"/>
    <row r="46" outlineLevel="1"/>
    <row r="47" outlineLevel="1"/>
    <row r="48" outlineLevel="1"/>
    <row r="49" outlineLevel="1"/>
    <row r="50" outlineLevel="1"/>
    <row r="51" outlineLevel="1"/>
    <row r="52" outlineLevel="1"/>
    <row r="53" outlineLevel="1"/>
    <row r="54" outlineLevel="1"/>
    <row r="55" outlineLevel="1"/>
    <row r="56" outlineLevel="1"/>
    <row r="57" outlineLevel="1"/>
    <row r="58" outlineLevel="1"/>
    <row r="59" outlineLevel="1"/>
    <row r="60" outlineLevel="1"/>
    <row r="61" outlineLevel="1"/>
    <row r="62" outlineLevel="1"/>
    <row r="63" outlineLevel="1"/>
    <row r="64" outlineLevel="1"/>
    <row r="65" outlineLevel="1"/>
    <row r="66" outlineLevel="1"/>
    <row r="67" outlineLevel="1"/>
    <row r="68" outlineLevel="1"/>
    <row r="69" outlineLevel="1"/>
    <row r="70" outlineLevel="1"/>
    <row r="71" outlineLevel="1"/>
    <row r="72" outlineLevel="1"/>
    <row r="73" outlineLevel="1"/>
    <row r="74" outlineLevel="1"/>
    <row r="75" outlineLevel="1"/>
    <row r="76" outlineLevel="1"/>
    <row r="77" outlineLevel="1"/>
    <row r="78" outlineLevel="1"/>
    <row r="79" outlineLevel="1"/>
    <row r="81" spans="1:1" ht="25.8">
      <c r="A81" s="407" t="s">
        <v>863</v>
      </c>
    </row>
    <row r="82" spans="1:1" outlineLevel="1"/>
    <row r="83" spans="1:1" outlineLevel="1"/>
    <row r="84" spans="1:1" outlineLevel="1"/>
    <row r="85" spans="1:1" outlineLevel="1"/>
    <row r="86" spans="1:1" outlineLevel="1"/>
    <row r="87" spans="1:1" outlineLevel="1"/>
    <row r="88" spans="1:1" outlineLevel="1"/>
    <row r="89" spans="1:1" outlineLevel="1"/>
    <row r="90" spans="1:1" outlineLevel="1"/>
    <row r="91" spans="1:1" outlineLevel="1"/>
    <row r="92" spans="1:1" outlineLevel="1"/>
    <row r="93" spans="1:1" outlineLevel="1"/>
    <row r="94" spans="1:1" outlineLevel="1"/>
    <row r="95" spans="1:1" outlineLevel="1"/>
    <row r="96" spans="1:1" outlineLevel="1"/>
    <row r="97" outlineLevel="1"/>
    <row r="98" outlineLevel="1"/>
    <row r="99" outlineLevel="1"/>
    <row r="100" outlineLevel="1"/>
    <row r="101" outlineLevel="1"/>
    <row r="102" outlineLevel="1"/>
    <row r="103" outlineLevel="1"/>
    <row r="104" outlineLevel="1"/>
    <row r="105" outlineLevel="1"/>
    <row r="106" outlineLevel="1"/>
    <row r="107" outlineLevel="1"/>
    <row r="108" outlineLevel="1"/>
    <row r="109" outlineLevel="1"/>
    <row r="110" outlineLevel="1"/>
    <row r="111" outlineLevel="1"/>
    <row r="112" outlineLevel="1"/>
    <row r="113" outlineLevel="1"/>
    <row r="114" outlineLevel="1"/>
    <row r="115" outlineLevel="1"/>
    <row r="116" outlineLevel="1"/>
    <row r="117" outlineLevel="1"/>
    <row r="118" outlineLevel="1"/>
    <row r="119" outlineLevel="1"/>
    <row r="120" outlineLevel="1"/>
    <row r="121" outlineLevel="1"/>
    <row r="122" outlineLevel="1"/>
    <row r="123" outlineLevel="1"/>
    <row r="124" outlineLevel="1"/>
    <row r="125" outlineLevel="1"/>
    <row r="126" outlineLevel="1"/>
    <row r="127" outlineLevel="1"/>
    <row r="128" outlineLevel="1"/>
    <row r="129" spans="1:1" outlineLevel="1"/>
    <row r="130" spans="1:1" outlineLevel="1"/>
    <row r="131" spans="1:1" outlineLevel="1"/>
    <row r="132" spans="1:1" outlineLevel="1"/>
    <row r="133" spans="1:1" outlineLevel="1"/>
    <row r="135" spans="1:1" ht="25.8">
      <c r="A135" s="407" t="s">
        <v>864</v>
      </c>
    </row>
    <row r="136" spans="1:1" outlineLevel="1"/>
    <row r="137" spans="1:1" outlineLevel="1"/>
    <row r="138" spans="1:1" outlineLevel="1"/>
    <row r="139" spans="1:1" outlineLevel="1"/>
    <row r="140" spans="1:1" outlineLevel="1"/>
    <row r="141" spans="1:1" outlineLevel="1"/>
    <row r="142" spans="1:1" outlineLevel="1"/>
    <row r="143" spans="1:1" outlineLevel="1"/>
    <row r="144" spans="1:1" outlineLevel="1"/>
    <row r="145" outlineLevel="1"/>
    <row r="146" outlineLevel="1"/>
    <row r="147" outlineLevel="1"/>
    <row r="148" outlineLevel="1"/>
    <row r="149" outlineLevel="1"/>
    <row r="150" outlineLevel="1"/>
    <row r="151" outlineLevel="1"/>
    <row r="152" outlineLevel="1"/>
    <row r="153" outlineLevel="1"/>
    <row r="154" outlineLevel="1"/>
    <row r="155" outlineLevel="1"/>
    <row r="156" outlineLevel="1"/>
    <row r="157" outlineLevel="1"/>
    <row r="158" outlineLevel="1"/>
    <row r="159" outlineLevel="1"/>
    <row r="160" outlineLevel="1"/>
    <row r="161" outlineLevel="1"/>
    <row r="162" outlineLevel="1"/>
    <row r="163" outlineLevel="1"/>
    <row r="164" outlineLevel="1"/>
    <row r="165" outlineLevel="1"/>
    <row r="166" outlineLevel="1"/>
    <row r="167" outlineLevel="1"/>
    <row r="168" outlineLevel="1"/>
    <row r="169" outlineLevel="1"/>
    <row r="170" outlineLevel="1"/>
    <row r="171" outlineLevel="1"/>
    <row r="172" outlineLevel="1"/>
    <row r="173" outlineLevel="1"/>
    <row r="174" outlineLevel="1"/>
    <row r="175" outlineLevel="1"/>
    <row r="176" outlineLevel="1"/>
    <row r="177" spans="1:1" outlineLevel="1"/>
    <row r="178" spans="1:1" outlineLevel="1"/>
    <row r="179" spans="1:1" outlineLevel="1"/>
    <row r="180" spans="1:1" outlineLevel="1"/>
    <row r="181" spans="1:1" outlineLevel="1"/>
    <row r="182" spans="1:1" outlineLevel="1"/>
    <row r="183" spans="1:1" outlineLevel="1"/>
    <row r="184" spans="1:1" outlineLevel="1"/>
    <row r="185" spans="1:1" outlineLevel="1"/>
    <row r="186" spans="1:1" outlineLevel="1"/>
    <row r="188" spans="1:1" ht="25.8">
      <c r="A188" s="407" t="s">
        <v>865</v>
      </c>
    </row>
    <row r="189" spans="1:1" outlineLevel="1"/>
    <row r="190" spans="1:1" outlineLevel="1"/>
    <row r="191" spans="1:1" outlineLevel="1"/>
    <row r="192" spans="1:1" outlineLevel="1"/>
    <row r="193" outlineLevel="1"/>
    <row r="194" outlineLevel="1"/>
    <row r="195" outlineLevel="1"/>
    <row r="196" outlineLevel="1"/>
    <row r="197" outlineLevel="1"/>
    <row r="198" outlineLevel="1"/>
    <row r="199" outlineLevel="1"/>
    <row r="200" outlineLevel="1"/>
    <row r="201" outlineLevel="1"/>
    <row r="202" outlineLevel="1"/>
    <row r="203" outlineLevel="1"/>
    <row r="204" outlineLevel="1"/>
    <row r="205" outlineLevel="1"/>
    <row r="206" outlineLevel="1"/>
    <row r="207" outlineLevel="1"/>
    <row r="208" outlineLevel="1"/>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row r="240" outlineLevel="1"/>
    <row r="241" outlineLevel="1"/>
    <row r="242" outlineLevel="1"/>
    <row r="243" outlineLevel="1"/>
    <row r="244" outlineLevel="1"/>
  </sheetData>
  <pageMargins left="0.59055118110236227" right="0.59055118110236227" top="0.39370078740157483" bottom="0.19685039370078741" header="0.51181102362204722" footer="0"/>
  <pageSetup paperSize="9" scale="45" orientation="landscape" r:id="rId1"/>
  <headerFooter alignWithMargins="0">
    <oddFooter>&amp;F</oddFooter>
  </headerFooter>
  <rowBreaks count="6" manualBreakCount="6">
    <brk id="79" max="17" man="1"/>
    <brk id="133" max="17" man="1"/>
    <brk id="186" max="17" man="1"/>
    <brk id="244" max="17" man="1"/>
    <brk id="300" max="17" man="1"/>
    <brk id="359"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1" r:id="rId4" name="Drop Down 1">
              <controlPr locked="0" defaultSize="0" autoLine="0" autoPict="0">
                <anchor moveWithCells="1">
                  <from>
                    <xdr:col>14</xdr:col>
                    <xdr:colOff>0</xdr:colOff>
                    <xdr:row>10</xdr:row>
                    <xdr:rowOff>0</xdr:rowOff>
                  </from>
                  <to>
                    <xdr:col>15</xdr:col>
                    <xdr:colOff>838200</xdr:colOff>
                    <xdr:row>11</xdr:row>
                    <xdr:rowOff>7620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outlinePr summaryBelow="0" summaryRight="0"/>
  </sheetPr>
  <dimension ref="A1:AH246"/>
  <sheetViews>
    <sheetView zoomScaleNormal="100" zoomScaleSheetLayoutView="100" workbookViewId="0">
      <pane xSplit="1" ySplit="8" topLeftCell="B57" activePane="bottomRight" state="frozen"/>
      <selection activeCell="E5" sqref="E5"/>
      <selection pane="topRight" activeCell="E5" sqref="E5"/>
      <selection pane="bottomLeft" activeCell="E5" sqref="E5"/>
      <selection pane="bottomRight" activeCell="E5" sqref="E5"/>
    </sheetView>
  </sheetViews>
  <sheetFormatPr defaultRowHeight="13.2" outlineLevelRow="1"/>
  <cols>
    <col min="1" max="1" width="14.3984375" style="39" customWidth="1"/>
    <col min="2" max="2" width="11" style="39" bestFit="1" customWidth="1"/>
    <col min="3" max="4" width="10.09765625" style="39" bestFit="1" customWidth="1"/>
    <col min="5" max="5" width="10.3984375" style="39" customWidth="1"/>
    <col min="6" max="7" width="10.19921875" style="39" bestFit="1" customWidth="1"/>
    <col min="8" max="12" width="10.09765625" style="39" bestFit="1" customWidth="1"/>
    <col min="13" max="15" width="10.69921875" style="39" bestFit="1" customWidth="1"/>
    <col min="16" max="24" width="10.09765625" style="39" bestFit="1" customWidth="1"/>
    <col min="25" max="25" width="10.09765625" style="353" bestFit="1" customWidth="1"/>
    <col min="26" max="256" width="10" style="39" customWidth="1"/>
    <col min="257" max="257" width="14.3984375" style="39" customWidth="1"/>
    <col min="258" max="258" width="11" style="39" bestFit="1" customWidth="1"/>
    <col min="259" max="260" width="10.09765625" style="39" bestFit="1" customWidth="1"/>
    <col min="261" max="261" width="10.3984375" style="39" customWidth="1"/>
    <col min="262" max="263" width="10.19921875" style="39" bestFit="1" customWidth="1"/>
    <col min="264" max="268" width="10.09765625" style="39" bestFit="1" customWidth="1"/>
    <col min="269" max="271" width="10.69921875" style="39" bestFit="1" customWidth="1"/>
    <col min="272" max="281" width="10.09765625" style="39" bestFit="1" customWidth="1"/>
    <col min="282" max="512" width="10" style="39" customWidth="1"/>
    <col min="513" max="513" width="14.3984375" style="39" customWidth="1"/>
    <col min="514" max="514" width="11" style="39" bestFit="1" customWidth="1"/>
    <col min="515" max="516" width="10.09765625" style="39" bestFit="1" customWidth="1"/>
    <col min="517" max="517" width="10.3984375" style="39" customWidth="1"/>
    <col min="518" max="519" width="10.19921875" style="39" bestFit="1" customWidth="1"/>
    <col min="520" max="524" width="10.09765625" style="39" bestFit="1" customWidth="1"/>
    <col min="525" max="527" width="10.69921875" style="39" bestFit="1" customWidth="1"/>
    <col min="528" max="537" width="10.09765625" style="39" bestFit="1" customWidth="1"/>
    <col min="538" max="768" width="10" style="39" customWidth="1"/>
    <col min="769" max="769" width="14.3984375" style="39" customWidth="1"/>
    <col min="770" max="770" width="11" style="39" bestFit="1" customWidth="1"/>
    <col min="771" max="772" width="10.09765625" style="39" bestFit="1" customWidth="1"/>
    <col min="773" max="773" width="10.3984375" style="39" customWidth="1"/>
    <col min="774" max="775" width="10.19921875" style="39" bestFit="1" customWidth="1"/>
    <col min="776" max="780" width="10.09765625" style="39" bestFit="1" customWidth="1"/>
    <col min="781" max="783" width="10.69921875" style="39" bestFit="1" customWidth="1"/>
    <col min="784" max="793" width="10.09765625" style="39" bestFit="1" customWidth="1"/>
    <col min="794" max="1024" width="10" style="39" customWidth="1"/>
    <col min="1025" max="1025" width="14.3984375" style="39" customWidth="1"/>
    <col min="1026" max="1026" width="11" style="39" bestFit="1" customWidth="1"/>
    <col min="1027" max="1028" width="10.09765625" style="39" bestFit="1" customWidth="1"/>
    <col min="1029" max="1029" width="10.3984375" style="39" customWidth="1"/>
    <col min="1030" max="1031" width="10.19921875" style="39" bestFit="1" customWidth="1"/>
    <col min="1032" max="1036" width="10.09765625" style="39" bestFit="1" customWidth="1"/>
    <col min="1037" max="1039" width="10.69921875" style="39" bestFit="1" customWidth="1"/>
    <col min="1040" max="1049" width="10.09765625" style="39" bestFit="1" customWidth="1"/>
    <col min="1050" max="1280" width="10" style="39" customWidth="1"/>
    <col min="1281" max="1281" width="14.3984375" style="39" customWidth="1"/>
    <col min="1282" max="1282" width="11" style="39" bestFit="1" customWidth="1"/>
    <col min="1283" max="1284" width="10.09765625" style="39" bestFit="1" customWidth="1"/>
    <col min="1285" max="1285" width="10.3984375" style="39" customWidth="1"/>
    <col min="1286" max="1287" width="10.19921875" style="39" bestFit="1" customWidth="1"/>
    <col min="1288" max="1292" width="10.09765625" style="39" bestFit="1" customWidth="1"/>
    <col min="1293" max="1295" width="10.69921875" style="39" bestFit="1" customWidth="1"/>
    <col min="1296" max="1305" width="10.09765625" style="39" bestFit="1" customWidth="1"/>
    <col min="1306" max="1536" width="10" style="39" customWidth="1"/>
    <col min="1537" max="1537" width="14.3984375" style="39" customWidth="1"/>
    <col min="1538" max="1538" width="11" style="39" bestFit="1" customWidth="1"/>
    <col min="1539" max="1540" width="10.09765625" style="39" bestFit="1" customWidth="1"/>
    <col min="1541" max="1541" width="10.3984375" style="39" customWidth="1"/>
    <col min="1542" max="1543" width="10.19921875" style="39" bestFit="1" customWidth="1"/>
    <col min="1544" max="1548" width="10.09765625" style="39" bestFit="1" customWidth="1"/>
    <col min="1549" max="1551" width="10.69921875" style="39" bestFit="1" customWidth="1"/>
    <col min="1552" max="1561" width="10.09765625" style="39" bestFit="1" customWidth="1"/>
    <col min="1562" max="1792" width="10" style="39" customWidth="1"/>
    <col min="1793" max="1793" width="14.3984375" style="39" customWidth="1"/>
    <col min="1794" max="1794" width="11" style="39" bestFit="1" customWidth="1"/>
    <col min="1795" max="1796" width="10.09765625" style="39" bestFit="1" customWidth="1"/>
    <col min="1797" max="1797" width="10.3984375" style="39" customWidth="1"/>
    <col min="1798" max="1799" width="10.19921875" style="39" bestFit="1" customWidth="1"/>
    <col min="1800" max="1804" width="10.09765625" style="39" bestFit="1" customWidth="1"/>
    <col min="1805" max="1807" width="10.69921875" style="39" bestFit="1" customWidth="1"/>
    <col min="1808" max="1817" width="10.09765625" style="39" bestFit="1" customWidth="1"/>
    <col min="1818" max="2048" width="10" style="39" customWidth="1"/>
    <col min="2049" max="2049" width="14.3984375" style="39" customWidth="1"/>
    <col min="2050" max="2050" width="11" style="39" bestFit="1" customWidth="1"/>
    <col min="2051" max="2052" width="10.09765625" style="39" bestFit="1" customWidth="1"/>
    <col min="2053" max="2053" width="10.3984375" style="39" customWidth="1"/>
    <col min="2054" max="2055" width="10.19921875" style="39" bestFit="1" customWidth="1"/>
    <col min="2056" max="2060" width="10.09765625" style="39" bestFit="1" customWidth="1"/>
    <col min="2061" max="2063" width="10.69921875" style="39" bestFit="1" customWidth="1"/>
    <col min="2064" max="2073" width="10.09765625" style="39" bestFit="1" customWidth="1"/>
    <col min="2074" max="2304" width="10" style="39" customWidth="1"/>
    <col min="2305" max="2305" width="14.3984375" style="39" customWidth="1"/>
    <col min="2306" max="2306" width="11" style="39" bestFit="1" customWidth="1"/>
    <col min="2307" max="2308" width="10.09765625" style="39" bestFit="1" customWidth="1"/>
    <col min="2309" max="2309" width="10.3984375" style="39" customWidth="1"/>
    <col min="2310" max="2311" width="10.19921875" style="39" bestFit="1" customWidth="1"/>
    <col min="2312" max="2316" width="10.09765625" style="39" bestFit="1" customWidth="1"/>
    <col min="2317" max="2319" width="10.69921875" style="39" bestFit="1" customWidth="1"/>
    <col min="2320" max="2329" width="10.09765625" style="39" bestFit="1" customWidth="1"/>
    <col min="2330" max="2560" width="10" style="39" customWidth="1"/>
    <col min="2561" max="2561" width="14.3984375" style="39" customWidth="1"/>
    <col min="2562" max="2562" width="11" style="39" bestFit="1" customWidth="1"/>
    <col min="2563" max="2564" width="10.09765625" style="39" bestFit="1" customWidth="1"/>
    <col min="2565" max="2565" width="10.3984375" style="39" customWidth="1"/>
    <col min="2566" max="2567" width="10.19921875" style="39" bestFit="1" customWidth="1"/>
    <col min="2568" max="2572" width="10.09765625" style="39" bestFit="1" customWidth="1"/>
    <col min="2573" max="2575" width="10.69921875" style="39" bestFit="1" customWidth="1"/>
    <col min="2576" max="2585" width="10.09765625" style="39" bestFit="1" customWidth="1"/>
    <col min="2586" max="2816" width="10" style="39" customWidth="1"/>
    <col min="2817" max="2817" width="14.3984375" style="39" customWidth="1"/>
    <col min="2818" max="2818" width="11" style="39" bestFit="1" customWidth="1"/>
    <col min="2819" max="2820" width="10.09765625" style="39" bestFit="1" customWidth="1"/>
    <col min="2821" max="2821" width="10.3984375" style="39" customWidth="1"/>
    <col min="2822" max="2823" width="10.19921875" style="39" bestFit="1" customWidth="1"/>
    <col min="2824" max="2828" width="10.09765625" style="39" bestFit="1" customWidth="1"/>
    <col min="2829" max="2831" width="10.69921875" style="39" bestFit="1" customWidth="1"/>
    <col min="2832" max="2841" width="10.09765625" style="39" bestFit="1" customWidth="1"/>
    <col min="2842" max="3072" width="10" style="39" customWidth="1"/>
    <col min="3073" max="3073" width="14.3984375" style="39" customWidth="1"/>
    <col min="3074" max="3074" width="11" style="39" bestFit="1" customWidth="1"/>
    <col min="3075" max="3076" width="10.09765625" style="39" bestFit="1" customWidth="1"/>
    <col min="3077" max="3077" width="10.3984375" style="39" customWidth="1"/>
    <col min="3078" max="3079" width="10.19921875" style="39" bestFit="1" customWidth="1"/>
    <col min="3080" max="3084" width="10.09765625" style="39" bestFit="1" customWidth="1"/>
    <col min="3085" max="3087" width="10.69921875" style="39" bestFit="1" customWidth="1"/>
    <col min="3088" max="3097" width="10.09765625" style="39" bestFit="1" customWidth="1"/>
    <col min="3098" max="3328" width="10" style="39" customWidth="1"/>
    <col min="3329" max="3329" width="14.3984375" style="39" customWidth="1"/>
    <col min="3330" max="3330" width="11" style="39" bestFit="1" customWidth="1"/>
    <col min="3331" max="3332" width="10.09765625" style="39" bestFit="1" customWidth="1"/>
    <col min="3333" max="3333" width="10.3984375" style="39" customWidth="1"/>
    <col min="3334" max="3335" width="10.19921875" style="39" bestFit="1" customWidth="1"/>
    <col min="3336" max="3340" width="10.09765625" style="39" bestFit="1" customWidth="1"/>
    <col min="3341" max="3343" width="10.69921875" style="39" bestFit="1" customWidth="1"/>
    <col min="3344" max="3353" width="10.09765625" style="39" bestFit="1" customWidth="1"/>
    <col min="3354" max="3584" width="10" style="39" customWidth="1"/>
    <col min="3585" max="3585" width="14.3984375" style="39" customWidth="1"/>
    <col min="3586" max="3586" width="11" style="39" bestFit="1" customWidth="1"/>
    <col min="3587" max="3588" width="10.09765625" style="39" bestFit="1" customWidth="1"/>
    <col min="3589" max="3589" width="10.3984375" style="39" customWidth="1"/>
    <col min="3590" max="3591" width="10.19921875" style="39" bestFit="1" customWidth="1"/>
    <col min="3592" max="3596" width="10.09765625" style="39" bestFit="1" customWidth="1"/>
    <col min="3597" max="3599" width="10.69921875" style="39" bestFit="1" customWidth="1"/>
    <col min="3600" max="3609" width="10.09765625" style="39" bestFit="1" customWidth="1"/>
    <col min="3610" max="3840" width="10" style="39" customWidth="1"/>
    <col min="3841" max="3841" width="14.3984375" style="39" customWidth="1"/>
    <col min="3842" max="3842" width="11" style="39" bestFit="1" customWidth="1"/>
    <col min="3843" max="3844" width="10.09765625" style="39" bestFit="1" customWidth="1"/>
    <col min="3845" max="3845" width="10.3984375" style="39" customWidth="1"/>
    <col min="3846" max="3847" width="10.19921875" style="39" bestFit="1" customWidth="1"/>
    <col min="3848" max="3852" width="10.09765625" style="39" bestFit="1" customWidth="1"/>
    <col min="3853" max="3855" width="10.69921875" style="39" bestFit="1" customWidth="1"/>
    <col min="3856" max="3865" width="10.09765625" style="39" bestFit="1" customWidth="1"/>
    <col min="3866" max="4096" width="10" style="39" customWidth="1"/>
    <col min="4097" max="4097" width="14.3984375" style="39" customWidth="1"/>
    <col min="4098" max="4098" width="11" style="39" bestFit="1" customWidth="1"/>
    <col min="4099" max="4100" width="10.09765625" style="39" bestFit="1" customWidth="1"/>
    <col min="4101" max="4101" width="10.3984375" style="39" customWidth="1"/>
    <col min="4102" max="4103" width="10.19921875" style="39" bestFit="1" customWidth="1"/>
    <col min="4104" max="4108" width="10.09765625" style="39" bestFit="1" customWidth="1"/>
    <col min="4109" max="4111" width="10.69921875" style="39" bestFit="1" customWidth="1"/>
    <col min="4112" max="4121" width="10.09765625" style="39" bestFit="1" customWidth="1"/>
    <col min="4122" max="4352" width="10" style="39" customWidth="1"/>
    <col min="4353" max="4353" width="14.3984375" style="39" customWidth="1"/>
    <col min="4354" max="4354" width="11" style="39" bestFit="1" customWidth="1"/>
    <col min="4355" max="4356" width="10.09765625" style="39" bestFit="1" customWidth="1"/>
    <col min="4357" max="4357" width="10.3984375" style="39" customWidth="1"/>
    <col min="4358" max="4359" width="10.19921875" style="39" bestFit="1" customWidth="1"/>
    <col min="4360" max="4364" width="10.09765625" style="39" bestFit="1" customWidth="1"/>
    <col min="4365" max="4367" width="10.69921875" style="39" bestFit="1" customWidth="1"/>
    <col min="4368" max="4377" width="10.09765625" style="39" bestFit="1" customWidth="1"/>
    <col min="4378" max="4608" width="10" style="39" customWidth="1"/>
    <col min="4609" max="4609" width="14.3984375" style="39" customWidth="1"/>
    <col min="4610" max="4610" width="11" style="39" bestFit="1" customWidth="1"/>
    <col min="4611" max="4612" width="10.09765625" style="39" bestFit="1" customWidth="1"/>
    <col min="4613" max="4613" width="10.3984375" style="39" customWidth="1"/>
    <col min="4614" max="4615" width="10.19921875" style="39" bestFit="1" customWidth="1"/>
    <col min="4616" max="4620" width="10.09765625" style="39" bestFit="1" customWidth="1"/>
    <col min="4621" max="4623" width="10.69921875" style="39" bestFit="1" customWidth="1"/>
    <col min="4624" max="4633" width="10.09765625" style="39" bestFit="1" customWidth="1"/>
    <col min="4634" max="4864" width="10" style="39" customWidth="1"/>
    <col min="4865" max="4865" width="14.3984375" style="39" customWidth="1"/>
    <col min="4866" max="4866" width="11" style="39" bestFit="1" customWidth="1"/>
    <col min="4867" max="4868" width="10.09765625" style="39" bestFit="1" customWidth="1"/>
    <col min="4869" max="4869" width="10.3984375" style="39" customWidth="1"/>
    <col min="4870" max="4871" width="10.19921875" style="39" bestFit="1" customWidth="1"/>
    <col min="4872" max="4876" width="10.09765625" style="39" bestFit="1" customWidth="1"/>
    <col min="4877" max="4879" width="10.69921875" style="39" bestFit="1" customWidth="1"/>
    <col min="4880" max="4889" width="10.09765625" style="39" bestFit="1" customWidth="1"/>
    <col min="4890" max="5120" width="10" style="39" customWidth="1"/>
    <col min="5121" max="5121" width="14.3984375" style="39" customWidth="1"/>
    <col min="5122" max="5122" width="11" style="39" bestFit="1" customWidth="1"/>
    <col min="5123" max="5124" width="10.09765625" style="39" bestFit="1" customWidth="1"/>
    <col min="5125" max="5125" width="10.3984375" style="39" customWidth="1"/>
    <col min="5126" max="5127" width="10.19921875" style="39" bestFit="1" customWidth="1"/>
    <col min="5128" max="5132" width="10.09765625" style="39" bestFit="1" customWidth="1"/>
    <col min="5133" max="5135" width="10.69921875" style="39" bestFit="1" customWidth="1"/>
    <col min="5136" max="5145" width="10.09765625" style="39" bestFit="1" customWidth="1"/>
    <col min="5146" max="5376" width="10" style="39" customWidth="1"/>
    <col min="5377" max="5377" width="14.3984375" style="39" customWidth="1"/>
    <col min="5378" max="5378" width="11" style="39" bestFit="1" customWidth="1"/>
    <col min="5379" max="5380" width="10.09765625" style="39" bestFit="1" customWidth="1"/>
    <col min="5381" max="5381" width="10.3984375" style="39" customWidth="1"/>
    <col min="5382" max="5383" width="10.19921875" style="39" bestFit="1" customWidth="1"/>
    <col min="5384" max="5388" width="10.09765625" style="39" bestFit="1" customWidth="1"/>
    <col min="5389" max="5391" width="10.69921875" style="39" bestFit="1" customWidth="1"/>
    <col min="5392" max="5401" width="10.09765625" style="39" bestFit="1" customWidth="1"/>
    <col min="5402" max="5632" width="10" style="39" customWidth="1"/>
    <col min="5633" max="5633" width="14.3984375" style="39" customWidth="1"/>
    <col min="5634" max="5634" width="11" style="39" bestFit="1" customWidth="1"/>
    <col min="5635" max="5636" width="10.09765625" style="39" bestFit="1" customWidth="1"/>
    <col min="5637" max="5637" width="10.3984375" style="39" customWidth="1"/>
    <col min="5638" max="5639" width="10.19921875" style="39" bestFit="1" customWidth="1"/>
    <col min="5640" max="5644" width="10.09765625" style="39" bestFit="1" customWidth="1"/>
    <col min="5645" max="5647" width="10.69921875" style="39" bestFit="1" customWidth="1"/>
    <col min="5648" max="5657" width="10.09765625" style="39" bestFit="1" customWidth="1"/>
    <col min="5658" max="5888" width="10" style="39" customWidth="1"/>
    <col min="5889" max="5889" width="14.3984375" style="39" customWidth="1"/>
    <col min="5890" max="5890" width="11" style="39" bestFit="1" customWidth="1"/>
    <col min="5891" max="5892" width="10.09765625" style="39" bestFit="1" customWidth="1"/>
    <col min="5893" max="5893" width="10.3984375" style="39" customWidth="1"/>
    <col min="5894" max="5895" width="10.19921875" style="39" bestFit="1" customWidth="1"/>
    <col min="5896" max="5900" width="10.09765625" style="39" bestFit="1" customWidth="1"/>
    <col min="5901" max="5903" width="10.69921875" style="39" bestFit="1" customWidth="1"/>
    <col min="5904" max="5913" width="10.09765625" style="39" bestFit="1" customWidth="1"/>
    <col min="5914" max="6144" width="10" style="39" customWidth="1"/>
    <col min="6145" max="6145" width="14.3984375" style="39" customWidth="1"/>
    <col min="6146" max="6146" width="11" style="39" bestFit="1" customWidth="1"/>
    <col min="6147" max="6148" width="10.09765625" style="39" bestFit="1" customWidth="1"/>
    <col min="6149" max="6149" width="10.3984375" style="39" customWidth="1"/>
    <col min="6150" max="6151" width="10.19921875" style="39" bestFit="1" customWidth="1"/>
    <col min="6152" max="6156" width="10.09765625" style="39" bestFit="1" customWidth="1"/>
    <col min="6157" max="6159" width="10.69921875" style="39" bestFit="1" customWidth="1"/>
    <col min="6160" max="6169" width="10.09765625" style="39" bestFit="1" customWidth="1"/>
    <col min="6170" max="6400" width="10" style="39" customWidth="1"/>
    <col min="6401" max="6401" width="14.3984375" style="39" customWidth="1"/>
    <col min="6402" max="6402" width="11" style="39" bestFit="1" customWidth="1"/>
    <col min="6403" max="6404" width="10.09765625" style="39" bestFit="1" customWidth="1"/>
    <col min="6405" max="6405" width="10.3984375" style="39" customWidth="1"/>
    <col min="6406" max="6407" width="10.19921875" style="39" bestFit="1" customWidth="1"/>
    <col min="6408" max="6412" width="10.09765625" style="39" bestFit="1" customWidth="1"/>
    <col min="6413" max="6415" width="10.69921875" style="39" bestFit="1" customWidth="1"/>
    <col min="6416" max="6425" width="10.09765625" style="39" bestFit="1" customWidth="1"/>
    <col min="6426" max="6656" width="10" style="39" customWidth="1"/>
    <col min="6657" max="6657" width="14.3984375" style="39" customWidth="1"/>
    <col min="6658" max="6658" width="11" style="39" bestFit="1" customWidth="1"/>
    <col min="6659" max="6660" width="10.09765625" style="39" bestFit="1" customWidth="1"/>
    <col min="6661" max="6661" width="10.3984375" style="39" customWidth="1"/>
    <col min="6662" max="6663" width="10.19921875" style="39" bestFit="1" customWidth="1"/>
    <col min="6664" max="6668" width="10.09765625" style="39" bestFit="1" customWidth="1"/>
    <col min="6669" max="6671" width="10.69921875" style="39" bestFit="1" customWidth="1"/>
    <col min="6672" max="6681" width="10.09765625" style="39" bestFit="1" customWidth="1"/>
    <col min="6682" max="6912" width="10" style="39" customWidth="1"/>
    <col min="6913" max="6913" width="14.3984375" style="39" customWidth="1"/>
    <col min="6914" max="6914" width="11" style="39" bestFit="1" customWidth="1"/>
    <col min="6915" max="6916" width="10.09765625" style="39" bestFit="1" customWidth="1"/>
    <col min="6917" max="6917" width="10.3984375" style="39" customWidth="1"/>
    <col min="6918" max="6919" width="10.19921875" style="39" bestFit="1" customWidth="1"/>
    <col min="6920" max="6924" width="10.09765625" style="39" bestFit="1" customWidth="1"/>
    <col min="6925" max="6927" width="10.69921875" style="39" bestFit="1" customWidth="1"/>
    <col min="6928" max="6937" width="10.09765625" style="39" bestFit="1" customWidth="1"/>
    <col min="6938" max="7168" width="10" style="39" customWidth="1"/>
    <col min="7169" max="7169" width="14.3984375" style="39" customWidth="1"/>
    <col min="7170" max="7170" width="11" style="39" bestFit="1" customWidth="1"/>
    <col min="7171" max="7172" width="10.09765625" style="39" bestFit="1" customWidth="1"/>
    <col min="7173" max="7173" width="10.3984375" style="39" customWidth="1"/>
    <col min="7174" max="7175" width="10.19921875" style="39" bestFit="1" customWidth="1"/>
    <col min="7176" max="7180" width="10.09765625" style="39" bestFit="1" customWidth="1"/>
    <col min="7181" max="7183" width="10.69921875" style="39" bestFit="1" customWidth="1"/>
    <col min="7184" max="7193" width="10.09765625" style="39" bestFit="1" customWidth="1"/>
    <col min="7194" max="7424" width="10" style="39" customWidth="1"/>
    <col min="7425" max="7425" width="14.3984375" style="39" customWidth="1"/>
    <col min="7426" max="7426" width="11" style="39" bestFit="1" customWidth="1"/>
    <col min="7427" max="7428" width="10.09765625" style="39" bestFit="1" customWidth="1"/>
    <col min="7429" max="7429" width="10.3984375" style="39" customWidth="1"/>
    <col min="7430" max="7431" width="10.19921875" style="39" bestFit="1" customWidth="1"/>
    <col min="7432" max="7436" width="10.09765625" style="39" bestFit="1" customWidth="1"/>
    <col min="7437" max="7439" width="10.69921875" style="39" bestFit="1" customWidth="1"/>
    <col min="7440" max="7449" width="10.09765625" style="39" bestFit="1" customWidth="1"/>
    <col min="7450" max="7680" width="10" style="39" customWidth="1"/>
    <col min="7681" max="7681" width="14.3984375" style="39" customWidth="1"/>
    <col min="7682" max="7682" width="11" style="39" bestFit="1" customWidth="1"/>
    <col min="7683" max="7684" width="10.09765625" style="39" bestFit="1" customWidth="1"/>
    <col min="7685" max="7685" width="10.3984375" style="39" customWidth="1"/>
    <col min="7686" max="7687" width="10.19921875" style="39" bestFit="1" customWidth="1"/>
    <col min="7688" max="7692" width="10.09765625" style="39" bestFit="1" customWidth="1"/>
    <col min="7693" max="7695" width="10.69921875" style="39" bestFit="1" customWidth="1"/>
    <col min="7696" max="7705" width="10.09765625" style="39" bestFit="1" customWidth="1"/>
    <col min="7706" max="7936" width="10" style="39" customWidth="1"/>
    <col min="7937" max="7937" width="14.3984375" style="39" customWidth="1"/>
    <col min="7938" max="7938" width="11" style="39" bestFit="1" customWidth="1"/>
    <col min="7939" max="7940" width="10.09765625" style="39" bestFit="1" customWidth="1"/>
    <col min="7941" max="7941" width="10.3984375" style="39" customWidth="1"/>
    <col min="7942" max="7943" width="10.19921875" style="39" bestFit="1" customWidth="1"/>
    <col min="7944" max="7948" width="10.09765625" style="39" bestFit="1" customWidth="1"/>
    <col min="7949" max="7951" width="10.69921875" style="39" bestFit="1" customWidth="1"/>
    <col min="7952" max="7961" width="10.09765625" style="39" bestFit="1" customWidth="1"/>
    <col min="7962" max="8192" width="10" style="39" customWidth="1"/>
    <col min="8193" max="8193" width="14.3984375" style="39" customWidth="1"/>
    <col min="8194" max="8194" width="11" style="39" bestFit="1" customWidth="1"/>
    <col min="8195" max="8196" width="10.09765625" style="39" bestFit="1" customWidth="1"/>
    <col min="8197" max="8197" width="10.3984375" style="39" customWidth="1"/>
    <col min="8198" max="8199" width="10.19921875" style="39" bestFit="1" customWidth="1"/>
    <col min="8200" max="8204" width="10.09765625" style="39" bestFit="1" customWidth="1"/>
    <col min="8205" max="8207" width="10.69921875" style="39" bestFit="1" customWidth="1"/>
    <col min="8208" max="8217" width="10.09765625" style="39" bestFit="1" customWidth="1"/>
    <col min="8218" max="8448" width="10" style="39" customWidth="1"/>
    <col min="8449" max="8449" width="14.3984375" style="39" customWidth="1"/>
    <col min="8450" max="8450" width="11" style="39" bestFit="1" customWidth="1"/>
    <col min="8451" max="8452" width="10.09765625" style="39" bestFit="1" customWidth="1"/>
    <col min="8453" max="8453" width="10.3984375" style="39" customWidth="1"/>
    <col min="8454" max="8455" width="10.19921875" style="39" bestFit="1" customWidth="1"/>
    <col min="8456" max="8460" width="10.09765625" style="39" bestFit="1" customWidth="1"/>
    <col min="8461" max="8463" width="10.69921875" style="39" bestFit="1" customWidth="1"/>
    <col min="8464" max="8473" width="10.09765625" style="39" bestFit="1" customWidth="1"/>
    <col min="8474" max="8704" width="10" style="39" customWidth="1"/>
    <col min="8705" max="8705" width="14.3984375" style="39" customWidth="1"/>
    <col min="8706" max="8706" width="11" style="39" bestFit="1" customWidth="1"/>
    <col min="8707" max="8708" width="10.09765625" style="39" bestFit="1" customWidth="1"/>
    <col min="8709" max="8709" width="10.3984375" style="39" customWidth="1"/>
    <col min="8710" max="8711" width="10.19921875" style="39" bestFit="1" customWidth="1"/>
    <col min="8712" max="8716" width="10.09765625" style="39" bestFit="1" customWidth="1"/>
    <col min="8717" max="8719" width="10.69921875" style="39" bestFit="1" customWidth="1"/>
    <col min="8720" max="8729" width="10.09765625" style="39" bestFit="1" customWidth="1"/>
    <col min="8730" max="8960" width="10" style="39" customWidth="1"/>
    <col min="8961" max="8961" width="14.3984375" style="39" customWidth="1"/>
    <col min="8962" max="8962" width="11" style="39" bestFit="1" customWidth="1"/>
    <col min="8963" max="8964" width="10.09765625" style="39" bestFit="1" customWidth="1"/>
    <col min="8965" max="8965" width="10.3984375" style="39" customWidth="1"/>
    <col min="8966" max="8967" width="10.19921875" style="39" bestFit="1" customWidth="1"/>
    <col min="8968" max="8972" width="10.09765625" style="39" bestFit="1" customWidth="1"/>
    <col min="8973" max="8975" width="10.69921875" style="39" bestFit="1" customWidth="1"/>
    <col min="8976" max="8985" width="10.09765625" style="39" bestFit="1" customWidth="1"/>
    <col min="8986" max="9216" width="10" style="39" customWidth="1"/>
    <col min="9217" max="9217" width="14.3984375" style="39" customWidth="1"/>
    <col min="9218" max="9218" width="11" style="39" bestFit="1" customWidth="1"/>
    <col min="9219" max="9220" width="10.09765625" style="39" bestFit="1" customWidth="1"/>
    <col min="9221" max="9221" width="10.3984375" style="39" customWidth="1"/>
    <col min="9222" max="9223" width="10.19921875" style="39" bestFit="1" customWidth="1"/>
    <col min="9224" max="9228" width="10.09765625" style="39" bestFit="1" customWidth="1"/>
    <col min="9229" max="9231" width="10.69921875" style="39" bestFit="1" customWidth="1"/>
    <col min="9232" max="9241" width="10.09765625" style="39" bestFit="1" customWidth="1"/>
    <col min="9242" max="9472" width="10" style="39" customWidth="1"/>
    <col min="9473" max="9473" width="14.3984375" style="39" customWidth="1"/>
    <col min="9474" max="9474" width="11" style="39" bestFit="1" customWidth="1"/>
    <col min="9475" max="9476" width="10.09765625" style="39" bestFit="1" customWidth="1"/>
    <col min="9477" max="9477" width="10.3984375" style="39" customWidth="1"/>
    <col min="9478" max="9479" width="10.19921875" style="39" bestFit="1" customWidth="1"/>
    <col min="9480" max="9484" width="10.09765625" style="39" bestFit="1" customWidth="1"/>
    <col min="9485" max="9487" width="10.69921875" style="39" bestFit="1" customWidth="1"/>
    <col min="9488" max="9497" width="10.09765625" style="39" bestFit="1" customWidth="1"/>
    <col min="9498" max="9728" width="10" style="39" customWidth="1"/>
    <col min="9729" max="9729" width="14.3984375" style="39" customWidth="1"/>
    <col min="9730" max="9730" width="11" style="39" bestFit="1" customWidth="1"/>
    <col min="9731" max="9732" width="10.09765625" style="39" bestFit="1" customWidth="1"/>
    <col min="9733" max="9733" width="10.3984375" style="39" customWidth="1"/>
    <col min="9734" max="9735" width="10.19921875" style="39" bestFit="1" customWidth="1"/>
    <col min="9736" max="9740" width="10.09765625" style="39" bestFit="1" customWidth="1"/>
    <col min="9741" max="9743" width="10.69921875" style="39" bestFit="1" customWidth="1"/>
    <col min="9744" max="9753" width="10.09765625" style="39" bestFit="1" customWidth="1"/>
    <col min="9754" max="9984" width="10" style="39" customWidth="1"/>
    <col min="9985" max="9985" width="14.3984375" style="39" customWidth="1"/>
    <col min="9986" max="9986" width="11" style="39" bestFit="1" customWidth="1"/>
    <col min="9987" max="9988" width="10.09765625" style="39" bestFit="1" customWidth="1"/>
    <col min="9989" max="9989" width="10.3984375" style="39" customWidth="1"/>
    <col min="9990" max="9991" width="10.19921875" style="39" bestFit="1" customWidth="1"/>
    <col min="9992" max="9996" width="10.09765625" style="39" bestFit="1" customWidth="1"/>
    <col min="9997" max="9999" width="10.69921875" style="39" bestFit="1" customWidth="1"/>
    <col min="10000" max="10009" width="10.09765625" style="39" bestFit="1" customWidth="1"/>
    <col min="10010" max="10240" width="10" style="39" customWidth="1"/>
    <col min="10241" max="10241" width="14.3984375" style="39" customWidth="1"/>
    <col min="10242" max="10242" width="11" style="39" bestFit="1" customWidth="1"/>
    <col min="10243" max="10244" width="10.09765625" style="39" bestFit="1" customWidth="1"/>
    <col min="10245" max="10245" width="10.3984375" style="39" customWidth="1"/>
    <col min="10246" max="10247" width="10.19921875" style="39" bestFit="1" customWidth="1"/>
    <col min="10248" max="10252" width="10.09765625" style="39" bestFit="1" customWidth="1"/>
    <col min="10253" max="10255" width="10.69921875" style="39" bestFit="1" customWidth="1"/>
    <col min="10256" max="10265" width="10.09765625" style="39" bestFit="1" customWidth="1"/>
    <col min="10266" max="10496" width="10" style="39" customWidth="1"/>
    <col min="10497" max="10497" width="14.3984375" style="39" customWidth="1"/>
    <col min="10498" max="10498" width="11" style="39" bestFit="1" customWidth="1"/>
    <col min="10499" max="10500" width="10.09765625" style="39" bestFit="1" customWidth="1"/>
    <col min="10501" max="10501" width="10.3984375" style="39" customWidth="1"/>
    <col min="10502" max="10503" width="10.19921875" style="39" bestFit="1" customWidth="1"/>
    <col min="10504" max="10508" width="10.09765625" style="39" bestFit="1" customWidth="1"/>
    <col min="10509" max="10511" width="10.69921875" style="39" bestFit="1" customWidth="1"/>
    <col min="10512" max="10521" width="10.09765625" style="39" bestFit="1" customWidth="1"/>
    <col min="10522" max="10752" width="10" style="39" customWidth="1"/>
    <col min="10753" max="10753" width="14.3984375" style="39" customWidth="1"/>
    <col min="10754" max="10754" width="11" style="39" bestFit="1" customWidth="1"/>
    <col min="10755" max="10756" width="10.09765625" style="39" bestFit="1" customWidth="1"/>
    <col min="10757" max="10757" width="10.3984375" style="39" customWidth="1"/>
    <col min="10758" max="10759" width="10.19921875" style="39" bestFit="1" customWidth="1"/>
    <col min="10760" max="10764" width="10.09765625" style="39" bestFit="1" customWidth="1"/>
    <col min="10765" max="10767" width="10.69921875" style="39" bestFit="1" customWidth="1"/>
    <col min="10768" max="10777" width="10.09765625" style="39" bestFit="1" customWidth="1"/>
    <col min="10778" max="11008" width="10" style="39" customWidth="1"/>
    <col min="11009" max="11009" width="14.3984375" style="39" customWidth="1"/>
    <col min="11010" max="11010" width="11" style="39" bestFit="1" customWidth="1"/>
    <col min="11011" max="11012" width="10.09765625" style="39" bestFit="1" customWidth="1"/>
    <col min="11013" max="11013" width="10.3984375" style="39" customWidth="1"/>
    <col min="11014" max="11015" width="10.19921875" style="39" bestFit="1" customWidth="1"/>
    <col min="11016" max="11020" width="10.09765625" style="39" bestFit="1" customWidth="1"/>
    <col min="11021" max="11023" width="10.69921875" style="39" bestFit="1" customWidth="1"/>
    <col min="11024" max="11033" width="10.09765625" style="39" bestFit="1" customWidth="1"/>
    <col min="11034" max="11264" width="10" style="39" customWidth="1"/>
    <col min="11265" max="11265" width="14.3984375" style="39" customWidth="1"/>
    <col min="11266" max="11266" width="11" style="39" bestFit="1" customWidth="1"/>
    <col min="11267" max="11268" width="10.09765625" style="39" bestFit="1" customWidth="1"/>
    <col min="11269" max="11269" width="10.3984375" style="39" customWidth="1"/>
    <col min="11270" max="11271" width="10.19921875" style="39" bestFit="1" customWidth="1"/>
    <col min="11272" max="11276" width="10.09765625" style="39" bestFit="1" customWidth="1"/>
    <col min="11277" max="11279" width="10.69921875" style="39" bestFit="1" customWidth="1"/>
    <col min="11280" max="11289" width="10.09765625" style="39" bestFit="1" customWidth="1"/>
    <col min="11290" max="11520" width="10" style="39" customWidth="1"/>
    <col min="11521" max="11521" width="14.3984375" style="39" customWidth="1"/>
    <col min="11522" max="11522" width="11" style="39" bestFit="1" customWidth="1"/>
    <col min="11523" max="11524" width="10.09765625" style="39" bestFit="1" customWidth="1"/>
    <col min="11525" max="11525" width="10.3984375" style="39" customWidth="1"/>
    <col min="11526" max="11527" width="10.19921875" style="39" bestFit="1" customWidth="1"/>
    <col min="11528" max="11532" width="10.09765625" style="39" bestFit="1" customWidth="1"/>
    <col min="11533" max="11535" width="10.69921875" style="39" bestFit="1" customWidth="1"/>
    <col min="11536" max="11545" width="10.09765625" style="39" bestFit="1" customWidth="1"/>
    <col min="11546" max="11776" width="10" style="39" customWidth="1"/>
    <col min="11777" max="11777" width="14.3984375" style="39" customWidth="1"/>
    <col min="11778" max="11778" width="11" style="39" bestFit="1" customWidth="1"/>
    <col min="11779" max="11780" width="10.09765625" style="39" bestFit="1" customWidth="1"/>
    <col min="11781" max="11781" width="10.3984375" style="39" customWidth="1"/>
    <col min="11782" max="11783" width="10.19921875" style="39" bestFit="1" customWidth="1"/>
    <col min="11784" max="11788" width="10.09765625" style="39" bestFit="1" customWidth="1"/>
    <col min="11789" max="11791" width="10.69921875" style="39" bestFit="1" customWidth="1"/>
    <col min="11792" max="11801" width="10.09765625" style="39" bestFit="1" customWidth="1"/>
    <col min="11802" max="12032" width="10" style="39" customWidth="1"/>
    <col min="12033" max="12033" width="14.3984375" style="39" customWidth="1"/>
    <col min="12034" max="12034" width="11" style="39" bestFit="1" customWidth="1"/>
    <col min="12035" max="12036" width="10.09765625" style="39" bestFit="1" customWidth="1"/>
    <col min="12037" max="12037" width="10.3984375" style="39" customWidth="1"/>
    <col min="12038" max="12039" width="10.19921875" style="39" bestFit="1" customWidth="1"/>
    <col min="12040" max="12044" width="10.09765625" style="39" bestFit="1" customWidth="1"/>
    <col min="12045" max="12047" width="10.69921875" style="39" bestFit="1" customWidth="1"/>
    <col min="12048" max="12057" width="10.09765625" style="39" bestFit="1" customWidth="1"/>
    <col min="12058" max="12288" width="10" style="39" customWidth="1"/>
    <col min="12289" max="12289" width="14.3984375" style="39" customWidth="1"/>
    <col min="12290" max="12290" width="11" style="39" bestFit="1" customWidth="1"/>
    <col min="12291" max="12292" width="10.09765625" style="39" bestFit="1" customWidth="1"/>
    <col min="12293" max="12293" width="10.3984375" style="39" customWidth="1"/>
    <col min="12294" max="12295" width="10.19921875" style="39" bestFit="1" customWidth="1"/>
    <col min="12296" max="12300" width="10.09765625" style="39" bestFit="1" customWidth="1"/>
    <col min="12301" max="12303" width="10.69921875" style="39" bestFit="1" customWidth="1"/>
    <col min="12304" max="12313" width="10.09765625" style="39" bestFit="1" customWidth="1"/>
    <col min="12314" max="12544" width="10" style="39" customWidth="1"/>
    <col min="12545" max="12545" width="14.3984375" style="39" customWidth="1"/>
    <col min="12546" max="12546" width="11" style="39" bestFit="1" customWidth="1"/>
    <col min="12547" max="12548" width="10.09765625" style="39" bestFit="1" customWidth="1"/>
    <col min="12549" max="12549" width="10.3984375" style="39" customWidth="1"/>
    <col min="12550" max="12551" width="10.19921875" style="39" bestFit="1" customWidth="1"/>
    <col min="12552" max="12556" width="10.09765625" style="39" bestFit="1" customWidth="1"/>
    <col min="12557" max="12559" width="10.69921875" style="39" bestFit="1" customWidth="1"/>
    <col min="12560" max="12569" width="10.09765625" style="39" bestFit="1" customWidth="1"/>
    <col min="12570" max="12800" width="10" style="39" customWidth="1"/>
    <col min="12801" max="12801" width="14.3984375" style="39" customWidth="1"/>
    <col min="12802" max="12802" width="11" style="39" bestFit="1" customWidth="1"/>
    <col min="12803" max="12804" width="10.09765625" style="39" bestFit="1" customWidth="1"/>
    <col min="12805" max="12805" width="10.3984375" style="39" customWidth="1"/>
    <col min="12806" max="12807" width="10.19921875" style="39" bestFit="1" customWidth="1"/>
    <col min="12808" max="12812" width="10.09765625" style="39" bestFit="1" customWidth="1"/>
    <col min="12813" max="12815" width="10.69921875" style="39" bestFit="1" customWidth="1"/>
    <col min="12816" max="12825" width="10.09765625" style="39" bestFit="1" customWidth="1"/>
    <col min="12826" max="13056" width="10" style="39" customWidth="1"/>
    <col min="13057" max="13057" width="14.3984375" style="39" customWidth="1"/>
    <col min="13058" max="13058" width="11" style="39" bestFit="1" customWidth="1"/>
    <col min="13059" max="13060" width="10.09765625" style="39" bestFit="1" customWidth="1"/>
    <col min="13061" max="13061" width="10.3984375" style="39" customWidth="1"/>
    <col min="13062" max="13063" width="10.19921875" style="39" bestFit="1" customWidth="1"/>
    <col min="13064" max="13068" width="10.09765625" style="39" bestFit="1" customWidth="1"/>
    <col min="13069" max="13071" width="10.69921875" style="39" bestFit="1" customWidth="1"/>
    <col min="13072" max="13081" width="10.09765625" style="39" bestFit="1" customWidth="1"/>
    <col min="13082" max="13312" width="10" style="39" customWidth="1"/>
    <col min="13313" max="13313" width="14.3984375" style="39" customWidth="1"/>
    <col min="13314" max="13314" width="11" style="39" bestFit="1" customWidth="1"/>
    <col min="13315" max="13316" width="10.09765625" style="39" bestFit="1" customWidth="1"/>
    <col min="13317" max="13317" width="10.3984375" style="39" customWidth="1"/>
    <col min="13318" max="13319" width="10.19921875" style="39" bestFit="1" customWidth="1"/>
    <col min="13320" max="13324" width="10.09765625" style="39" bestFit="1" customWidth="1"/>
    <col min="13325" max="13327" width="10.69921875" style="39" bestFit="1" customWidth="1"/>
    <col min="13328" max="13337" width="10.09765625" style="39" bestFit="1" customWidth="1"/>
    <col min="13338" max="13568" width="10" style="39" customWidth="1"/>
    <col min="13569" max="13569" width="14.3984375" style="39" customWidth="1"/>
    <col min="13570" max="13570" width="11" style="39" bestFit="1" customWidth="1"/>
    <col min="13571" max="13572" width="10.09765625" style="39" bestFit="1" customWidth="1"/>
    <col min="13573" max="13573" width="10.3984375" style="39" customWidth="1"/>
    <col min="13574" max="13575" width="10.19921875" style="39" bestFit="1" customWidth="1"/>
    <col min="13576" max="13580" width="10.09765625" style="39" bestFit="1" customWidth="1"/>
    <col min="13581" max="13583" width="10.69921875" style="39" bestFit="1" customWidth="1"/>
    <col min="13584" max="13593" width="10.09765625" style="39" bestFit="1" customWidth="1"/>
    <col min="13594" max="13824" width="10" style="39" customWidth="1"/>
    <col min="13825" max="13825" width="14.3984375" style="39" customWidth="1"/>
    <col min="13826" max="13826" width="11" style="39" bestFit="1" customWidth="1"/>
    <col min="13827" max="13828" width="10.09765625" style="39" bestFit="1" customWidth="1"/>
    <col min="13829" max="13829" width="10.3984375" style="39" customWidth="1"/>
    <col min="13830" max="13831" width="10.19921875" style="39" bestFit="1" customWidth="1"/>
    <col min="13832" max="13836" width="10.09765625" style="39" bestFit="1" customWidth="1"/>
    <col min="13837" max="13839" width="10.69921875" style="39" bestFit="1" customWidth="1"/>
    <col min="13840" max="13849" width="10.09765625" style="39" bestFit="1" customWidth="1"/>
    <col min="13850" max="14080" width="10" style="39" customWidth="1"/>
    <col min="14081" max="14081" width="14.3984375" style="39" customWidth="1"/>
    <col min="14082" max="14082" width="11" style="39" bestFit="1" customWidth="1"/>
    <col min="14083" max="14084" width="10.09765625" style="39" bestFit="1" customWidth="1"/>
    <col min="14085" max="14085" width="10.3984375" style="39" customWidth="1"/>
    <col min="14086" max="14087" width="10.19921875" style="39" bestFit="1" customWidth="1"/>
    <col min="14088" max="14092" width="10.09765625" style="39" bestFit="1" customWidth="1"/>
    <col min="14093" max="14095" width="10.69921875" style="39" bestFit="1" customWidth="1"/>
    <col min="14096" max="14105" width="10.09765625" style="39" bestFit="1" customWidth="1"/>
    <col min="14106" max="14336" width="10" style="39" customWidth="1"/>
    <col min="14337" max="14337" width="14.3984375" style="39" customWidth="1"/>
    <col min="14338" max="14338" width="11" style="39" bestFit="1" customWidth="1"/>
    <col min="14339" max="14340" width="10.09765625" style="39" bestFit="1" customWidth="1"/>
    <col min="14341" max="14341" width="10.3984375" style="39" customWidth="1"/>
    <col min="14342" max="14343" width="10.19921875" style="39" bestFit="1" customWidth="1"/>
    <col min="14344" max="14348" width="10.09765625" style="39" bestFit="1" customWidth="1"/>
    <col min="14349" max="14351" width="10.69921875" style="39" bestFit="1" customWidth="1"/>
    <col min="14352" max="14361" width="10.09765625" style="39" bestFit="1" customWidth="1"/>
    <col min="14362" max="14592" width="10" style="39" customWidth="1"/>
    <col min="14593" max="14593" width="14.3984375" style="39" customWidth="1"/>
    <col min="14594" max="14594" width="11" style="39" bestFit="1" customWidth="1"/>
    <col min="14595" max="14596" width="10.09765625" style="39" bestFit="1" customWidth="1"/>
    <col min="14597" max="14597" width="10.3984375" style="39" customWidth="1"/>
    <col min="14598" max="14599" width="10.19921875" style="39" bestFit="1" customWidth="1"/>
    <col min="14600" max="14604" width="10.09765625" style="39" bestFit="1" customWidth="1"/>
    <col min="14605" max="14607" width="10.69921875" style="39" bestFit="1" customWidth="1"/>
    <col min="14608" max="14617" width="10.09765625" style="39" bestFit="1" customWidth="1"/>
    <col min="14618" max="14848" width="10" style="39" customWidth="1"/>
    <col min="14849" max="14849" width="14.3984375" style="39" customWidth="1"/>
    <col min="14850" max="14850" width="11" style="39" bestFit="1" customWidth="1"/>
    <col min="14851" max="14852" width="10.09765625" style="39" bestFit="1" customWidth="1"/>
    <col min="14853" max="14853" width="10.3984375" style="39" customWidth="1"/>
    <col min="14854" max="14855" width="10.19921875" style="39" bestFit="1" customWidth="1"/>
    <col min="14856" max="14860" width="10.09765625" style="39" bestFit="1" customWidth="1"/>
    <col min="14861" max="14863" width="10.69921875" style="39" bestFit="1" customWidth="1"/>
    <col min="14864" max="14873" width="10.09765625" style="39" bestFit="1" customWidth="1"/>
    <col min="14874" max="15104" width="10" style="39" customWidth="1"/>
    <col min="15105" max="15105" width="14.3984375" style="39" customWidth="1"/>
    <col min="15106" max="15106" width="11" style="39" bestFit="1" customWidth="1"/>
    <col min="15107" max="15108" width="10.09765625" style="39" bestFit="1" customWidth="1"/>
    <col min="15109" max="15109" width="10.3984375" style="39" customWidth="1"/>
    <col min="15110" max="15111" width="10.19921875" style="39" bestFit="1" customWidth="1"/>
    <col min="15112" max="15116" width="10.09765625" style="39" bestFit="1" customWidth="1"/>
    <col min="15117" max="15119" width="10.69921875" style="39" bestFit="1" customWidth="1"/>
    <col min="15120" max="15129" width="10.09765625" style="39" bestFit="1" customWidth="1"/>
    <col min="15130" max="15360" width="10" style="39" customWidth="1"/>
    <col min="15361" max="15361" width="14.3984375" style="39" customWidth="1"/>
    <col min="15362" max="15362" width="11" style="39" bestFit="1" customWidth="1"/>
    <col min="15363" max="15364" width="10.09765625" style="39" bestFit="1" customWidth="1"/>
    <col min="15365" max="15365" width="10.3984375" style="39" customWidth="1"/>
    <col min="15366" max="15367" width="10.19921875" style="39" bestFit="1" customWidth="1"/>
    <col min="15368" max="15372" width="10.09765625" style="39" bestFit="1" customWidth="1"/>
    <col min="15373" max="15375" width="10.69921875" style="39" bestFit="1" customWidth="1"/>
    <col min="15376" max="15385" width="10.09765625" style="39" bestFit="1" customWidth="1"/>
    <col min="15386" max="15616" width="10" style="39" customWidth="1"/>
    <col min="15617" max="15617" width="14.3984375" style="39" customWidth="1"/>
    <col min="15618" max="15618" width="11" style="39" bestFit="1" customWidth="1"/>
    <col min="15619" max="15620" width="10.09765625" style="39" bestFit="1" customWidth="1"/>
    <col min="15621" max="15621" width="10.3984375" style="39" customWidth="1"/>
    <col min="15622" max="15623" width="10.19921875" style="39" bestFit="1" customWidth="1"/>
    <col min="15624" max="15628" width="10.09765625" style="39" bestFit="1" customWidth="1"/>
    <col min="15629" max="15631" width="10.69921875" style="39" bestFit="1" customWidth="1"/>
    <col min="15632" max="15641" width="10.09765625" style="39" bestFit="1" customWidth="1"/>
    <col min="15642" max="15872" width="10" style="39" customWidth="1"/>
    <col min="15873" max="15873" width="14.3984375" style="39" customWidth="1"/>
    <col min="15874" max="15874" width="11" style="39" bestFit="1" customWidth="1"/>
    <col min="15875" max="15876" width="10.09765625" style="39" bestFit="1" customWidth="1"/>
    <col min="15877" max="15877" width="10.3984375" style="39" customWidth="1"/>
    <col min="15878" max="15879" width="10.19921875" style="39" bestFit="1" customWidth="1"/>
    <col min="15880" max="15884" width="10.09765625" style="39" bestFit="1" customWidth="1"/>
    <col min="15885" max="15887" width="10.69921875" style="39" bestFit="1" customWidth="1"/>
    <col min="15888" max="15897" width="10.09765625" style="39" bestFit="1" customWidth="1"/>
    <col min="15898" max="16128" width="10" style="39" customWidth="1"/>
    <col min="16129" max="16129" width="14.3984375" style="39" customWidth="1"/>
    <col min="16130" max="16130" width="11" style="39" bestFit="1" customWidth="1"/>
    <col min="16131" max="16132" width="10.09765625" style="39" bestFit="1" customWidth="1"/>
    <col min="16133" max="16133" width="10.3984375" style="39" customWidth="1"/>
    <col min="16134" max="16135" width="10.19921875" style="39" bestFit="1" customWidth="1"/>
    <col min="16136" max="16140" width="10.09765625" style="39" bestFit="1" customWidth="1"/>
    <col min="16141" max="16143" width="10.69921875" style="39" bestFit="1" customWidth="1"/>
    <col min="16144" max="16153" width="10.09765625" style="39" bestFit="1" customWidth="1"/>
    <col min="16154" max="16384" width="10" style="39" customWidth="1"/>
  </cols>
  <sheetData>
    <row r="1" spans="1:34" ht="21">
      <c r="A1" s="38" t="s">
        <v>848</v>
      </c>
    </row>
    <row r="2" spans="1:34" ht="17.399999999999999">
      <c r="A2" s="40" t="s">
        <v>374</v>
      </c>
      <c r="B2" s="40"/>
      <c r="C2" s="40"/>
    </row>
    <row r="3" spans="1:34" ht="17.399999999999999">
      <c r="A3" s="40"/>
      <c r="B3" s="40"/>
      <c r="C3" s="40"/>
    </row>
    <row r="4" spans="1:34" ht="18">
      <c r="A4" s="398" t="s">
        <v>852</v>
      </c>
      <c r="B4" s="399"/>
      <c r="C4" s="400"/>
      <c r="D4" s="400"/>
      <c r="E4" s="400"/>
      <c r="F4" s="401"/>
      <c r="G4" s="398" t="s">
        <v>853</v>
      </c>
      <c r="H4" s="401"/>
      <c r="I4" s="401"/>
      <c r="J4" s="401"/>
      <c r="K4" s="401"/>
      <c r="L4" s="401"/>
      <c r="M4" s="402"/>
      <c r="N4" s="398" t="s">
        <v>854</v>
      </c>
      <c r="O4" s="402"/>
      <c r="P4" s="402"/>
      <c r="Q4" s="392"/>
      <c r="R4" s="392"/>
    </row>
    <row r="5" spans="1:34" ht="18">
      <c r="A5" s="398" t="s">
        <v>855</v>
      </c>
      <c r="B5" s="403"/>
      <c r="C5" s="404"/>
      <c r="D5" s="404"/>
      <c r="E5" s="405"/>
      <c r="F5" s="406"/>
      <c r="G5" s="398" t="s">
        <v>856</v>
      </c>
      <c r="H5" s="406"/>
      <c r="I5" s="406"/>
      <c r="J5" s="406"/>
      <c r="K5" s="401"/>
      <c r="L5" s="401"/>
      <c r="M5" s="402"/>
      <c r="N5" s="398" t="s">
        <v>857</v>
      </c>
      <c r="O5" s="402"/>
      <c r="P5" s="402"/>
      <c r="Q5" s="392"/>
      <c r="R5" s="392"/>
    </row>
    <row r="6" spans="1:34" ht="15.6">
      <c r="A6" s="83"/>
    </row>
    <row r="7" spans="1:34" ht="15.6">
      <c r="A7" s="83"/>
      <c r="Y7" s="91" t="s">
        <v>324</v>
      </c>
      <c r="Z7" s="91"/>
      <c r="AA7" s="91" t="s">
        <v>300</v>
      </c>
      <c r="AB7" s="91"/>
      <c r="AC7" s="91" t="s">
        <v>305</v>
      </c>
      <c r="AD7" s="91"/>
      <c r="AE7" s="370" t="s">
        <v>867</v>
      </c>
      <c r="AF7" s="99" t="s">
        <v>868</v>
      </c>
    </row>
    <row r="8" spans="1:34">
      <c r="A8" s="84" t="s">
        <v>320</v>
      </c>
      <c r="Y8" s="91" t="s">
        <v>790</v>
      </c>
      <c r="Z8" s="91" t="s">
        <v>791</v>
      </c>
      <c r="AA8" s="91" t="s">
        <v>790</v>
      </c>
      <c r="AB8" s="91" t="s">
        <v>791</v>
      </c>
      <c r="AC8" s="91" t="s">
        <v>790</v>
      </c>
      <c r="AD8" s="91" t="s">
        <v>791</v>
      </c>
      <c r="AE8" s="99" t="s">
        <v>869</v>
      </c>
      <c r="AF8" s="99" t="s">
        <v>869</v>
      </c>
      <c r="AG8" s="99" t="s">
        <v>870</v>
      </c>
    </row>
    <row r="9" spans="1:34" outlineLevel="1">
      <c r="A9" s="84"/>
      <c r="B9" s="441" t="s">
        <v>871</v>
      </c>
    </row>
    <row r="10" spans="1:34" outlineLevel="1">
      <c r="A10" s="84"/>
      <c r="C10" s="442" t="s">
        <v>872</v>
      </c>
    </row>
    <row r="11" spans="1:34" outlineLevel="1">
      <c r="A11" s="84"/>
      <c r="C11" s="441" t="s">
        <v>873</v>
      </c>
      <c r="D11" s="441"/>
    </row>
    <row r="12" spans="1:34" outlineLevel="1">
      <c r="A12" s="84"/>
      <c r="B12" s="442" t="s">
        <v>874</v>
      </c>
    </row>
    <row r="13" spans="1:34" outlineLevel="1">
      <c r="A13" s="84"/>
      <c r="C13" s="442" t="s">
        <v>875</v>
      </c>
      <c r="AH13" s="99"/>
    </row>
    <row r="14" spans="1:34" outlineLevel="1">
      <c r="A14" s="84"/>
    </row>
    <row r="15" spans="1:34" s="95" customFormat="1" outlineLevel="1">
      <c r="A15" s="95" t="str">
        <f>A52</f>
        <v>TV 4.1 E</v>
      </c>
      <c r="B15" s="85" t="str">
        <f>AG55</f>
        <v>pman_pumps = (-8) • 10^(-8) • qN^(2) + (-0.00035) • qN + (3.8859) - (qN/1000)^2 / 2.13^2 + 0.5</v>
      </c>
      <c r="Y15" s="367"/>
      <c r="Z15" s="367"/>
      <c r="AA15" s="368"/>
      <c r="AB15" s="368"/>
      <c r="AC15" s="368"/>
      <c r="AD15" s="368"/>
    </row>
    <row r="16" spans="1:34" s="95" customFormat="1" outlineLevel="1">
      <c r="B16" s="85" t="str">
        <f>AG56</f>
        <v>pman_valves = (qN/1000)^2 / 0.65^2</v>
      </c>
      <c r="Y16" s="367"/>
      <c r="Z16" s="367"/>
      <c r="AA16" s="367"/>
      <c r="AB16" s="367"/>
      <c r="AC16" s="367"/>
      <c r="AD16" s="367"/>
    </row>
    <row r="17" spans="1:30" s="95" customFormat="1" outlineLevel="1">
      <c r="A17" s="95" t="str">
        <f>A62</f>
        <v>TV 4.1 EH</v>
      </c>
      <c r="B17" s="85" t="str">
        <f>AG65</f>
        <v>pman_pumps = (-8) • 10^(-8) • qN^(2) + (-0.00035) • qN + (3.8859) - (qN/1000)^2 / 2.13^2 + 0.5</v>
      </c>
      <c r="Y17" s="367"/>
      <c r="Z17" s="367"/>
      <c r="AA17" s="368"/>
      <c r="AB17" s="368"/>
      <c r="AC17" s="368"/>
      <c r="AD17" s="368"/>
    </row>
    <row r="18" spans="1:30" s="95" customFormat="1" outlineLevel="1">
      <c r="B18" s="85" t="str">
        <f>AG66</f>
        <v>pman_valves = (qN/1000)^2 / 3.6^2</v>
      </c>
      <c r="Y18" s="367"/>
      <c r="Z18" s="367"/>
      <c r="AA18" s="367"/>
      <c r="AB18" s="367"/>
      <c r="AC18" s="367"/>
      <c r="AD18" s="367"/>
    </row>
    <row r="19" spans="1:30" outlineLevel="1">
      <c r="A19" s="39" t="str">
        <f>A72</f>
        <v>TV 4.2 EH</v>
      </c>
      <c r="B19" s="85" t="str">
        <f>AG75</f>
        <v>pman_pumps = (-2) • 10^(-8) • qN^(1.97) + (-0.0002) • qN + (3.8859) - (qN/1000)^2 / 2.907^2 + 0.5</v>
      </c>
    </row>
    <row r="20" spans="1:30" outlineLevel="1">
      <c r="B20" s="85" t="str">
        <f>AG76</f>
        <v>pman_valves = (qN/1000)^2 / 3.6^2</v>
      </c>
    </row>
    <row r="21" spans="1:30" outlineLevel="1">
      <c r="A21" s="95" t="str">
        <f>A82</f>
        <v>TV 6.1 E</v>
      </c>
      <c r="B21" s="85" t="str">
        <f>AG85</f>
        <v>pman_pumps = (-1) • 10^(-7) • qN^(2.04) + (-0.0004) • qN + (6.2067) - (qN/1000)^2 / 2.13^2 + 0.5</v>
      </c>
    </row>
    <row r="22" spans="1:30" outlineLevel="1">
      <c r="A22" s="95"/>
      <c r="B22" s="85" t="str">
        <f>AG86</f>
        <v>pman_valves = (qN/1000)^2 / 0.65^2</v>
      </c>
    </row>
    <row r="23" spans="1:30" outlineLevel="1">
      <c r="A23" s="95" t="str">
        <f>A92</f>
        <v>TV 6.1 EH</v>
      </c>
      <c r="B23" s="85" t="str">
        <f>AG95</f>
        <v>pman_pumps = (-1) • 10^(-7) • qN^(2.04) + (-0.0004) • qN + (6.2067) - (qN/1000)^2 / 2.13^2 + 0.5</v>
      </c>
    </row>
    <row r="24" spans="1:30" outlineLevel="1">
      <c r="B24" s="85" t="str">
        <f>AG96</f>
        <v>pman_valves = (qN/1000)^2 / 3.6^2</v>
      </c>
    </row>
    <row r="25" spans="1:30" outlineLevel="1">
      <c r="A25" s="39" t="str">
        <f>A102</f>
        <v>TV 6.2 EH</v>
      </c>
      <c r="B25" s="85" t="str">
        <f>AG105</f>
        <v>pman_pumps = (-3) • 10^(-8) • qN^(2.03) + (-0.0001) • qN + (5.0541) - (qN/1000)^2 / 2.907^2 + 0.5</v>
      </c>
    </row>
    <row r="26" spans="1:30" outlineLevel="1">
      <c r="B26" s="85" t="str">
        <f>AG106</f>
        <v>pman_valves = (qN/1000)^2 / 3.6^2</v>
      </c>
    </row>
    <row r="27" spans="1:30" outlineLevel="1">
      <c r="A27" s="95" t="str">
        <f>A112</f>
        <v>TV 8.1 E</v>
      </c>
      <c r="B27" s="85" t="str">
        <f>AG115</f>
        <v>pman_pumps = (-1) • 10^(-7) • qN^(2.04) + (-0.0004) • qN + (6.2067) - (qN/1000)^2 / 2.13^2 + 0.5</v>
      </c>
    </row>
    <row r="28" spans="1:30" outlineLevel="1">
      <c r="A28" s="95"/>
      <c r="B28" s="85" t="str">
        <f>AG116</f>
        <v>pman_valves = (qN/1000)^2 / 0.65^2</v>
      </c>
    </row>
    <row r="29" spans="1:30" outlineLevel="1">
      <c r="A29" s="95" t="str">
        <f>A122</f>
        <v>TV 8.1 EH</v>
      </c>
      <c r="B29" s="85" t="str">
        <f>AG125</f>
        <v>pman_pumps = (-1) • 10^(-7) • qN^(2.04) + (-0.0004) • qN + (6.2067) - (qN/1000)^2 / 2.13^2 + 0.5</v>
      </c>
    </row>
    <row r="30" spans="1:30" outlineLevel="1">
      <c r="B30" s="85" t="str">
        <f>AG126</f>
        <v>pman_valves = (qN/1000)^2 / 0.65^2</v>
      </c>
    </row>
    <row r="31" spans="1:30" outlineLevel="1">
      <c r="A31" s="39" t="str">
        <f>A132</f>
        <v>TV 8.2 EH</v>
      </c>
      <c r="B31" s="85" t="str">
        <f>AG135</f>
        <v>pman_pumps = (-4) • 10^(-8) • qN^(1.981) + (-0.0002) • qN + (6.2067) - (qN/1000)^2 / 2.907^2 + 0.5</v>
      </c>
      <c r="Y31" s="79"/>
    </row>
    <row r="32" spans="1:30" outlineLevel="1">
      <c r="B32" s="85" t="str">
        <f>AG136</f>
        <v>pman_valves = (qN/1000)^2 / 0.65^2</v>
      </c>
      <c r="Y32" s="79"/>
    </row>
    <row r="33" spans="1:25" outlineLevel="1">
      <c r="A33" s="39" t="str">
        <f>A142</f>
        <v>TV 10.1 E</v>
      </c>
      <c r="B33" s="85" t="str">
        <f>AG145</f>
        <v>pman_pumps = (-2) • 10^(-7) • qN^(2) + (-0.0004) • qN + (8.3981) - (qN/1000)^2 / 2.05^2 + 0.5</v>
      </c>
      <c r="Y33" s="79"/>
    </row>
    <row r="34" spans="1:25" outlineLevel="1">
      <c r="B34" s="85" t="str">
        <f>AG146</f>
        <v>pman_valves = (qN/1000)^2 / 0.65^2 for qN &lt; 1100pman_valves =10000 for qN &gt; 1100</v>
      </c>
      <c r="Y34" s="79"/>
    </row>
    <row r="35" spans="1:25" outlineLevel="1">
      <c r="A35" s="39" t="str">
        <f>A152</f>
        <v>TV 10.1 EH</v>
      </c>
      <c r="B35" s="85" t="str">
        <f>AG156</f>
        <v>pman_pumps = (-2) • 10^(-7) • qN^(2) + (-0.0004) • qN + (8.3981) - (qN/1000)^2 / 2.05^2 + 0.5</v>
      </c>
      <c r="Y35" s="79"/>
    </row>
    <row r="36" spans="1:25" outlineLevel="1">
      <c r="B36" s="85" t="str">
        <f>AG157</f>
        <v>pman_valves = (qN/1000)^2 / 3.6^2</v>
      </c>
      <c r="Y36" s="79"/>
    </row>
    <row r="37" spans="1:25" outlineLevel="1">
      <c r="A37" s="39" t="str">
        <f>A162</f>
        <v>TV 10.2 EH</v>
      </c>
      <c r="B37" s="85" t="str">
        <f>AG166</f>
        <v>pman_pumps = (-5) • 10^(-8) • qN^(2) + (-0.0002) • qN + (8.3981) - (qN/1000)^2 / 2.77^2 + 0.5</v>
      </c>
      <c r="Y37" s="79"/>
    </row>
    <row r="38" spans="1:25" outlineLevel="1">
      <c r="B38" s="85" t="str">
        <f>AG167</f>
        <v>pman_valves = (qN/1000)^2 / 3.6^2</v>
      </c>
      <c r="Y38" s="79"/>
    </row>
    <row r="39" spans="1:25" outlineLevel="1">
      <c r="A39" s="39" t="str">
        <f>A172</f>
        <v>TV 14.1 E</v>
      </c>
      <c r="B39" s="85" t="str">
        <f>AG175</f>
        <v>pman_pumps = (-2) • 10^(-6.04) • qN^(2) + (0.0017) • qN + (12.2) - (qN/1000)^2 / 2.13^2 + 0.5</v>
      </c>
      <c r="Y39" s="79"/>
    </row>
    <row r="40" spans="1:25" outlineLevel="1">
      <c r="B40" s="85" t="str">
        <f>AG176</f>
        <v>pman_valves = (qN/1000)^2 / 0.65^2 for qN &lt; 1100pman_valves =10000 for qN &gt; 1100</v>
      </c>
      <c r="Y40" s="79"/>
    </row>
    <row r="41" spans="1:25" outlineLevel="1">
      <c r="A41" s="39" t="str">
        <f>A182</f>
        <v>TV 14.1 EH</v>
      </c>
      <c r="B41" s="85" t="str">
        <f>AG186</f>
        <v>pman_pumps = (-2) • 10^(-6.04) • qN^(2) + (0.0017) • qN + (12.2) - (qN/1000)^2 / 2.13^2 + 0.5</v>
      </c>
      <c r="Y41" s="79"/>
    </row>
    <row r="42" spans="1:25" outlineLevel="1">
      <c r="B42" s="85" t="str">
        <f>AG187</f>
        <v>pman_valves = (qN/1000)^2 / 3.6^2</v>
      </c>
      <c r="Y42" s="79"/>
    </row>
    <row r="43" spans="1:25" outlineLevel="1">
      <c r="A43" s="39" t="str">
        <f>A192</f>
        <v>TV 14.2 EH</v>
      </c>
      <c r="B43" s="85" t="str">
        <f>AG196</f>
        <v>pman_pumps = (-5) • 10^(-7) • qN^(2) + (0.001) • qN + (12.228) - (qN/1000)^2 / 2.907^2 + 0.5</v>
      </c>
      <c r="Y43" s="79"/>
    </row>
    <row r="44" spans="1:25" outlineLevel="1">
      <c r="B44" s="85" t="str">
        <f>AG197</f>
        <v>pman_valves = (qN/1000)^2 / 3.6^2</v>
      </c>
      <c r="Y44" s="79"/>
    </row>
    <row r="45" spans="1:25" outlineLevel="1">
      <c r="B45" s="85"/>
      <c r="Y45" s="79"/>
    </row>
    <row r="46" spans="1:25" outlineLevel="1">
      <c r="B46" s="85"/>
      <c r="Y46" s="79"/>
    </row>
    <row r="47" spans="1:25" outlineLevel="1">
      <c r="B47" s="85"/>
      <c r="Y47" s="79"/>
    </row>
    <row r="48" spans="1:25" outlineLevel="1">
      <c r="B48" s="85"/>
      <c r="Y48" s="79"/>
    </row>
    <row r="49" spans="1:33" outlineLevel="1">
      <c r="B49" s="85"/>
      <c r="X49" s="354"/>
      <c r="Y49" s="79"/>
    </row>
    <row r="50" spans="1:33">
      <c r="A50" s="84" t="s">
        <v>464</v>
      </c>
      <c r="B50" s="85"/>
      <c r="X50" s="354"/>
      <c r="Y50" s="91"/>
      <c r="Z50" s="91"/>
      <c r="AA50" s="91"/>
      <c r="AB50" s="91"/>
      <c r="AC50" s="91"/>
      <c r="AD50" s="91"/>
      <c r="AE50" s="370"/>
      <c r="AF50" s="99"/>
    </row>
    <row r="51" spans="1:33">
      <c r="B51" s="85"/>
      <c r="M51" s="89"/>
      <c r="N51" s="89"/>
      <c r="O51" s="89"/>
      <c r="P51" s="89"/>
      <c r="Q51" s="89"/>
      <c r="R51" s="89"/>
      <c r="S51" s="89"/>
      <c r="T51" s="89"/>
      <c r="U51" s="89"/>
      <c r="V51" s="89"/>
      <c r="W51" s="89"/>
      <c r="X51" s="443"/>
      <c r="Y51" s="91"/>
      <c r="Z51" s="91"/>
      <c r="AA51" s="91"/>
      <c r="AB51" s="91"/>
      <c r="AC51" s="91"/>
      <c r="AD51" s="91"/>
      <c r="AE51" s="99"/>
      <c r="AF51" s="99"/>
      <c r="AG51" s="99"/>
    </row>
    <row r="52" spans="1:33">
      <c r="A52" s="95" t="s">
        <v>876</v>
      </c>
      <c r="B52" s="95" t="s">
        <v>787</v>
      </c>
      <c r="C52" s="39">
        <v>0</v>
      </c>
      <c r="D52" s="444">
        <v>600</v>
      </c>
      <c r="E52" s="89">
        <f>D52</f>
        <v>600</v>
      </c>
      <c r="F52" s="89">
        <f t="shared" ref="F52:L52" si="0">$E52+($M52-$E52)/8*F$232</f>
        <v>677.375</v>
      </c>
      <c r="G52" s="89">
        <f t="shared" si="0"/>
        <v>754.75</v>
      </c>
      <c r="H52" s="89">
        <f t="shared" si="0"/>
        <v>832.125</v>
      </c>
      <c r="I52" s="89">
        <f t="shared" si="0"/>
        <v>909.5</v>
      </c>
      <c r="J52" s="89">
        <f t="shared" si="0"/>
        <v>986.875</v>
      </c>
      <c r="K52" s="89">
        <f t="shared" si="0"/>
        <v>1064.25</v>
      </c>
      <c r="L52" s="89">
        <f t="shared" si="0"/>
        <v>1141.625</v>
      </c>
      <c r="M52" s="445">
        <v>1219</v>
      </c>
      <c r="N52" s="446">
        <f>M52-1</f>
        <v>1218</v>
      </c>
      <c r="O52" s="373">
        <f>N52</f>
        <v>1218</v>
      </c>
      <c r="P52" s="89">
        <f t="shared" ref="P52:V52" si="1">$O52+($W52-$O52)/8*P$232</f>
        <v>1063.5</v>
      </c>
      <c r="Q52" s="89">
        <f t="shared" si="1"/>
        <v>986.25</v>
      </c>
      <c r="R52" s="89">
        <f t="shared" si="1"/>
        <v>909</v>
      </c>
      <c r="S52" s="89">
        <f t="shared" si="1"/>
        <v>831.75</v>
      </c>
      <c r="T52" s="89">
        <f t="shared" si="1"/>
        <v>754.5</v>
      </c>
      <c r="U52" s="89">
        <f t="shared" si="1"/>
        <v>677.25</v>
      </c>
      <c r="V52" s="89">
        <f t="shared" si="1"/>
        <v>600</v>
      </c>
      <c r="W52" s="446">
        <f>D52</f>
        <v>600</v>
      </c>
      <c r="X52" s="443">
        <v>0</v>
      </c>
      <c r="Y52" s="367">
        <f>D52</f>
        <v>600</v>
      </c>
      <c r="Z52" s="367">
        <f>M52</f>
        <v>1219</v>
      </c>
      <c r="AA52" s="447">
        <f>AC56-0.5</f>
        <v>0.5</v>
      </c>
      <c r="AB52" s="447">
        <f>AD57-0.5</f>
        <v>2</v>
      </c>
      <c r="AC52" s="79"/>
      <c r="AD52" s="79"/>
    </row>
    <row r="53" spans="1:33">
      <c r="A53" s="95"/>
      <c r="B53" s="370" t="s">
        <v>877</v>
      </c>
      <c r="C53" s="39">
        <f>IF(C56&gt;C58,$AE$56*1000*$AD$57^0.5,C52)</f>
        <v>0</v>
      </c>
      <c r="D53" s="39">
        <f>IF(D56&gt;D58,$AE$56*1000*$AD$57^0.5*$AG53,D52*$AG53)</f>
        <v>588</v>
      </c>
      <c r="E53" s="39">
        <f t="shared" ref="E53:W53" si="2">IF(E56&gt;E58,$AE$56*1000*$AD$57^0.5*$AG53,E52*$AG53)</f>
        <v>588</v>
      </c>
      <c r="F53" s="39">
        <f t="shared" si="2"/>
        <v>663.82749999999999</v>
      </c>
      <c r="G53" s="39">
        <f t="shared" si="2"/>
        <v>739.65499999999997</v>
      </c>
      <c r="H53" s="39">
        <f t="shared" si="2"/>
        <v>815.48249999999996</v>
      </c>
      <c r="I53" s="39">
        <f t="shared" si="2"/>
        <v>891.31</v>
      </c>
      <c r="J53" s="39">
        <f t="shared" si="2"/>
        <v>967.13749999999993</v>
      </c>
      <c r="K53" s="39">
        <f t="shared" si="2"/>
        <v>1007.1854347636288</v>
      </c>
      <c r="L53" s="39">
        <f t="shared" si="2"/>
        <v>1007.1854347636288</v>
      </c>
      <c r="M53" s="39">
        <f t="shared" si="2"/>
        <v>1007.1854347636288</v>
      </c>
      <c r="N53" s="39">
        <f t="shared" si="2"/>
        <v>1007.1854347636288</v>
      </c>
      <c r="O53" s="39">
        <f t="shared" si="2"/>
        <v>1007.1854347636288</v>
      </c>
      <c r="P53" s="39">
        <f t="shared" si="2"/>
        <v>1007.1854347636288</v>
      </c>
      <c r="Q53" s="39">
        <f t="shared" si="2"/>
        <v>966.52499999999998</v>
      </c>
      <c r="R53" s="39">
        <f t="shared" si="2"/>
        <v>890.81999999999994</v>
      </c>
      <c r="S53" s="39">
        <f t="shared" si="2"/>
        <v>815.11500000000001</v>
      </c>
      <c r="T53" s="39">
        <f t="shared" si="2"/>
        <v>739.41</v>
      </c>
      <c r="U53" s="39">
        <f t="shared" si="2"/>
        <v>663.70500000000004</v>
      </c>
      <c r="V53" s="39">
        <f t="shared" si="2"/>
        <v>588</v>
      </c>
      <c r="W53" s="39">
        <f t="shared" si="2"/>
        <v>588</v>
      </c>
      <c r="X53" s="89">
        <v>0</v>
      </c>
      <c r="Y53" s="383"/>
      <c r="Z53" s="373"/>
      <c r="AA53" s="89"/>
      <c r="AG53" s="448">
        <v>0.98</v>
      </c>
    </row>
    <row r="54" spans="1:33">
      <c r="B54" s="449" t="s">
        <v>878</v>
      </c>
      <c r="C54" s="71">
        <f>C53/'Selection pman-p0-qN'!$P$24</f>
        <v>0</v>
      </c>
      <c r="D54" s="71">
        <f>D53/'Selection pman-p0-qN'!$P$24</f>
        <v>1531.25</v>
      </c>
      <c r="E54" s="71">
        <f>E53/'Selection pman-p0-qN'!$P$24</f>
        <v>1531.25</v>
      </c>
      <c r="F54" s="71">
        <f>F53/'Selection pman-p0-qN'!$P$24</f>
        <v>1728.7174479166665</v>
      </c>
      <c r="G54" s="71">
        <f>G53/'Selection pman-p0-qN'!$P$24</f>
        <v>1926.1848958333333</v>
      </c>
      <c r="H54" s="71">
        <f>H53/'Selection pman-p0-qN'!$P$24</f>
        <v>2123.65234375</v>
      </c>
      <c r="I54" s="71">
        <f>I53/'Selection pman-p0-qN'!$P$24</f>
        <v>2321.1197916666665</v>
      </c>
      <c r="J54" s="71">
        <f>J53/'Selection pman-p0-qN'!$P$24</f>
        <v>2518.587239583333</v>
      </c>
      <c r="K54" s="71">
        <f>K53/'Selection pman-p0-qN'!$P$24</f>
        <v>2622.8787363636166</v>
      </c>
      <c r="L54" s="71">
        <f>L53/'Selection pman-p0-qN'!$P$24</f>
        <v>2622.8787363636166</v>
      </c>
      <c r="M54" s="71">
        <f>M53/'Selection pman-p0-qN'!$P$24</f>
        <v>2622.8787363636166</v>
      </c>
      <c r="N54" s="71">
        <f>N53/'Selection pman-p0-qN'!$P$24</f>
        <v>2622.8787363636166</v>
      </c>
      <c r="O54" s="71">
        <f>O53/'Selection pman-p0-qN'!$P$24</f>
        <v>2622.8787363636166</v>
      </c>
      <c r="P54" s="71">
        <f>P53/'Selection pman-p0-qN'!$P$24</f>
        <v>2622.8787363636166</v>
      </c>
      <c r="Q54" s="71">
        <f>Q53/'Selection pman-p0-qN'!$P$24</f>
        <v>2516.9921875</v>
      </c>
      <c r="R54" s="71">
        <f>R53/'Selection pman-p0-qN'!$P$24</f>
        <v>2319.84375</v>
      </c>
      <c r="S54" s="71">
        <f>S53/'Selection pman-p0-qN'!$P$24</f>
        <v>2122.6953125</v>
      </c>
      <c r="T54" s="71">
        <f>T53/'Selection pman-p0-qN'!$P$24</f>
        <v>1925.5468749999998</v>
      </c>
      <c r="U54" s="71">
        <f>U53/'Selection pman-p0-qN'!$P$24</f>
        <v>1728.3984375</v>
      </c>
      <c r="V54" s="71">
        <f>V53/'Selection pman-p0-qN'!$P$24</f>
        <v>1531.25</v>
      </c>
      <c r="W54" s="71">
        <f>W53/'Selection pman-p0-qN'!$P$24</f>
        <v>1531.25</v>
      </c>
      <c r="X54" s="71">
        <f>X53/'Selection pman-p0-qN'!$P$24</f>
        <v>0</v>
      </c>
      <c r="Y54" s="369"/>
      <c r="Z54" s="91"/>
      <c r="AA54" s="91"/>
      <c r="AB54" s="91"/>
      <c r="AC54" s="91"/>
      <c r="AD54" s="91"/>
    </row>
    <row r="55" spans="1:33">
      <c r="B55" s="95" t="s">
        <v>879</v>
      </c>
      <c r="C55" s="450">
        <f>-8*10^(-8)*C52^2-0.00035*C52+3.8859-(C52/1000)^2/$AF55^2+0.5</f>
        <v>4.3858999999999995</v>
      </c>
      <c r="D55" s="450">
        <f t="shared" ref="D55:W55" si="3">-8*10^(-8)*D52^2-0.00035*D52+3.8859-(D52/1000)^2/$AF55^2+0.5</f>
        <v>4.0677506645506849</v>
      </c>
      <c r="E55" s="450">
        <f t="shared" si="3"/>
        <v>4.0677506645506849</v>
      </c>
      <c r="F55" s="450">
        <f t="shared" si="3"/>
        <v>4.010977347775766</v>
      </c>
      <c r="G55" s="450">
        <f t="shared" si="3"/>
        <v>3.9506069296536177</v>
      </c>
      <c r="H55" s="450">
        <f t="shared" si="3"/>
        <v>3.8866394101842392</v>
      </c>
      <c r="I55" s="450">
        <f t="shared" si="3"/>
        <v>3.8190747893676296</v>
      </c>
      <c r="J55" s="450">
        <f t="shared" si="3"/>
        <v>3.7479130672037901</v>
      </c>
      <c r="K55" s="450">
        <f t="shared" si="3"/>
        <v>3.6731542436927196</v>
      </c>
      <c r="L55" s="450">
        <f t="shared" si="3"/>
        <v>3.5947983188344188</v>
      </c>
      <c r="M55" s="450">
        <f t="shared" si="3"/>
        <v>3.5128452926288873</v>
      </c>
      <c r="N55" s="450">
        <f t="shared" si="3"/>
        <v>3.5139274035469152</v>
      </c>
      <c r="O55" s="450">
        <f t="shared" si="3"/>
        <v>3.5139274035469152</v>
      </c>
      <c r="P55" s="450">
        <f t="shared" si="3"/>
        <v>3.6738961494187659</v>
      </c>
      <c r="Q55" s="450">
        <f t="shared" si="3"/>
        <v>3.7485022896994642</v>
      </c>
      <c r="R55" s="450">
        <f t="shared" si="3"/>
        <v>3.8195229415433443</v>
      </c>
      <c r="S55" s="450">
        <f t="shared" si="3"/>
        <v>3.8869581049504065</v>
      </c>
      <c r="T55" s="450">
        <f t="shared" si="3"/>
        <v>3.9508077799206505</v>
      </c>
      <c r="U55" s="450">
        <f t="shared" si="3"/>
        <v>4.011071966454077</v>
      </c>
      <c r="V55" s="450">
        <f t="shared" si="3"/>
        <v>4.0677506645506849</v>
      </c>
      <c r="W55" s="450">
        <f t="shared" si="3"/>
        <v>4.0677506645506849</v>
      </c>
      <c r="X55" s="451"/>
      <c r="Y55" s="383"/>
      <c r="Z55" s="373"/>
      <c r="AA55" s="89"/>
      <c r="AB55" s="89"/>
      <c r="AF55" s="452">
        <v>2.13</v>
      </c>
      <c r="AG55" s="85" t="s">
        <v>880</v>
      </c>
    </row>
    <row r="56" spans="1:33">
      <c r="B56" s="95" t="s">
        <v>881</v>
      </c>
      <c r="C56" s="451">
        <f>(C52/1000)^2/$AE56^2</f>
        <v>0</v>
      </c>
      <c r="D56" s="451">
        <f t="shared" ref="D56:W56" si="4">(D52/1000)^2/$AE56^2</f>
        <v>0.85207100591715967</v>
      </c>
      <c r="E56" s="451">
        <f t="shared" si="4"/>
        <v>0.85207100591715967</v>
      </c>
      <c r="F56" s="451">
        <f t="shared" si="4"/>
        <v>1.0860044748520707</v>
      </c>
      <c r="G56" s="451">
        <f t="shared" si="4"/>
        <v>1.3482782544378697</v>
      </c>
      <c r="H56" s="451">
        <f t="shared" si="4"/>
        <v>1.638892344674556</v>
      </c>
      <c r="I56" s="451">
        <f t="shared" si="4"/>
        <v>1.9578467455621298</v>
      </c>
      <c r="J56" s="451">
        <f t="shared" si="4"/>
        <v>2.3051414571005915</v>
      </c>
      <c r="K56" s="451">
        <f t="shared" si="4"/>
        <v>2.68077647928994</v>
      </c>
      <c r="L56" s="451">
        <f t="shared" si="4"/>
        <v>3.0847518121301767</v>
      </c>
      <c r="M56" s="451">
        <f t="shared" si="4"/>
        <v>3.517067455621302</v>
      </c>
      <c r="N56" s="451">
        <f t="shared" si="4"/>
        <v>3.5112994082840228</v>
      </c>
      <c r="O56" s="451">
        <f t="shared" si="4"/>
        <v>3.5112994082840228</v>
      </c>
      <c r="P56" s="451">
        <f t="shared" si="4"/>
        <v>2.6769994082840229</v>
      </c>
      <c r="Q56" s="451">
        <f t="shared" si="4"/>
        <v>2.3022226331360942</v>
      </c>
      <c r="R56" s="451">
        <f t="shared" si="4"/>
        <v>1.9556946745562129</v>
      </c>
      <c r="S56" s="451">
        <f t="shared" si="4"/>
        <v>1.6374155325443784</v>
      </c>
      <c r="T56" s="451">
        <f t="shared" si="4"/>
        <v>1.3473852071005916</v>
      </c>
      <c r="U56" s="451">
        <f t="shared" si="4"/>
        <v>1.085603698224852</v>
      </c>
      <c r="V56" s="451">
        <f t="shared" si="4"/>
        <v>0.85207100591715967</v>
      </c>
      <c r="W56" s="451">
        <f t="shared" si="4"/>
        <v>0.85207100591715967</v>
      </c>
      <c r="X56" s="451"/>
      <c r="Y56" s="383"/>
      <c r="Z56" s="373"/>
      <c r="AA56" s="89"/>
      <c r="AB56" s="89"/>
      <c r="AC56" s="453">
        <v>1</v>
      </c>
      <c r="AD56" s="380"/>
      <c r="AE56" s="452">
        <v>0.65</v>
      </c>
      <c r="AG56" s="85" t="s">
        <v>882</v>
      </c>
    </row>
    <row r="57" spans="1:33">
      <c r="B57" s="95" t="s">
        <v>883</v>
      </c>
      <c r="C57" s="451">
        <f t="shared" ref="C57:W57" si="5">$AC56</f>
        <v>1</v>
      </c>
      <c r="D57" s="451">
        <f t="shared" si="5"/>
        <v>1</v>
      </c>
      <c r="E57" s="451">
        <f t="shared" si="5"/>
        <v>1</v>
      </c>
      <c r="F57" s="451">
        <f t="shared" si="5"/>
        <v>1</v>
      </c>
      <c r="G57" s="451">
        <f t="shared" si="5"/>
        <v>1</v>
      </c>
      <c r="H57" s="451">
        <f t="shared" si="5"/>
        <v>1</v>
      </c>
      <c r="I57" s="451">
        <f t="shared" si="5"/>
        <v>1</v>
      </c>
      <c r="J57" s="451">
        <f t="shared" si="5"/>
        <v>1</v>
      </c>
      <c r="K57" s="451">
        <f t="shared" si="5"/>
        <v>1</v>
      </c>
      <c r="L57" s="451">
        <f t="shared" si="5"/>
        <v>1</v>
      </c>
      <c r="M57" s="451">
        <f t="shared" si="5"/>
        <v>1</v>
      </c>
      <c r="N57" s="451">
        <f t="shared" si="5"/>
        <v>1</v>
      </c>
      <c r="O57" s="451">
        <f t="shared" si="5"/>
        <v>1</v>
      </c>
      <c r="P57" s="451">
        <f t="shared" si="5"/>
        <v>1</v>
      </c>
      <c r="Q57" s="451">
        <f t="shared" si="5"/>
        <v>1</v>
      </c>
      <c r="R57" s="451">
        <f t="shared" si="5"/>
        <v>1</v>
      </c>
      <c r="S57" s="451">
        <f t="shared" si="5"/>
        <v>1</v>
      </c>
      <c r="T57" s="451">
        <f t="shared" si="5"/>
        <v>1</v>
      </c>
      <c r="U57" s="451">
        <f t="shared" si="5"/>
        <v>1</v>
      </c>
      <c r="V57" s="451">
        <f t="shared" si="5"/>
        <v>1</v>
      </c>
      <c r="W57" s="451">
        <f t="shared" si="5"/>
        <v>1</v>
      </c>
      <c r="X57" s="451"/>
      <c r="Y57" s="383"/>
      <c r="Z57" s="373"/>
      <c r="AA57" s="89"/>
      <c r="AB57" s="89"/>
      <c r="AD57" s="453">
        <v>2.5</v>
      </c>
    </row>
    <row r="58" spans="1:33">
      <c r="B58" s="95" t="s">
        <v>884</v>
      </c>
      <c r="C58" s="451">
        <f t="shared" ref="C58:W58" si="6">$AD57</f>
        <v>2.5</v>
      </c>
      <c r="D58" s="451">
        <f t="shared" si="6"/>
        <v>2.5</v>
      </c>
      <c r="E58" s="451">
        <f t="shared" si="6"/>
        <v>2.5</v>
      </c>
      <c r="F58" s="451">
        <f t="shared" si="6"/>
        <v>2.5</v>
      </c>
      <c r="G58" s="451">
        <f t="shared" si="6"/>
        <v>2.5</v>
      </c>
      <c r="H58" s="451">
        <f t="shared" si="6"/>
        <v>2.5</v>
      </c>
      <c r="I58" s="451">
        <f t="shared" si="6"/>
        <v>2.5</v>
      </c>
      <c r="J58" s="451">
        <f t="shared" si="6"/>
        <v>2.5</v>
      </c>
      <c r="K58" s="451">
        <f t="shared" si="6"/>
        <v>2.5</v>
      </c>
      <c r="L58" s="451">
        <f t="shared" si="6"/>
        <v>2.5</v>
      </c>
      <c r="M58" s="451">
        <f t="shared" si="6"/>
        <v>2.5</v>
      </c>
      <c r="N58" s="451">
        <f t="shared" si="6"/>
        <v>2.5</v>
      </c>
      <c r="O58" s="451">
        <f t="shared" si="6"/>
        <v>2.5</v>
      </c>
      <c r="P58" s="451">
        <f t="shared" si="6"/>
        <v>2.5</v>
      </c>
      <c r="Q58" s="451">
        <f t="shared" si="6"/>
        <v>2.5</v>
      </c>
      <c r="R58" s="451">
        <f t="shared" si="6"/>
        <v>2.5</v>
      </c>
      <c r="S58" s="451">
        <f t="shared" si="6"/>
        <v>2.5</v>
      </c>
      <c r="T58" s="451">
        <f t="shared" si="6"/>
        <v>2.5</v>
      </c>
      <c r="U58" s="451">
        <f t="shared" si="6"/>
        <v>2.5</v>
      </c>
      <c r="V58" s="451">
        <f t="shared" si="6"/>
        <v>2.5</v>
      </c>
      <c r="W58" s="451">
        <f t="shared" si="6"/>
        <v>2.5</v>
      </c>
      <c r="X58" s="451"/>
      <c r="Y58" s="383"/>
      <c r="Z58" s="373"/>
      <c r="AA58" s="89"/>
      <c r="AB58" s="89"/>
    </row>
    <row r="59" spans="1:33" s="67" customFormat="1" ht="12" customHeight="1">
      <c r="B59" s="454" t="s">
        <v>885</v>
      </c>
      <c r="C59" s="67">
        <f t="shared" ref="C59:M59" si="7">IF(AND(C56&gt;10000-2,C55&lt;C58),C55,IF(C55&gt;C58,C58,IF(C58&gt;C56,C55,IF(C55&gt;C56,C55,IF(C56&gt;C57,C56,C57)))))</f>
        <v>2.5</v>
      </c>
      <c r="D59" s="67">
        <f t="shared" si="7"/>
        <v>2.5</v>
      </c>
      <c r="E59" s="67">
        <f t="shared" si="7"/>
        <v>2.5</v>
      </c>
      <c r="F59" s="67">
        <f t="shared" si="7"/>
        <v>2.5</v>
      </c>
      <c r="G59" s="67">
        <f t="shared" si="7"/>
        <v>2.5</v>
      </c>
      <c r="H59" s="67">
        <f t="shared" si="7"/>
        <v>2.5</v>
      </c>
      <c r="I59" s="67">
        <f t="shared" si="7"/>
        <v>2.5</v>
      </c>
      <c r="J59" s="67">
        <f t="shared" si="7"/>
        <v>2.5</v>
      </c>
      <c r="K59" s="67">
        <f t="shared" si="7"/>
        <v>2.5</v>
      </c>
      <c r="L59" s="67">
        <f t="shared" si="7"/>
        <v>2.5</v>
      </c>
      <c r="M59" s="67">
        <f t="shared" si="7"/>
        <v>2.5</v>
      </c>
      <c r="N59" s="455">
        <f t="shared" ref="N59:V59" si="8">IF(AND(N56&gt;10000-2,N55&lt;N58),M55,IF(AND(N56&lt;N58,N56&gt;N57),N56,IF(N56&gt;N58,N58,N57)))</f>
        <v>2.5</v>
      </c>
      <c r="O59" s="455">
        <f t="shared" si="8"/>
        <v>2.5</v>
      </c>
      <c r="P59" s="455">
        <f t="shared" si="8"/>
        <v>2.5</v>
      </c>
      <c r="Q59" s="455">
        <f t="shared" si="8"/>
        <v>2.3022226331360942</v>
      </c>
      <c r="R59" s="455">
        <f t="shared" si="8"/>
        <v>1.9556946745562129</v>
      </c>
      <c r="S59" s="455">
        <f t="shared" si="8"/>
        <v>1.6374155325443784</v>
      </c>
      <c r="T59" s="455">
        <f t="shared" si="8"/>
        <v>1.3473852071005916</v>
      </c>
      <c r="U59" s="455">
        <f t="shared" si="8"/>
        <v>1.085603698224852</v>
      </c>
      <c r="V59" s="455">
        <f t="shared" si="8"/>
        <v>1</v>
      </c>
      <c r="W59" s="132">
        <f>V59</f>
        <v>1</v>
      </c>
      <c r="X59" s="132">
        <f>W59</f>
        <v>1</v>
      </c>
      <c r="Y59" s="379"/>
      <c r="Z59" s="132"/>
      <c r="AA59" s="132"/>
      <c r="AB59" s="132"/>
      <c r="AC59" s="380"/>
      <c r="AD59" s="380"/>
      <c r="AG59" s="39"/>
    </row>
    <row r="60" spans="1:33">
      <c r="B60" s="449" t="s">
        <v>886</v>
      </c>
      <c r="C60" s="67">
        <f>C59-0.5</f>
        <v>2</v>
      </c>
      <c r="D60" s="67">
        <f t="shared" ref="D60:X60" si="9">D59-0.5</f>
        <v>2</v>
      </c>
      <c r="E60" s="67">
        <f t="shared" si="9"/>
        <v>2</v>
      </c>
      <c r="F60" s="67">
        <f t="shared" si="9"/>
        <v>2</v>
      </c>
      <c r="G60" s="67">
        <f t="shared" si="9"/>
        <v>2</v>
      </c>
      <c r="H60" s="67">
        <f t="shared" si="9"/>
        <v>2</v>
      </c>
      <c r="I60" s="67">
        <f t="shared" si="9"/>
        <v>2</v>
      </c>
      <c r="J60" s="67">
        <f t="shared" si="9"/>
        <v>2</v>
      </c>
      <c r="K60" s="67">
        <f t="shared" si="9"/>
        <v>2</v>
      </c>
      <c r="L60" s="67">
        <f t="shared" si="9"/>
        <v>2</v>
      </c>
      <c r="M60" s="67">
        <f t="shared" si="9"/>
        <v>2</v>
      </c>
      <c r="N60" s="67">
        <f t="shared" si="9"/>
        <v>2</v>
      </c>
      <c r="O60" s="67">
        <f t="shared" si="9"/>
        <v>2</v>
      </c>
      <c r="P60" s="67">
        <f t="shared" si="9"/>
        <v>2</v>
      </c>
      <c r="Q60" s="67">
        <f t="shared" si="9"/>
        <v>1.8022226331360942</v>
      </c>
      <c r="R60" s="67">
        <f t="shared" si="9"/>
        <v>1.4556946745562129</v>
      </c>
      <c r="S60" s="67">
        <f t="shared" si="9"/>
        <v>1.1374155325443784</v>
      </c>
      <c r="T60" s="67">
        <f t="shared" si="9"/>
        <v>0.84738520710059162</v>
      </c>
      <c r="U60" s="67">
        <f t="shared" si="9"/>
        <v>0.58560369822485203</v>
      </c>
      <c r="V60" s="67">
        <f t="shared" si="9"/>
        <v>0.5</v>
      </c>
      <c r="W60" s="67">
        <f t="shared" si="9"/>
        <v>0.5</v>
      </c>
      <c r="X60" s="67">
        <f t="shared" si="9"/>
        <v>0.5</v>
      </c>
      <c r="Y60" s="369"/>
      <c r="Z60" s="91"/>
      <c r="AA60" s="91"/>
      <c r="AB60" s="91"/>
      <c r="AC60" s="91"/>
      <c r="AD60" s="91"/>
    </row>
    <row r="61" spans="1:33">
      <c r="B61" s="85"/>
      <c r="C61" s="85"/>
      <c r="M61" s="89"/>
      <c r="N61" s="89"/>
      <c r="O61" s="89"/>
      <c r="P61" s="89"/>
      <c r="Q61" s="89"/>
      <c r="R61" s="89"/>
      <c r="S61" s="89"/>
      <c r="T61" s="89"/>
      <c r="U61" s="89"/>
      <c r="V61" s="89"/>
      <c r="W61" s="89"/>
      <c r="X61" s="89"/>
      <c r="Y61" s="369"/>
      <c r="Z61" s="91"/>
      <c r="AA61" s="91"/>
      <c r="AB61" s="91"/>
      <c r="AC61" s="91"/>
      <c r="AD61" s="91"/>
    </row>
    <row r="62" spans="1:33">
      <c r="A62" s="95" t="s">
        <v>887</v>
      </c>
      <c r="B62" s="95" t="s">
        <v>787</v>
      </c>
      <c r="C62" s="39">
        <v>0</v>
      </c>
      <c r="D62" s="444">
        <v>600</v>
      </c>
      <c r="E62" s="89">
        <f>D62</f>
        <v>600</v>
      </c>
      <c r="F62" s="89">
        <f t="shared" ref="F62:L62" si="10">$E62+($M62-$E62)/8*F$232</f>
        <v>878.125</v>
      </c>
      <c r="G62" s="89">
        <f t="shared" si="10"/>
        <v>1156.25</v>
      </c>
      <c r="H62" s="89">
        <f t="shared" si="10"/>
        <v>1434.375</v>
      </c>
      <c r="I62" s="89">
        <f t="shared" si="10"/>
        <v>1712.5</v>
      </c>
      <c r="J62" s="89">
        <f t="shared" si="10"/>
        <v>1990.625</v>
      </c>
      <c r="K62" s="89">
        <f t="shared" si="10"/>
        <v>2268.75</v>
      </c>
      <c r="L62" s="89">
        <f t="shared" si="10"/>
        <v>2546.875</v>
      </c>
      <c r="M62" s="445">
        <v>2825</v>
      </c>
      <c r="N62" s="446">
        <f>M62-1</f>
        <v>2824</v>
      </c>
      <c r="O62" s="373">
        <f>N62</f>
        <v>2824</v>
      </c>
      <c r="P62" s="89">
        <f t="shared" ref="P62:V62" si="11">$O62+($W62-$O62)/8*P$232</f>
        <v>2268</v>
      </c>
      <c r="Q62" s="89">
        <f t="shared" si="11"/>
        <v>1990</v>
      </c>
      <c r="R62" s="89">
        <f t="shared" si="11"/>
        <v>1712</v>
      </c>
      <c r="S62" s="89">
        <f t="shared" si="11"/>
        <v>1434</v>
      </c>
      <c r="T62" s="89">
        <f t="shared" si="11"/>
        <v>1156</v>
      </c>
      <c r="U62" s="89">
        <f t="shared" si="11"/>
        <v>878</v>
      </c>
      <c r="V62" s="89">
        <f t="shared" si="11"/>
        <v>600</v>
      </c>
      <c r="W62" s="446">
        <f>D62</f>
        <v>600</v>
      </c>
      <c r="X62" s="89">
        <v>0</v>
      </c>
      <c r="Y62" s="383">
        <f>D62</f>
        <v>600</v>
      </c>
      <c r="Z62" s="373">
        <f>M62</f>
        <v>2825</v>
      </c>
      <c r="AA62" s="447">
        <f>AC66-0.5</f>
        <v>0.5</v>
      </c>
      <c r="AB62" s="447">
        <f>AD67-0.5</f>
        <v>2</v>
      </c>
    </row>
    <row r="63" spans="1:33">
      <c r="A63" s="95"/>
      <c r="B63" s="370" t="s">
        <v>877</v>
      </c>
      <c r="C63" s="39">
        <f>IF(C66&gt;C68,$AE$56*1000*$AD$57^0.5,C62)</f>
        <v>0</v>
      </c>
      <c r="D63" s="39">
        <f t="shared" ref="D63:W63" si="12">IF(D66&gt;D68,$AE$56*1000*$AD$57^0.5*$AG63,D62*$AG63)</f>
        <v>600</v>
      </c>
      <c r="E63" s="39">
        <f t="shared" si="12"/>
        <v>600</v>
      </c>
      <c r="F63" s="39">
        <f t="shared" si="12"/>
        <v>878.125</v>
      </c>
      <c r="G63" s="39">
        <f t="shared" si="12"/>
        <v>1156.25</v>
      </c>
      <c r="H63" s="39">
        <f t="shared" si="12"/>
        <v>1434.375</v>
      </c>
      <c r="I63" s="39">
        <f t="shared" si="12"/>
        <v>1712.5</v>
      </c>
      <c r="J63" s="39">
        <f t="shared" si="12"/>
        <v>1990.625</v>
      </c>
      <c r="K63" s="39">
        <f t="shared" si="12"/>
        <v>2268.75</v>
      </c>
      <c r="L63" s="39">
        <f t="shared" si="12"/>
        <v>2546.875</v>
      </c>
      <c r="M63" s="39">
        <f t="shared" si="12"/>
        <v>2825</v>
      </c>
      <c r="N63" s="39">
        <f t="shared" si="12"/>
        <v>2824</v>
      </c>
      <c r="O63" s="39">
        <f t="shared" si="12"/>
        <v>2824</v>
      </c>
      <c r="P63" s="39">
        <f t="shared" si="12"/>
        <v>2268</v>
      </c>
      <c r="Q63" s="39">
        <f t="shared" si="12"/>
        <v>1990</v>
      </c>
      <c r="R63" s="39">
        <f t="shared" si="12"/>
        <v>1712</v>
      </c>
      <c r="S63" s="39">
        <f t="shared" si="12"/>
        <v>1434</v>
      </c>
      <c r="T63" s="39">
        <f t="shared" si="12"/>
        <v>1156</v>
      </c>
      <c r="U63" s="39">
        <f t="shared" si="12"/>
        <v>878</v>
      </c>
      <c r="V63" s="39">
        <f t="shared" si="12"/>
        <v>600</v>
      </c>
      <c r="W63" s="39">
        <f t="shared" si="12"/>
        <v>600</v>
      </c>
      <c r="X63" s="89">
        <v>0</v>
      </c>
      <c r="Y63" s="383"/>
      <c r="Z63" s="373"/>
      <c r="AA63" s="89"/>
      <c r="AB63" s="89"/>
      <c r="AG63" s="448">
        <v>1</v>
      </c>
    </row>
    <row r="64" spans="1:33">
      <c r="B64" s="449" t="s">
        <v>878</v>
      </c>
      <c r="C64" s="71">
        <f>C63/'Selection pman-p0-qN'!$P$24</f>
        <v>0</v>
      </c>
      <c r="D64" s="71">
        <f>D63/'Selection pman-p0-qN'!$P$24</f>
        <v>1562.5</v>
      </c>
      <c r="E64" s="71">
        <f>E63/'Selection pman-p0-qN'!$P$24</f>
        <v>1562.5</v>
      </c>
      <c r="F64" s="71">
        <f>F63/'Selection pman-p0-qN'!$P$24</f>
        <v>2286.7838541666665</v>
      </c>
      <c r="G64" s="71">
        <f>G63/'Selection pman-p0-qN'!$P$24</f>
        <v>3011.0677083333335</v>
      </c>
      <c r="H64" s="71">
        <f>H63/'Selection pman-p0-qN'!$P$24</f>
        <v>3735.3515625</v>
      </c>
      <c r="I64" s="71">
        <f>I63/'Selection pman-p0-qN'!$P$24</f>
        <v>4459.635416666667</v>
      </c>
      <c r="J64" s="71">
        <f>J63/'Selection pman-p0-qN'!$P$24</f>
        <v>5183.919270833333</v>
      </c>
      <c r="K64" s="71">
        <f>K63/'Selection pman-p0-qN'!$P$24</f>
        <v>5908.203125</v>
      </c>
      <c r="L64" s="71">
        <f>L63/'Selection pman-p0-qN'!$P$24</f>
        <v>6632.486979166667</v>
      </c>
      <c r="M64" s="71">
        <f>M63/'Selection pman-p0-qN'!$P$24</f>
        <v>7356.770833333333</v>
      </c>
      <c r="N64" s="71">
        <f>N63/'Selection pman-p0-qN'!$P$24</f>
        <v>7354.1666666666661</v>
      </c>
      <c r="O64" s="71">
        <f>O63/'Selection pman-p0-qN'!$P$24</f>
        <v>7354.1666666666661</v>
      </c>
      <c r="P64" s="71">
        <f>P63/'Selection pman-p0-qN'!$P$24</f>
        <v>5906.25</v>
      </c>
      <c r="Q64" s="71">
        <f>Q63/'Selection pman-p0-qN'!$P$24</f>
        <v>5182.291666666667</v>
      </c>
      <c r="R64" s="71">
        <f>R63/'Selection pman-p0-qN'!$P$24</f>
        <v>4458.333333333333</v>
      </c>
      <c r="S64" s="71">
        <f>S63/'Selection pman-p0-qN'!$P$24</f>
        <v>3734.375</v>
      </c>
      <c r="T64" s="71">
        <f>T63/'Selection pman-p0-qN'!$P$24</f>
        <v>3010.4166666666665</v>
      </c>
      <c r="U64" s="71">
        <f>U63/'Selection pman-p0-qN'!$P$24</f>
        <v>2286.4583333333335</v>
      </c>
      <c r="V64" s="71">
        <f>V63/'Selection pman-p0-qN'!$P$24</f>
        <v>1562.5</v>
      </c>
      <c r="W64" s="71">
        <f>W63/'Selection pman-p0-qN'!$P$24</f>
        <v>1562.5</v>
      </c>
      <c r="X64" s="71">
        <f>X63/'Selection pman-p0-qN'!$P$24</f>
        <v>0</v>
      </c>
      <c r="Y64" s="369"/>
      <c r="Z64" s="91"/>
      <c r="AA64" s="91"/>
      <c r="AB64" s="91"/>
      <c r="AC64" s="91"/>
      <c r="AD64" s="91"/>
    </row>
    <row r="65" spans="1:33">
      <c r="B65" s="95" t="s">
        <v>879</v>
      </c>
      <c r="C65" s="450">
        <f>-8*10^(-8)*C62^2-0.00035*C62+3.8859-(C62/1000)^2/$AF65^2+0.5</f>
        <v>4.3858999999999995</v>
      </c>
      <c r="D65" s="450">
        <f t="shared" ref="D65:W65" si="13">-8*10^(-8)*D62^2-0.00035*D62+3.8859-(D62/1000)^2/$AF65^2+0.5</f>
        <v>4.0677506645506849</v>
      </c>
      <c r="E65" s="450">
        <f t="shared" si="13"/>
        <v>4.0677506645506849</v>
      </c>
      <c r="F65" s="450">
        <f t="shared" si="13"/>
        <v>3.8469053256181254</v>
      </c>
      <c r="G65" s="450">
        <f t="shared" si="13"/>
        <v>3.5795837016327225</v>
      </c>
      <c r="H65" s="450">
        <f t="shared" si="13"/>
        <v>3.2657857925944751</v>
      </c>
      <c r="I65" s="450">
        <f t="shared" si="13"/>
        <v>2.905511598503383</v>
      </c>
      <c r="J65" s="450">
        <f t="shared" si="13"/>
        <v>2.4987611193594463</v>
      </c>
      <c r="K65" s="450">
        <f t="shared" si="13"/>
        <v>2.0455343551626659</v>
      </c>
      <c r="L65" s="450">
        <f t="shared" si="13"/>
        <v>1.5458313059130406</v>
      </c>
      <c r="M65" s="450">
        <f t="shared" si="13"/>
        <v>0.99965197161057073</v>
      </c>
      <c r="N65" s="450">
        <f t="shared" si="13"/>
        <v>1.0016990149326632</v>
      </c>
      <c r="O65" s="450">
        <f t="shared" si="13"/>
        <v>1.0016990149326632</v>
      </c>
      <c r="P65" s="450">
        <f t="shared" si="13"/>
        <v>2.0468190353659983</v>
      </c>
      <c r="Q65" s="450">
        <f t="shared" si="13"/>
        <v>2.4997272685754588</v>
      </c>
      <c r="R65" s="450">
        <f t="shared" si="13"/>
        <v>2.9062009837801144</v>
      </c>
      <c r="S65" s="450">
        <f t="shared" si="13"/>
        <v>3.2662401809799642</v>
      </c>
      <c r="T65" s="450">
        <f t="shared" si="13"/>
        <v>3.579844860175009</v>
      </c>
      <c r="U65" s="450">
        <f t="shared" si="13"/>
        <v>3.847015021365249</v>
      </c>
      <c r="V65" s="450">
        <f t="shared" si="13"/>
        <v>4.0677506645506849</v>
      </c>
      <c r="W65" s="450">
        <f t="shared" si="13"/>
        <v>4.0677506645506849</v>
      </c>
      <c r="X65" s="451"/>
      <c r="Y65" s="383"/>
      <c r="Z65" s="373"/>
      <c r="AA65" s="89"/>
      <c r="AB65" s="89"/>
      <c r="AF65" s="452">
        <v>2.13</v>
      </c>
      <c r="AG65" s="85" t="s">
        <v>880</v>
      </c>
    </row>
    <row r="66" spans="1:33">
      <c r="B66" s="95" t="s">
        <v>881</v>
      </c>
      <c r="C66" s="451">
        <f>(C62/1000)^2/$AE66^2</f>
        <v>0</v>
      </c>
      <c r="D66" s="451">
        <f t="shared" ref="D66:W66" si="14">(D62/1000)^2/$AE66^2</f>
        <v>2.7777777777777776E-2</v>
      </c>
      <c r="E66" s="451">
        <f t="shared" si="14"/>
        <v>2.7777777777777776E-2</v>
      </c>
      <c r="F66" s="451">
        <f t="shared" si="14"/>
        <v>5.9498728057484573E-2</v>
      </c>
      <c r="G66" s="451">
        <f t="shared" si="14"/>
        <v>0.1031569492669753</v>
      </c>
      <c r="H66" s="451">
        <f t="shared" si="14"/>
        <v>0.15875244140624997</v>
      </c>
      <c r="I66" s="451">
        <f t="shared" si="14"/>
        <v>0.22628520447530859</v>
      </c>
      <c r="J66" s="451">
        <f t="shared" si="14"/>
        <v>0.30575523847415126</v>
      </c>
      <c r="K66" s="451">
        <f t="shared" si="14"/>
        <v>0.39716254340277768</v>
      </c>
      <c r="L66" s="451">
        <f t="shared" si="14"/>
        <v>0.50050711926118829</v>
      </c>
      <c r="M66" s="451">
        <f t="shared" si="14"/>
        <v>0.61578896604938271</v>
      </c>
      <c r="N66" s="451">
        <f t="shared" si="14"/>
        <v>0.61535308641975295</v>
      </c>
      <c r="O66" s="451">
        <f t="shared" si="14"/>
        <v>0.61535308641975295</v>
      </c>
      <c r="P66" s="451">
        <f t="shared" si="14"/>
        <v>0.39689999999999992</v>
      </c>
      <c r="Q66" s="451">
        <f t="shared" si="14"/>
        <v>0.30556327160493829</v>
      </c>
      <c r="R66" s="451">
        <f t="shared" si="14"/>
        <v>0.22615308641975304</v>
      </c>
      <c r="S66" s="451">
        <f t="shared" si="14"/>
        <v>0.15866944444444442</v>
      </c>
      <c r="T66" s="451">
        <f t="shared" si="14"/>
        <v>0.10311234567901231</v>
      </c>
      <c r="U66" s="451">
        <f t="shared" si="14"/>
        <v>5.9481790123456786E-2</v>
      </c>
      <c r="V66" s="451">
        <f t="shared" si="14"/>
        <v>2.7777777777777776E-2</v>
      </c>
      <c r="W66" s="451">
        <f t="shared" si="14"/>
        <v>2.7777777777777776E-2</v>
      </c>
      <c r="X66" s="451"/>
      <c r="Y66" s="383"/>
      <c r="Z66" s="373"/>
      <c r="AA66" s="89"/>
      <c r="AB66" s="89"/>
      <c r="AC66" s="453">
        <v>1</v>
      </c>
      <c r="AD66" s="380"/>
      <c r="AE66" s="452">
        <v>3.6</v>
      </c>
      <c r="AG66" s="85" t="s">
        <v>888</v>
      </c>
    </row>
    <row r="67" spans="1:33">
      <c r="B67" s="95" t="s">
        <v>883</v>
      </c>
      <c r="C67" s="451">
        <f t="shared" ref="C67:W67" si="15">$AC66</f>
        <v>1</v>
      </c>
      <c r="D67" s="451">
        <f t="shared" si="15"/>
        <v>1</v>
      </c>
      <c r="E67" s="451">
        <f t="shared" si="15"/>
        <v>1</v>
      </c>
      <c r="F67" s="451">
        <f t="shared" si="15"/>
        <v>1</v>
      </c>
      <c r="G67" s="451">
        <f t="shared" si="15"/>
        <v>1</v>
      </c>
      <c r="H67" s="451">
        <f t="shared" si="15"/>
        <v>1</v>
      </c>
      <c r="I67" s="451">
        <f t="shared" si="15"/>
        <v>1</v>
      </c>
      <c r="J67" s="451">
        <f t="shared" si="15"/>
        <v>1</v>
      </c>
      <c r="K67" s="451">
        <f t="shared" si="15"/>
        <v>1</v>
      </c>
      <c r="L67" s="451">
        <f t="shared" si="15"/>
        <v>1</v>
      </c>
      <c r="M67" s="451">
        <f t="shared" si="15"/>
        <v>1</v>
      </c>
      <c r="N67" s="451">
        <f t="shared" si="15"/>
        <v>1</v>
      </c>
      <c r="O67" s="451">
        <f t="shared" si="15"/>
        <v>1</v>
      </c>
      <c r="P67" s="451">
        <f t="shared" si="15"/>
        <v>1</v>
      </c>
      <c r="Q67" s="451">
        <f t="shared" si="15"/>
        <v>1</v>
      </c>
      <c r="R67" s="451">
        <f t="shared" si="15"/>
        <v>1</v>
      </c>
      <c r="S67" s="451">
        <f t="shared" si="15"/>
        <v>1</v>
      </c>
      <c r="T67" s="451">
        <f t="shared" si="15"/>
        <v>1</v>
      </c>
      <c r="U67" s="451">
        <f t="shared" si="15"/>
        <v>1</v>
      </c>
      <c r="V67" s="451">
        <f t="shared" si="15"/>
        <v>1</v>
      </c>
      <c r="W67" s="451">
        <f t="shared" si="15"/>
        <v>1</v>
      </c>
      <c r="X67" s="451"/>
      <c r="Y67" s="383"/>
      <c r="Z67" s="373"/>
      <c r="AA67" s="89"/>
      <c r="AB67" s="89"/>
      <c r="AD67" s="453">
        <v>2.5</v>
      </c>
    </row>
    <row r="68" spans="1:33">
      <c r="B68" s="95" t="s">
        <v>884</v>
      </c>
      <c r="C68" s="451">
        <f t="shared" ref="C68:W68" si="16">$AD67</f>
        <v>2.5</v>
      </c>
      <c r="D68" s="451">
        <f t="shared" si="16"/>
        <v>2.5</v>
      </c>
      <c r="E68" s="451">
        <f t="shared" si="16"/>
        <v>2.5</v>
      </c>
      <c r="F68" s="451">
        <f t="shared" si="16"/>
        <v>2.5</v>
      </c>
      <c r="G68" s="451">
        <f t="shared" si="16"/>
        <v>2.5</v>
      </c>
      <c r="H68" s="451">
        <f t="shared" si="16"/>
        <v>2.5</v>
      </c>
      <c r="I68" s="451">
        <f t="shared" si="16"/>
        <v>2.5</v>
      </c>
      <c r="J68" s="451">
        <f t="shared" si="16"/>
        <v>2.5</v>
      </c>
      <c r="K68" s="451">
        <f t="shared" si="16"/>
        <v>2.5</v>
      </c>
      <c r="L68" s="451">
        <f t="shared" si="16"/>
        <v>2.5</v>
      </c>
      <c r="M68" s="451">
        <f t="shared" si="16"/>
        <v>2.5</v>
      </c>
      <c r="N68" s="451">
        <f t="shared" si="16"/>
        <v>2.5</v>
      </c>
      <c r="O68" s="451">
        <f t="shared" si="16"/>
        <v>2.5</v>
      </c>
      <c r="P68" s="451">
        <f t="shared" si="16"/>
        <v>2.5</v>
      </c>
      <c r="Q68" s="451">
        <f t="shared" si="16"/>
        <v>2.5</v>
      </c>
      <c r="R68" s="451">
        <f t="shared" si="16"/>
        <v>2.5</v>
      </c>
      <c r="S68" s="451">
        <f t="shared" si="16"/>
        <v>2.5</v>
      </c>
      <c r="T68" s="451">
        <f t="shared" si="16"/>
        <v>2.5</v>
      </c>
      <c r="U68" s="451">
        <f t="shared" si="16"/>
        <v>2.5</v>
      </c>
      <c r="V68" s="451">
        <f t="shared" si="16"/>
        <v>2.5</v>
      </c>
      <c r="W68" s="451">
        <f t="shared" si="16"/>
        <v>2.5</v>
      </c>
      <c r="X68" s="451"/>
      <c r="Y68" s="383"/>
      <c r="Z68" s="373"/>
      <c r="AA68" s="89"/>
      <c r="AB68" s="89"/>
    </row>
    <row r="69" spans="1:33" s="67" customFormat="1" ht="12" customHeight="1">
      <c r="B69" s="454" t="s">
        <v>885</v>
      </c>
      <c r="C69" s="67">
        <f t="shared" ref="C69:M69" si="17">IF(AND(C66&gt;10000-2,C65&lt;C68),C65,IF(C65&gt;C68,C68,IF(C68&gt;C66,C65,IF(C65&gt;C66,C65,IF(C66&gt;C67,C66,C67)))))</f>
        <v>2.5</v>
      </c>
      <c r="D69" s="67">
        <f t="shared" si="17"/>
        <v>2.5</v>
      </c>
      <c r="E69" s="67">
        <f t="shared" si="17"/>
        <v>2.5</v>
      </c>
      <c r="F69" s="67">
        <f t="shared" si="17"/>
        <v>2.5</v>
      </c>
      <c r="G69" s="67">
        <f t="shared" si="17"/>
        <v>2.5</v>
      </c>
      <c r="H69" s="67">
        <f t="shared" si="17"/>
        <v>2.5</v>
      </c>
      <c r="I69" s="67">
        <f t="shared" si="17"/>
        <v>2.5</v>
      </c>
      <c r="J69" s="67">
        <f t="shared" si="17"/>
        <v>2.4987611193594463</v>
      </c>
      <c r="K69" s="67">
        <f t="shared" si="17"/>
        <v>2.0455343551626659</v>
      </c>
      <c r="L69" s="67">
        <f t="shared" si="17"/>
        <v>1.5458313059130406</v>
      </c>
      <c r="M69" s="67">
        <f t="shared" si="17"/>
        <v>0.99965197161057073</v>
      </c>
      <c r="N69" s="455">
        <f t="shared" ref="N69:V69" si="18">IF(AND(N66&gt;10000-2,N65&lt;N68),M65,IF(AND(N66&lt;N68,N66&gt;N67),N66,IF(N66&gt;N68,N68,N67)))</f>
        <v>1</v>
      </c>
      <c r="O69" s="455">
        <f t="shared" si="18"/>
        <v>1</v>
      </c>
      <c r="P69" s="455">
        <f t="shared" si="18"/>
        <v>1</v>
      </c>
      <c r="Q69" s="455">
        <f t="shared" si="18"/>
        <v>1</v>
      </c>
      <c r="R69" s="455">
        <f t="shared" si="18"/>
        <v>1</v>
      </c>
      <c r="S69" s="455">
        <f t="shared" si="18"/>
        <v>1</v>
      </c>
      <c r="T69" s="455">
        <f t="shared" si="18"/>
        <v>1</v>
      </c>
      <c r="U69" s="455">
        <f t="shared" si="18"/>
        <v>1</v>
      </c>
      <c r="V69" s="455">
        <f t="shared" si="18"/>
        <v>1</v>
      </c>
      <c r="W69" s="132">
        <f>V69</f>
        <v>1</v>
      </c>
      <c r="X69" s="132">
        <f>W69</f>
        <v>1</v>
      </c>
      <c r="Y69" s="379"/>
      <c r="Z69" s="132"/>
      <c r="AA69" s="132"/>
      <c r="AB69" s="132"/>
      <c r="AC69" s="380"/>
      <c r="AD69" s="380"/>
      <c r="AG69" s="39"/>
    </row>
    <row r="70" spans="1:33">
      <c r="B70" s="449" t="s">
        <v>886</v>
      </c>
      <c r="C70" s="67">
        <f t="shared" ref="C70:X70" si="19">C69-0.5</f>
        <v>2</v>
      </c>
      <c r="D70" s="67">
        <f t="shared" si="19"/>
        <v>2</v>
      </c>
      <c r="E70" s="67">
        <f t="shared" si="19"/>
        <v>2</v>
      </c>
      <c r="F70" s="67">
        <f t="shared" si="19"/>
        <v>2</v>
      </c>
      <c r="G70" s="67">
        <f t="shared" si="19"/>
        <v>2</v>
      </c>
      <c r="H70" s="67">
        <f t="shared" si="19"/>
        <v>2</v>
      </c>
      <c r="I70" s="67">
        <f t="shared" si="19"/>
        <v>2</v>
      </c>
      <c r="J70" s="67">
        <f t="shared" si="19"/>
        <v>1.9987611193594463</v>
      </c>
      <c r="K70" s="67">
        <f t="shared" si="19"/>
        <v>1.5455343551626659</v>
      </c>
      <c r="L70" s="67">
        <f t="shared" si="19"/>
        <v>1.0458313059130406</v>
      </c>
      <c r="M70" s="67">
        <f t="shared" si="19"/>
        <v>0.49965197161057073</v>
      </c>
      <c r="N70" s="67">
        <f t="shared" si="19"/>
        <v>0.5</v>
      </c>
      <c r="O70" s="67">
        <f t="shared" si="19"/>
        <v>0.5</v>
      </c>
      <c r="P70" s="67">
        <f t="shared" si="19"/>
        <v>0.5</v>
      </c>
      <c r="Q70" s="67">
        <f t="shared" si="19"/>
        <v>0.5</v>
      </c>
      <c r="R70" s="67">
        <f t="shared" si="19"/>
        <v>0.5</v>
      </c>
      <c r="S70" s="67">
        <f t="shared" si="19"/>
        <v>0.5</v>
      </c>
      <c r="T70" s="67">
        <f t="shared" si="19"/>
        <v>0.5</v>
      </c>
      <c r="U70" s="67">
        <f t="shared" si="19"/>
        <v>0.5</v>
      </c>
      <c r="V70" s="67">
        <f t="shared" si="19"/>
        <v>0.5</v>
      </c>
      <c r="W70" s="67">
        <f t="shared" si="19"/>
        <v>0.5</v>
      </c>
      <c r="X70" s="67">
        <f t="shared" si="19"/>
        <v>0.5</v>
      </c>
      <c r="Y70" s="369"/>
      <c r="Z70" s="91"/>
      <c r="AA70" s="91"/>
      <c r="AB70" s="91"/>
      <c r="AC70" s="91"/>
      <c r="AD70" s="91"/>
    </row>
    <row r="71" spans="1:33">
      <c r="B71" s="85"/>
      <c r="C71" s="85"/>
      <c r="M71" s="89"/>
      <c r="N71" s="89"/>
      <c r="O71" s="89"/>
      <c r="P71" s="89"/>
      <c r="Q71" s="89"/>
      <c r="R71" s="89"/>
      <c r="S71" s="89"/>
      <c r="T71" s="89"/>
      <c r="U71" s="89"/>
      <c r="V71" s="89"/>
      <c r="W71" s="89"/>
      <c r="X71" s="89"/>
      <c r="Y71" s="369"/>
      <c r="Z71" s="91"/>
      <c r="AA71" s="91"/>
      <c r="AB71" s="91"/>
      <c r="AC71" s="91"/>
      <c r="AD71" s="91"/>
    </row>
    <row r="72" spans="1:33">
      <c r="A72" s="95" t="s">
        <v>889</v>
      </c>
      <c r="B72" s="95" t="s">
        <v>787</v>
      </c>
      <c r="C72" s="39">
        <v>0</v>
      </c>
      <c r="D72" s="444">
        <v>600</v>
      </c>
      <c r="E72" s="89">
        <f>D72</f>
        <v>600</v>
      </c>
      <c r="F72" s="89">
        <f t="shared" ref="F72:L72" si="20">$E72+($M72-$E72)/8*F$232</f>
        <v>1038.625</v>
      </c>
      <c r="G72" s="89">
        <f t="shared" si="20"/>
        <v>1477.25</v>
      </c>
      <c r="H72" s="89">
        <f t="shared" si="20"/>
        <v>1915.875</v>
      </c>
      <c r="I72" s="89">
        <f t="shared" si="20"/>
        <v>2354.5</v>
      </c>
      <c r="J72" s="89">
        <f t="shared" si="20"/>
        <v>2793.125</v>
      </c>
      <c r="K72" s="89">
        <f t="shared" si="20"/>
        <v>3231.75</v>
      </c>
      <c r="L72" s="89">
        <f t="shared" si="20"/>
        <v>3670.375</v>
      </c>
      <c r="M72" s="445">
        <v>4109</v>
      </c>
      <c r="N72" s="446">
        <f>M72-1</f>
        <v>4108</v>
      </c>
      <c r="O72" s="373">
        <f>N72</f>
        <v>4108</v>
      </c>
      <c r="P72" s="89">
        <f t="shared" ref="P72:V72" si="21">$O72+($W72-$O72)/8*P$232</f>
        <v>3231</v>
      </c>
      <c r="Q72" s="89">
        <f t="shared" si="21"/>
        <v>2792.5</v>
      </c>
      <c r="R72" s="89">
        <f t="shared" si="21"/>
        <v>2354</v>
      </c>
      <c r="S72" s="89">
        <f t="shared" si="21"/>
        <v>1915.5</v>
      </c>
      <c r="T72" s="89">
        <f t="shared" si="21"/>
        <v>1477</v>
      </c>
      <c r="U72" s="89">
        <f t="shared" si="21"/>
        <v>1038.5</v>
      </c>
      <c r="V72" s="89">
        <f t="shared" si="21"/>
        <v>600</v>
      </c>
      <c r="W72" s="446">
        <f>D72</f>
        <v>600</v>
      </c>
      <c r="X72" s="89">
        <v>0</v>
      </c>
      <c r="Y72" s="383">
        <f>D72</f>
        <v>600</v>
      </c>
      <c r="Z72" s="373">
        <f>M72</f>
        <v>4109</v>
      </c>
      <c r="AA72" s="447">
        <f>AC76-0.5</f>
        <v>0.5</v>
      </c>
      <c r="AB72" s="447">
        <f>AD77-0.5</f>
        <v>2</v>
      </c>
    </row>
    <row r="73" spans="1:33">
      <c r="A73" s="95"/>
      <c r="B73" s="370" t="s">
        <v>877</v>
      </c>
      <c r="C73" s="39">
        <f>IF(C76&gt;C78,$AE$56*1000*$AD$57^0.5,C72)</f>
        <v>0</v>
      </c>
      <c r="D73" s="39">
        <f t="shared" ref="D73:W73" si="22">IF(D76&gt;D78,$AE$56*1000*$AD$57^0.5*$AG73,D72*$AG73)</f>
        <v>600</v>
      </c>
      <c r="E73" s="39">
        <f t="shared" si="22"/>
        <v>600</v>
      </c>
      <c r="F73" s="39">
        <f t="shared" si="22"/>
        <v>1038.625</v>
      </c>
      <c r="G73" s="39">
        <f t="shared" si="22"/>
        <v>1477.25</v>
      </c>
      <c r="H73" s="39">
        <f t="shared" si="22"/>
        <v>1915.875</v>
      </c>
      <c r="I73" s="39">
        <f t="shared" si="22"/>
        <v>2354.5</v>
      </c>
      <c r="J73" s="39">
        <f t="shared" si="22"/>
        <v>2793.125</v>
      </c>
      <c r="K73" s="39">
        <f t="shared" si="22"/>
        <v>3231.75</v>
      </c>
      <c r="L73" s="39">
        <f t="shared" si="22"/>
        <v>3670.375</v>
      </c>
      <c r="M73" s="39">
        <f t="shared" si="22"/>
        <v>4109</v>
      </c>
      <c r="N73" s="39">
        <f t="shared" si="22"/>
        <v>4108</v>
      </c>
      <c r="O73" s="39">
        <f t="shared" si="22"/>
        <v>4108</v>
      </c>
      <c r="P73" s="39">
        <f t="shared" si="22"/>
        <v>3231</v>
      </c>
      <c r="Q73" s="39">
        <f t="shared" si="22"/>
        <v>2792.5</v>
      </c>
      <c r="R73" s="39">
        <f t="shared" si="22"/>
        <v>2354</v>
      </c>
      <c r="S73" s="39">
        <f t="shared" si="22"/>
        <v>1915.5</v>
      </c>
      <c r="T73" s="39">
        <f t="shared" si="22"/>
        <v>1477</v>
      </c>
      <c r="U73" s="39">
        <f t="shared" si="22"/>
        <v>1038.5</v>
      </c>
      <c r="V73" s="39">
        <f t="shared" si="22"/>
        <v>600</v>
      </c>
      <c r="W73" s="39">
        <f t="shared" si="22"/>
        <v>600</v>
      </c>
      <c r="X73" s="89">
        <v>0</v>
      </c>
      <c r="Y73" s="383"/>
      <c r="Z73" s="373"/>
      <c r="AA73" s="89"/>
      <c r="AB73" s="89"/>
      <c r="AG73" s="448">
        <v>1</v>
      </c>
    </row>
    <row r="74" spans="1:33">
      <c r="B74" s="449" t="s">
        <v>878</v>
      </c>
      <c r="C74" s="71">
        <f>C73/'Selection pman-p0-qN'!$P$24</f>
        <v>0</v>
      </c>
      <c r="D74" s="71">
        <f>D73/'Selection pman-p0-qN'!$P$24</f>
        <v>1562.5</v>
      </c>
      <c r="E74" s="71">
        <f>E73/'Selection pman-p0-qN'!$P$24</f>
        <v>1562.5</v>
      </c>
      <c r="F74" s="71">
        <f>F73/'Selection pman-p0-qN'!$P$24</f>
        <v>2704.7526041666665</v>
      </c>
      <c r="G74" s="71">
        <f>G73/'Selection pman-p0-qN'!$P$24</f>
        <v>3847.005208333333</v>
      </c>
      <c r="H74" s="71">
        <f>H73/'Selection pman-p0-qN'!$P$24</f>
        <v>4989.2578125</v>
      </c>
      <c r="I74" s="71">
        <f>I73/'Selection pman-p0-qN'!$P$24</f>
        <v>6131.510416666667</v>
      </c>
      <c r="J74" s="71">
        <f>J73/'Selection pman-p0-qN'!$P$24</f>
        <v>7273.763020833333</v>
      </c>
      <c r="K74" s="71">
        <f>K73/'Selection pman-p0-qN'!$P$24</f>
        <v>8416.015625</v>
      </c>
      <c r="L74" s="71">
        <f>L73/'Selection pman-p0-qN'!$P$24</f>
        <v>9558.2682291666661</v>
      </c>
      <c r="M74" s="71">
        <f>M73/'Selection pman-p0-qN'!$P$24</f>
        <v>10700.520833333334</v>
      </c>
      <c r="N74" s="71">
        <f>N73/'Selection pman-p0-qN'!$P$24</f>
        <v>10697.916666666666</v>
      </c>
      <c r="O74" s="71">
        <f>O73/'Selection pman-p0-qN'!$P$24</f>
        <v>10697.916666666666</v>
      </c>
      <c r="P74" s="71">
        <f>P73/'Selection pman-p0-qN'!$P$24</f>
        <v>8414.0625</v>
      </c>
      <c r="Q74" s="71">
        <f>Q73/'Selection pman-p0-qN'!$P$24</f>
        <v>7272.1354166666661</v>
      </c>
      <c r="R74" s="71">
        <f>R73/'Selection pman-p0-qN'!$P$24</f>
        <v>6130.208333333333</v>
      </c>
      <c r="S74" s="71">
        <f>S73/'Selection pman-p0-qN'!$P$24</f>
        <v>4988.28125</v>
      </c>
      <c r="T74" s="71">
        <f>T73/'Selection pman-p0-qN'!$P$24</f>
        <v>3846.3541666666665</v>
      </c>
      <c r="U74" s="71">
        <f>U73/'Selection pman-p0-qN'!$P$24</f>
        <v>2704.4270833333335</v>
      </c>
      <c r="V74" s="71">
        <f>V73/'Selection pman-p0-qN'!$P$24</f>
        <v>1562.5</v>
      </c>
      <c r="W74" s="71">
        <f>W73/'Selection pman-p0-qN'!$P$24</f>
        <v>1562.5</v>
      </c>
      <c r="X74" s="71">
        <f>X73/'Selection pman-p0-qN'!$P$24</f>
        <v>0</v>
      </c>
      <c r="Y74" s="369"/>
      <c r="Z74" s="91"/>
      <c r="AA74" s="91"/>
      <c r="AB74" s="91"/>
      <c r="AC74" s="91"/>
      <c r="AD74" s="91"/>
    </row>
    <row r="75" spans="1:33">
      <c r="B75" s="95" t="s">
        <v>879</v>
      </c>
      <c r="C75" s="450">
        <f>-2*10^(-8)*C72^1.97-0.0002*C72+3.8859-(C72/1000)^2/$AF75^2+0.5</f>
        <v>4.3858999999999995</v>
      </c>
      <c r="D75" s="450">
        <f t="shared" ref="D75:W75" si="23">-2*10^(-8)*D72^1.97-0.0002*D72+3.8859-(D72/1000)^2/$AF75^2+0.5</f>
        <v>4.2173569647898779</v>
      </c>
      <c r="E75" s="450">
        <f t="shared" si="23"/>
        <v>4.2173569647898779</v>
      </c>
      <c r="F75" s="450">
        <f t="shared" si="23"/>
        <v>4.0330062822001036</v>
      </c>
      <c r="G75" s="450">
        <f t="shared" si="23"/>
        <v>3.7971498895211822</v>
      </c>
      <c r="H75" s="450">
        <f t="shared" si="23"/>
        <v>3.5098520296513591</v>
      </c>
      <c r="I75" s="450">
        <f t="shared" si="23"/>
        <v>3.1711591633360205</v>
      </c>
      <c r="J75" s="450">
        <f t="shared" si="23"/>
        <v>2.7811077031925429</v>
      </c>
      <c r="K75" s="450">
        <f t="shared" si="23"/>
        <v>2.3397275804041238</v>
      </c>
      <c r="L75" s="450">
        <f t="shared" si="23"/>
        <v>1.8470441940418127</v>
      </c>
      <c r="M75" s="450">
        <f t="shared" si="23"/>
        <v>1.3030795950663501</v>
      </c>
      <c r="N75" s="450">
        <f t="shared" si="23"/>
        <v>1.304378062079895</v>
      </c>
      <c r="O75" s="450">
        <f t="shared" si="23"/>
        <v>1.304378062079895</v>
      </c>
      <c r="P75" s="450">
        <f t="shared" si="23"/>
        <v>2.340526084507625</v>
      </c>
      <c r="Q75" s="450">
        <f t="shared" si="23"/>
        <v>2.7817000140853807</v>
      </c>
      <c r="R75" s="450">
        <f t="shared" si="23"/>
        <v>3.1715744934433978</v>
      </c>
      <c r="S75" s="450">
        <f t="shared" si="23"/>
        <v>3.5101196102784655</v>
      </c>
      <c r="T75" s="450">
        <f t="shared" si="23"/>
        <v>3.7972989754826467</v>
      </c>
      <c r="U75" s="450">
        <f t="shared" si="23"/>
        <v>4.0330661593881469</v>
      </c>
      <c r="V75" s="450">
        <f t="shared" si="23"/>
        <v>4.2173569647898779</v>
      </c>
      <c r="W75" s="450">
        <f t="shared" si="23"/>
        <v>4.2173569647898779</v>
      </c>
      <c r="X75" s="451"/>
      <c r="Y75" s="383"/>
      <c r="Z75" s="373"/>
      <c r="AA75" s="89"/>
      <c r="AB75" s="89"/>
      <c r="AF75" s="452">
        <v>2.907</v>
      </c>
      <c r="AG75" s="85" t="s">
        <v>890</v>
      </c>
    </row>
    <row r="76" spans="1:33">
      <c r="B76" s="95" t="s">
        <v>881</v>
      </c>
      <c r="C76" s="451">
        <f>(C72/1000)^2/$AE76^2</f>
        <v>0</v>
      </c>
      <c r="D76" s="451">
        <f t="shared" ref="D76:W76" si="24">(D72/1000)^2/$AE76^2</f>
        <v>2.7777777777777776E-2</v>
      </c>
      <c r="E76" s="451">
        <f t="shared" si="24"/>
        <v>2.7777777777777776E-2</v>
      </c>
      <c r="F76" s="451">
        <f t="shared" si="24"/>
        <v>8.3236256992669747E-2</v>
      </c>
      <c r="G76" s="451">
        <f t="shared" si="24"/>
        <v>0.16838484278549382</v>
      </c>
      <c r="H76" s="451">
        <f t="shared" si="24"/>
        <v>0.28322353515624998</v>
      </c>
      <c r="I76" s="451">
        <f t="shared" si="24"/>
        <v>0.42775233410493818</v>
      </c>
      <c r="J76" s="451">
        <f t="shared" si="24"/>
        <v>0.60197123963155852</v>
      </c>
      <c r="K76" s="451">
        <f t="shared" si="24"/>
        <v>0.805880251736111</v>
      </c>
      <c r="L76" s="451">
        <f t="shared" si="24"/>
        <v>1.0394793704185956</v>
      </c>
      <c r="M76" s="451">
        <f t="shared" si="24"/>
        <v>1.3027685956790123</v>
      </c>
      <c r="N76" s="451">
        <f t="shared" si="24"/>
        <v>1.3021345679012342</v>
      </c>
      <c r="O76" s="451">
        <f t="shared" si="24"/>
        <v>1.3021345679012342</v>
      </c>
      <c r="P76" s="451">
        <f t="shared" si="24"/>
        <v>0.80550624999999998</v>
      </c>
      <c r="Q76" s="451">
        <f t="shared" si="24"/>
        <v>0.60170187114197526</v>
      </c>
      <c r="R76" s="451">
        <f t="shared" si="24"/>
        <v>0.42757067901234563</v>
      </c>
      <c r="S76" s="451">
        <f t="shared" si="24"/>
        <v>0.28311267361111109</v>
      </c>
      <c r="T76" s="451">
        <f t="shared" si="24"/>
        <v>0.16832785493827163</v>
      </c>
      <c r="U76" s="451">
        <f t="shared" si="24"/>
        <v>8.3216222993827152E-2</v>
      </c>
      <c r="V76" s="451">
        <f t="shared" si="24"/>
        <v>2.7777777777777776E-2</v>
      </c>
      <c r="W76" s="451">
        <f t="shared" si="24"/>
        <v>2.7777777777777776E-2</v>
      </c>
      <c r="X76" s="451"/>
      <c r="Y76" s="383"/>
      <c r="Z76" s="373"/>
      <c r="AA76" s="89"/>
      <c r="AB76" s="89"/>
      <c r="AC76" s="453">
        <v>1</v>
      </c>
      <c r="AD76" s="380"/>
      <c r="AE76" s="452">
        <v>3.6</v>
      </c>
      <c r="AG76" s="85" t="s">
        <v>888</v>
      </c>
    </row>
    <row r="77" spans="1:33">
      <c r="B77" s="95" t="s">
        <v>883</v>
      </c>
      <c r="C77" s="451">
        <f t="shared" ref="C77:W77" si="25">$AC76</f>
        <v>1</v>
      </c>
      <c r="D77" s="451">
        <f t="shared" si="25"/>
        <v>1</v>
      </c>
      <c r="E77" s="451">
        <f t="shared" si="25"/>
        <v>1</v>
      </c>
      <c r="F77" s="451">
        <f t="shared" si="25"/>
        <v>1</v>
      </c>
      <c r="G77" s="451">
        <f t="shared" si="25"/>
        <v>1</v>
      </c>
      <c r="H77" s="451">
        <f t="shared" si="25"/>
        <v>1</v>
      </c>
      <c r="I77" s="451">
        <f t="shared" si="25"/>
        <v>1</v>
      </c>
      <c r="J77" s="451">
        <f t="shared" si="25"/>
        <v>1</v>
      </c>
      <c r="K77" s="451">
        <f t="shared" si="25"/>
        <v>1</v>
      </c>
      <c r="L77" s="451">
        <f t="shared" si="25"/>
        <v>1</v>
      </c>
      <c r="M77" s="451">
        <f t="shared" si="25"/>
        <v>1</v>
      </c>
      <c r="N77" s="451">
        <f t="shared" si="25"/>
        <v>1</v>
      </c>
      <c r="O77" s="451">
        <f t="shared" si="25"/>
        <v>1</v>
      </c>
      <c r="P77" s="451">
        <f t="shared" si="25"/>
        <v>1</v>
      </c>
      <c r="Q77" s="451">
        <f t="shared" si="25"/>
        <v>1</v>
      </c>
      <c r="R77" s="451">
        <f t="shared" si="25"/>
        <v>1</v>
      </c>
      <c r="S77" s="451">
        <f t="shared" si="25"/>
        <v>1</v>
      </c>
      <c r="T77" s="451">
        <f t="shared" si="25"/>
        <v>1</v>
      </c>
      <c r="U77" s="451">
        <f t="shared" si="25"/>
        <v>1</v>
      </c>
      <c r="V77" s="451">
        <f t="shared" si="25"/>
        <v>1</v>
      </c>
      <c r="W77" s="451">
        <f t="shared" si="25"/>
        <v>1</v>
      </c>
      <c r="X77" s="451"/>
      <c r="Y77" s="383"/>
      <c r="Z77" s="373"/>
      <c r="AA77" s="89"/>
      <c r="AB77" s="89"/>
      <c r="AD77" s="453">
        <v>2.5</v>
      </c>
    </row>
    <row r="78" spans="1:33">
      <c r="B78" s="95" t="s">
        <v>884</v>
      </c>
      <c r="C78" s="451">
        <f t="shared" ref="C78:W78" si="26">$AD77</f>
        <v>2.5</v>
      </c>
      <c r="D78" s="451">
        <f t="shared" si="26"/>
        <v>2.5</v>
      </c>
      <c r="E78" s="451">
        <f t="shared" si="26"/>
        <v>2.5</v>
      </c>
      <c r="F78" s="451">
        <f t="shared" si="26"/>
        <v>2.5</v>
      </c>
      <c r="G78" s="451">
        <f t="shared" si="26"/>
        <v>2.5</v>
      </c>
      <c r="H78" s="451">
        <f t="shared" si="26"/>
        <v>2.5</v>
      </c>
      <c r="I78" s="451">
        <f t="shared" si="26"/>
        <v>2.5</v>
      </c>
      <c r="J78" s="451">
        <f t="shared" si="26"/>
        <v>2.5</v>
      </c>
      <c r="K78" s="451">
        <f t="shared" si="26"/>
        <v>2.5</v>
      </c>
      <c r="L78" s="451">
        <f t="shared" si="26"/>
        <v>2.5</v>
      </c>
      <c r="M78" s="451">
        <f t="shared" si="26"/>
        <v>2.5</v>
      </c>
      <c r="N78" s="451">
        <f t="shared" si="26"/>
        <v>2.5</v>
      </c>
      <c r="O78" s="451">
        <f t="shared" si="26"/>
        <v>2.5</v>
      </c>
      <c r="P78" s="451">
        <f t="shared" si="26"/>
        <v>2.5</v>
      </c>
      <c r="Q78" s="451">
        <f t="shared" si="26"/>
        <v>2.5</v>
      </c>
      <c r="R78" s="451">
        <f t="shared" si="26"/>
        <v>2.5</v>
      </c>
      <c r="S78" s="451">
        <f t="shared" si="26"/>
        <v>2.5</v>
      </c>
      <c r="T78" s="451">
        <f t="shared" si="26"/>
        <v>2.5</v>
      </c>
      <c r="U78" s="451">
        <f t="shared" si="26"/>
        <v>2.5</v>
      </c>
      <c r="V78" s="451">
        <f t="shared" si="26"/>
        <v>2.5</v>
      </c>
      <c r="W78" s="451">
        <f t="shared" si="26"/>
        <v>2.5</v>
      </c>
      <c r="X78" s="451"/>
      <c r="Y78" s="383"/>
      <c r="Z78" s="373"/>
      <c r="AA78" s="89"/>
      <c r="AB78" s="89"/>
    </row>
    <row r="79" spans="1:33" s="67" customFormat="1" ht="12" customHeight="1">
      <c r="B79" s="454" t="s">
        <v>885</v>
      </c>
      <c r="C79" s="67">
        <f t="shared" ref="C79:M79" si="27">IF(AND(C76&gt;10000-2,C75&lt;C78),C75,IF(C75&gt;C78,C78,IF(C78&gt;C76,C75,IF(C75&gt;C76,C75,IF(C76&gt;C77,C76,C77)))))</f>
        <v>2.5</v>
      </c>
      <c r="D79" s="67">
        <f t="shared" si="27"/>
        <v>2.5</v>
      </c>
      <c r="E79" s="67">
        <f t="shared" si="27"/>
        <v>2.5</v>
      </c>
      <c r="F79" s="67">
        <f t="shared" si="27"/>
        <v>2.5</v>
      </c>
      <c r="G79" s="67">
        <f t="shared" si="27"/>
        <v>2.5</v>
      </c>
      <c r="H79" s="67">
        <f t="shared" si="27"/>
        <v>2.5</v>
      </c>
      <c r="I79" s="67">
        <f t="shared" si="27"/>
        <v>2.5</v>
      </c>
      <c r="J79" s="67">
        <f t="shared" si="27"/>
        <v>2.5</v>
      </c>
      <c r="K79" s="67">
        <f t="shared" si="27"/>
        <v>2.3397275804041238</v>
      </c>
      <c r="L79" s="67">
        <f t="shared" si="27"/>
        <v>1.8470441940418127</v>
      </c>
      <c r="M79" s="67">
        <f t="shared" si="27"/>
        <v>1.3030795950663501</v>
      </c>
      <c r="N79" s="455">
        <f t="shared" ref="N79:V79" si="28">IF(AND(N76&gt;10000-2,N75&lt;N78),M75,IF(AND(N76&lt;N78,N76&gt;N77),N76,IF(N76&gt;N78,N78,N77)))</f>
        <v>1.3021345679012342</v>
      </c>
      <c r="O79" s="455">
        <f t="shared" si="28"/>
        <v>1.3021345679012342</v>
      </c>
      <c r="P79" s="455">
        <f t="shared" si="28"/>
        <v>1</v>
      </c>
      <c r="Q79" s="455">
        <f t="shared" si="28"/>
        <v>1</v>
      </c>
      <c r="R79" s="455">
        <f t="shared" si="28"/>
        <v>1</v>
      </c>
      <c r="S79" s="455">
        <f t="shared" si="28"/>
        <v>1</v>
      </c>
      <c r="T79" s="455">
        <f t="shared" si="28"/>
        <v>1</v>
      </c>
      <c r="U79" s="455">
        <f t="shared" si="28"/>
        <v>1</v>
      </c>
      <c r="V79" s="455">
        <f t="shared" si="28"/>
        <v>1</v>
      </c>
      <c r="W79" s="132">
        <f>V79</f>
        <v>1</v>
      </c>
      <c r="X79" s="132">
        <f>W79</f>
        <v>1</v>
      </c>
      <c r="Y79" s="379"/>
      <c r="Z79" s="132"/>
      <c r="AA79" s="132"/>
      <c r="AB79" s="132"/>
      <c r="AC79" s="380"/>
      <c r="AD79" s="380"/>
      <c r="AG79" s="39"/>
    </row>
    <row r="80" spans="1:33">
      <c r="B80" s="449" t="s">
        <v>886</v>
      </c>
      <c r="C80" s="67">
        <f t="shared" ref="C80:X80" si="29">C79-0.5</f>
        <v>2</v>
      </c>
      <c r="D80" s="67">
        <f t="shared" si="29"/>
        <v>2</v>
      </c>
      <c r="E80" s="67">
        <f t="shared" si="29"/>
        <v>2</v>
      </c>
      <c r="F80" s="67">
        <f t="shared" si="29"/>
        <v>2</v>
      </c>
      <c r="G80" s="67">
        <f t="shared" si="29"/>
        <v>2</v>
      </c>
      <c r="H80" s="67">
        <f t="shared" si="29"/>
        <v>2</v>
      </c>
      <c r="I80" s="67">
        <f t="shared" si="29"/>
        <v>2</v>
      </c>
      <c r="J80" s="67">
        <f t="shared" si="29"/>
        <v>2</v>
      </c>
      <c r="K80" s="67">
        <f t="shared" si="29"/>
        <v>1.8397275804041238</v>
      </c>
      <c r="L80" s="67">
        <f t="shared" si="29"/>
        <v>1.3470441940418127</v>
      </c>
      <c r="M80" s="67">
        <f t="shared" si="29"/>
        <v>0.80307959506635007</v>
      </c>
      <c r="N80" s="67">
        <f t="shared" si="29"/>
        <v>0.80213456790123416</v>
      </c>
      <c r="O80" s="67">
        <f t="shared" si="29"/>
        <v>0.80213456790123416</v>
      </c>
      <c r="P80" s="67">
        <f t="shared" si="29"/>
        <v>0.5</v>
      </c>
      <c r="Q80" s="67">
        <f t="shared" si="29"/>
        <v>0.5</v>
      </c>
      <c r="R80" s="67">
        <f t="shared" si="29"/>
        <v>0.5</v>
      </c>
      <c r="S80" s="67">
        <f t="shared" si="29"/>
        <v>0.5</v>
      </c>
      <c r="T80" s="67">
        <f t="shared" si="29"/>
        <v>0.5</v>
      </c>
      <c r="U80" s="67">
        <f t="shared" si="29"/>
        <v>0.5</v>
      </c>
      <c r="V80" s="67">
        <f t="shared" si="29"/>
        <v>0.5</v>
      </c>
      <c r="W80" s="67">
        <f t="shared" si="29"/>
        <v>0.5</v>
      </c>
      <c r="X80" s="67">
        <f t="shared" si="29"/>
        <v>0.5</v>
      </c>
      <c r="Y80" s="369"/>
      <c r="Z80" s="91"/>
      <c r="AA80" s="91"/>
      <c r="AB80" s="91"/>
      <c r="AC80" s="91"/>
      <c r="AD80" s="91"/>
    </row>
    <row r="81" spans="1:33">
      <c r="B81" s="85"/>
      <c r="M81" s="89"/>
      <c r="N81" s="89"/>
      <c r="O81" s="89"/>
      <c r="P81" s="89"/>
      <c r="Q81" s="89"/>
      <c r="R81" s="89"/>
      <c r="S81" s="89"/>
      <c r="T81" s="89"/>
      <c r="U81" s="89"/>
      <c r="V81" s="89"/>
      <c r="W81" s="89"/>
      <c r="X81" s="89"/>
      <c r="Y81" s="369"/>
      <c r="Z81" s="91"/>
      <c r="AA81" s="91"/>
      <c r="AB81" s="91"/>
      <c r="AC81" s="91"/>
      <c r="AD81" s="91"/>
    </row>
    <row r="82" spans="1:33">
      <c r="A82" s="95" t="s">
        <v>891</v>
      </c>
      <c r="B82" s="95" t="s">
        <v>787</v>
      </c>
      <c r="C82" s="39">
        <v>0</v>
      </c>
      <c r="D82" s="444">
        <v>600</v>
      </c>
      <c r="E82" s="89">
        <f>D82</f>
        <v>600</v>
      </c>
      <c r="F82" s="89">
        <f t="shared" ref="F82:L82" si="30">$E82+($M82-$E82)/8*F$232</f>
        <v>702.75</v>
      </c>
      <c r="G82" s="89">
        <f t="shared" si="30"/>
        <v>805.5</v>
      </c>
      <c r="H82" s="89">
        <f t="shared" si="30"/>
        <v>908.25</v>
      </c>
      <c r="I82" s="89">
        <f t="shared" si="30"/>
        <v>1011</v>
      </c>
      <c r="J82" s="89">
        <f t="shared" si="30"/>
        <v>1113.75</v>
      </c>
      <c r="K82" s="89">
        <f t="shared" si="30"/>
        <v>1216.5</v>
      </c>
      <c r="L82" s="89">
        <f t="shared" si="30"/>
        <v>1319.25</v>
      </c>
      <c r="M82" s="445">
        <v>1422</v>
      </c>
      <c r="N82" s="446">
        <f>M82-1</f>
        <v>1421</v>
      </c>
      <c r="O82" s="373">
        <f>N82</f>
        <v>1421</v>
      </c>
      <c r="P82" s="89">
        <f t="shared" ref="P82:V82" si="31">$O82+($W82-$O82)/8*P$232</f>
        <v>1215.75</v>
      </c>
      <c r="Q82" s="89">
        <f t="shared" si="31"/>
        <v>1113.125</v>
      </c>
      <c r="R82" s="89">
        <f t="shared" si="31"/>
        <v>1010.5</v>
      </c>
      <c r="S82" s="89">
        <f t="shared" si="31"/>
        <v>907.875</v>
      </c>
      <c r="T82" s="89">
        <f t="shared" si="31"/>
        <v>805.25</v>
      </c>
      <c r="U82" s="89">
        <f t="shared" si="31"/>
        <v>702.625</v>
      </c>
      <c r="V82" s="89">
        <f t="shared" si="31"/>
        <v>600</v>
      </c>
      <c r="W82" s="446">
        <f>D82</f>
        <v>600</v>
      </c>
      <c r="X82" s="89">
        <v>0</v>
      </c>
      <c r="Y82" s="383">
        <f>D82</f>
        <v>600</v>
      </c>
      <c r="Z82" s="373">
        <f>M82</f>
        <v>1422</v>
      </c>
      <c r="AA82" s="447">
        <f>AC86-0.5</f>
        <v>1</v>
      </c>
      <c r="AB82" s="447">
        <f>AD87-0.5</f>
        <v>3</v>
      </c>
    </row>
    <row r="83" spans="1:33">
      <c r="A83" s="95"/>
      <c r="B83" s="370" t="s">
        <v>877</v>
      </c>
      <c r="C83" s="39">
        <f>IF(C86&gt;C88,$AE$56*1000*$AD$57^0.5,C82)</f>
        <v>0</v>
      </c>
      <c r="D83" s="39">
        <f t="shared" ref="D83:W83" si="32">IF(D86&gt;D88,$AE$56*1000*$AD$57^0.5*$AG83,D82*$AG83)</f>
        <v>600</v>
      </c>
      <c r="E83" s="39">
        <f t="shared" si="32"/>
        <v>600</v>
      </c>
      <c r="F83" s="39">
        <f t="shared" si="32"/>
        <v>702.75</v>
      </c>
      <c r="G83" s="39">
        <f t="shared" si="32"/>
        <v>805.5</v>
      </c>
      <c r="H83" s="39">
        <f t="shared" si="32"/>
        <v>908.25</v>
      </c>
      <c r="I83" s="39">
        <f t="shared" si="32"/>
        <v>1011</v>
      </c>
      <c r="J83" s="39">
        <f t="shared" si="32"/>
        <v>1113.75</v>
      </c>
      <c r="K83" s="39">
        <f t="shared" si="32"/>
        <v>1027.7402395547233</v>
      </c>
      <c r="L83" s="39">
        <f t="shared" si="32"/>
        <v>1027.7402395547233</v>
      </c>
      <c r="M83" s="39">
        <f t="shared" si="32"/>
        <v>1027.7402395547233</v>
      </c>
      <c r="N83" s="39">
        <f t="shared" si="32"/>
        <v>1027.7402395547233</v>
      </c>
      <c r="O83" s="39">
        <f t="shared" si="32"/>
        <v>1027.7402395547233</v>
      </c>
      <c r="P83" s="39">
        <f t="shared" si="32"/>
        <v>1215.75</v>
      </c>
      <c r="Q83" s="39">
        <f t="shared" si="32"/>
        <v>1113.125</v>
      </c>
      <c r="R83" s="39">
        <f t="shared" si="32"/>
        <v>1010.5</v>
      </c>
      <c r="S83" s="39">
        <f t="shared" si="32"/>
        <v>907.875</v>
      </c>
      <c r="T83" s="39">
        <f t="shared" si="32"/>
        <v>805.25</v>
      </c>
      <c r="U83" s="39">
        <f t="shared" si="32"/>
        <v>702.625</v>
      </c>
      <c r="V83" s="39">
        <f t="shared" si="32"/>
        <v>600</v>
      </c>
      <c r="W83" s="39">
        <f t="shared" si="32"/>
        <v>600</v>
      </c>
      <c r="X83" s="89">
        <v>0</v>
      </c>
      <c r="Y83" s="383"/>
      <c r="Z83" s="373"/>
      <c r="AA83" s="89"/>
      <c r="AB83" s="89"/>
      <c r="AG83" s="448">
        <v>1</v>
      </c>
    </row>
    <row r="84" spans="1:33">
      <c r="B84" s="449" t="s">
        <v>878</v>
      </c>
      <c r="C84" s="71">
        <f>C83/'Selection pman-p0-qN'!$P$24</f>
        <v>0</v>
      </c>
      <c r="D84" s="71">
        <f>D83/'Selection pman-p0-qN'!$P$24</f>
        <v>1562.5</v>
      </c>
      <c r="E84" s="71">
        <f>E83/'Selection pman-p0-qN'!$P$24</f>
        <v>1562.5</v>
      </c>
      <c r="F84" s="71">
        <f>F83/'Selection pman-p0-qN'!$P$24</f>
        <v>1830.078125</v>
      </c>
      <c r="G84" s="71">
        <f>G83/'Selection pman-p0-qN'!$P$24</f>
        <v>2097.65625</v>
      </c>
      <c r="H84" s="71">
        <f>H83/'Selection pman-p0-qN'!$P$24</f>
        <v>2365.234375</v>
      </c>
      <c r="I84" s="71">
        <f>I83/'Selection pman-p0-qN'!$P$24</f>
        <v>2632.8125</v>
      </c>
      <c r="J84" s="71">
        <f>J83/'Selection pman-p0-qN'!$P$24</f>
        <v>2900.390625</v>
      </c>
      <c r="K84" s="71">
        <f>K83/'Selection pman-p0-qN'!$P$24</f>
        <v>2676.4068738404253</v>
      </c>
      <c r="L84" s="71">
        <f>L83/'Selection pman-p0-qN'!$P$24</f>
        <v>2676.4068738404253</v>
      </c>
      <c r="M84" s="71">
        <f>M83/'Selection pman-p0-qN'!$P$24</f>
        <v>2676.4068738404253</v>
      </c>
      <c r="N84" s="71">
        <f>N83/'Selection pman-p0-qN'!$P$24</f>
        <v>2676.4068738404253</v>
      </c>
      <c r="O84" s="71">
        <f>O83/'Selection pman-p0-qN'!$P$24</f>
        <v>2676.4068738404253</v>
      </c>
      <c r="P84" s="71">
        <f>P83/'Selection pman-p0-qN'!$P$24</f>
        <v>3166.015625</v>
      </c>
      <c r="Q84" s="71">
        <f>Q83/'Selection pman-p0-qN'!$P$24</f>
        <v>2898.7630208333335</v>
      </c>
      <c r="R84" s="71">
        <f>R83/'Selection pman-p0-qN'!$P$24</f>
        <v>2631.5104166666665</v>
      </c>
      <c r="S84" s="71">
        <f>S83/'Selection pman-p0-qN'!$P$24</f>
        <v>2364.2578125</v>
      </c>
      <c r="T84" s="71">
        <f>T83/'Selection pman-p0-qN'!$P$24</f>
        <v>2097.0052083333335</v>
      </c>
      <c r="U84" s="71">
        <f>U83/'Selection pman-p0-qN'!$P$24</f>
        <v>1829.7526041666665</v>
      </c>
      <c r="V84" s="71">
        <f>V83/'Selection pman-p0-qN'!$P$24</f>
        <v>1562.5</v>
      </c>
      <c r="W84" s="71">
        <f>W83/'Selection pman-p0-qN'!$P$24</f>
        <v>1562.5</v>
      </c>
      <c r="X84" s="71">
        <f>X83/'Selection pman-p0-qN'!$P$24</f>
        <v>0</v>
      </c>
      <c r="Y84" s="369"/>
      <c r="Z84" s="91"/>
      <c r="AA84" s="91"/>
      <c r="AB84" s="91"/>
      <c r="AC84" s="91"/>
      <c r="AD84" s="91"/>
    </row>
    <row r="85" spans="1:33">
      <c r="B85" s="95" t="s">
        <v>879</v>
      </c>
      <c r="C85" s="450">
        <f>-1*10^(-7)*C82^2.02-0.0003*C82+5.0541-(C82/1000)^2/$AF85^2+0.5</f>
        <v>5.5541</v>
      </c>
      <c r="D85" s="450">
        <f>-1*10^(-7)*D82^2.02-0.0003*D82+5.0541-(D82/1000)^2/$AF85^2+0.5</f>
        <v>5.2538372688953485</v>
      </c>
      <c r="E85" s="450">
        <f>-1*10^(-7)*E82^2.02-0.0003*E82+5.0541-(E82/1000)^2/$AF85^2+0.5</f>
        <v>5.2538372688953485</v>
      </c>
      <c r="F85" s="450">
        <f>-1*10^(-7)*F82^2.02-0.0003*F82+5.0541-(F82/1000)^2/$AF85^2+0.5</f>
        <v>5.1781176714722692</v>
      </c>
      <c r="G85" s="450">
        <f t="shared" ref="G85:W85" si="33">-1*10^(-7)*G82^2.02-0.0003*G82+5.0541-(G82/1000)^2/$AF85^2+0.5</f>
        <v>5.0952640771543125</v>
      </c>
      <c r="H85" s="450">
        <f t="shared" si="33"/>
        <v>5.0052696875320475</v>
      </c>
      <c r="I85" s="450">
        <f t="shared" si="33"/>
        <v>4.9081285102983996</v>
      </c>
      <c r="J85" s="450">
        <f t="shared" si="33"/>
        <v>4.8038351864693709</v>
      </c>
      <c r="K85" s="450">
        <f t="shared" si="33"/>
        <v>4.6923848680189213</v>
      </c>
      <c r="L85" s="450">
        <f t="shared" si="33"/>
        <v>4.573773127997951</v>
      </c>
      <c r="M85" s="450">
        <f t="shared" si="33"/>
        <v>4.4479958925443439</v>
      </c>
      <c r="N85" s="450">
        <f t="shared" si="33"/>
        <v>4.4492545434133319</v>
      </c>
      <c r="O85" s="450">
        <f t="shared" si="33"/>
        <v>4.4492545434133319</v>
      </c>
      <c r="P85" s="450">
        <f t="shared" si="33"/>
        <v>4.6932243146332642</v>
      </c>
      <c r="Q85" s="450">
        <f t="shared" si="33"/>
        <v>4.8044912040101604</v>
      </c>
      <c r="R85" s="450">
        <f t="shared" si="33"/>
        <v>4.9086185297703739</v>
      </c>
      <c r="S85" s="450">
        <f t="shared" si="33"/>
        <v>5.0056111247604287</v>
      </c>
      <c r="T85" s="450">
        <f t="shared" si="33"/>
        <v>5.0954743307935795</v>
      </c>
      <c r="U85" s="450">
        <f t="shared" si="33"/>
        <v>5.1782141204323713</v>
      </c>
      <c r="V85" s="450">
        <f t="shared" si="33"/>
        <v>5.2538372688953485</v>
      </c>
      <c r="W85" s="450">
        <f t="shared" si="33"/>
        <v>5.2538372688953485</v>
      </c>
      <c r="X85" s="451"/>
      <c r="Y85" s="383"/>
      <c r="Z85" s="373"/>
      <c r="AA85" s="89"/>
      <c r="AB85" s="89"/>
      <c r="AF85" s="452">
        <v>2.13</v>
      </c>
      <c r="AG85" s="85" t="s">
        <v>892</v>
      </c>
    </row>
    <row r="86" spans="1:33">
      <c r="B86" s="95" t="s">
        <v>881</v>
      </c>
      <c r="C86" s="451">
        <f>(C82/1000)^2/$AE86^2</f>
        <v>0</v>
      </c>
      <c r="D86" s="451">
        <f t="shared" ref="D86:W86" si="34">(D82/1000)^2/$AE86^2</f>
        <v>0.85207100591715967</v>
      </c>
      <c r="E86" s="451">
        <f t="shared" si="34"/>
        <v>0.85207100591715967</v>
      </c>
      <c r="F86" s="451">
        <f t="shared" si="34"/>
        <v>1.1688936390532543</v>
      </c>
      <c r="G86" s="451">
        <f t="shared" si="34"/>
        <v>1.5356928994082837</v>
      </c>
      <c r="H86" s="451">
        <f t="shared" si="34"/>
        <v>1.9524687869822483</v>
      </c>
      <c r="I86" s="451">
        <f t="shared" si="34"/>
        <v>2.4192213017751474</v>
      </c>
      <c r="J86" s="451">
        <f t="shared" si="34"/>
        <v>2.9359504437869823</v>
      </c>
      <c r="K86" s="451">
        <f t="shared" si="34"/>
        <v>3.502656213017751</v>
      </c>
      <c r="L86" s="451">
        <f t="shared" si="34"/>
        <v>4.1193386094674551</v>
      </c>
      <c r="M86" s="451">
        <f t="shared" si="34"/>
        <v>4.7859976331360938</v>
      </c>
      <c r="N86" s="451">
        <f t="shared" si="34"/>
        <v>4.7792686390532539</v>
      </c>
      <c r="O86" s="451">
        <f t="shared" si="34"/>
        <v>4.7792686390532539</v>
      </c>
      <c r="P86" s="451">
        <f t="shared" si="34"/>
        <v>3.498338609467456</v>
      </c>
      <c r="Q86" s="451">
        <f t="shared" si="34"/>
        <v>2.9326562499999991</v>
      </c>
      <c r="R86" s="451">
        <f t="shared" si="34"/>
        <v>2.4168289940828398</v>
      </c>
      <c r="S86" s="451">
        <f t="shared" si="34"/>
        <v>1.950856841715976</v>
      </c>
      <c r="T86" s="451">
        <f t="shared" si="34"/>
        <v>1.5347397928994082</v>
      </c>
      <c r="U86" s="451">
        <f t="shared" si="34"/>
        <v>1.1684778476331361</v>
      </c>
      <c r="V86" s="451">
        <f t="shared" si="34"/>
        <v>0.85207100591715967</v>
      </c>
      <c r="W86" s="451">
        <f t="shared" si="34"/>
        <v>0.85207100591715967</v>
      </c>
      <c r="X86" s="451"/>
      <c r="Y86" s="383"/>
      <c r="Z86" s="373"/>
      <c r="AA86" s="89"/>
      <c r="AB86" s="89"/>
      <c r="AC86" s="453">
        <v>1.5</v>
      </c>
      <c r="AD86" s="380"/>
      <c r="AE86" s="452">
        <v>0.65</v>
      </c>
      <c r="AG86" s="85" t="s">
        <v>882</v>
      </c>
    </row>
    <row r="87" spans="1:33">
      <c r="B87" s="95" t="s">
        <v>883</v>
      </c>
      <c r="C87" s="451">
        <f t="shared" ref="C87:W87" si="35">$AC86</f>
        <v>1.5</v>
      </c>
      <c r="D87" s="451">
        <f t="shared" si="35"/>
        <v>1.5</v>
      </c>
      <c r="E87" s="451">
        <f t="shared" si="35"/>
        <v>1.5</v>
      </c>
      <c r="F87" s="451">
        <f t="shared" si="35"/>
        <v>1.5</v>
      </c>
      <c r="G87" s="451">
        <f t="shared" si="35"/>
        <v>1.5</v>
      </c>
      <c r="H87" s="451">
        <f t="shared" si="35"/>
        <v>1.5</v>
      </c>
      <c r="I87" s="451">
        <f t="shared" si="35"/>
        <v>1.5</v>
      </c>
      <c r="J87" s="451">
        <f t="shared" si="35"/>
        <v>1.5</v>
      </c>
      <c r="K87" s="451">
        <f t="shared" si="35"/>
        <v>1.5</v>
      </c>
      <c r="L87" s="451">
        <f t="shared" si="35"/>
        <v>1.5</v>
      </c>
      <c r="M87" s="451">
        <f t="shared" si="35"/>
        <v>1.5</v>
      </c>
      <c r="N87" s="451">
        <f t="shared" si="35"/>
        <v>1.5</v>
      </c>
      <c r="O87" s="451">
        <f t="shared" si="35"/>
        <v>1.5</v>
      </c>
      <c r="P87" s="451">
        <f t="shared" si="35"/>
        <v>1.5</v>
      </c>
      <c r="Q87" s="451">
        <f t="shared" si="35"/>
        <v>1.5</v>
      </c>
      <c r="R87" s="451">
        <f t="shared" si="35"/>
        <v>1.5</v>
      </c>
      <c r="S87" s="451">
        <f t="shared" si="35"/>
        <v>1.5</v>
      </c>
      <c r="T87" s="451">
        <f t="shared" si="35"/>
        <v>1.5</v>
      </c>
      <c r="U87" s="451">
        <f t="shared" si="35"/>
        <v>1.5</v>
      </c>
      <c r="V87" s="451">
        <f t="shared" si="35"/>
        <v>1.5</v>
      </c>
      <c r="W87" s="451">
        <f t="shared" si="35"/>
        <v>1.5</v>
      </c>
      <c r="X87" s="451"/>
      <c r="Y87" s="383"/>
      <c r="Z87" s="373"/>
      <c r="AA87" s="89"/>
      <c r="AB87" s="89"/>
      <c r="AD87" s="453">
        <v>3.5</v>
      </c>
    </row>
    <row r="88" spans="1:33">
      <c r="B88" s="95" t="s">
        <v>884</v>
      </c>
      <c r="C88" s="451">
        <f t="shared" ref="C88:W88" si="36">$AD87</f>
        <v>3.5</v>
      </c>
      <c r="D88" s="451">
        <f t="shared" si="36"/>
        <v>3.5</v>
      </c>
      <c r="E88" s="451">
        <f t="shared" si="36"/>
        <v>3.5</v>
      </c>
      <c r="F88" s="451">
        <f t="shared" si="36"/>
        <v>3.5</v>
      </c>
      <c r="G88" s="451">
        <f t="shared" si="36"/>
        <v>3.5</v>
      </c>
      <c r="H88" s="451">
        <f t="shared" si="36"/>
        <v>3.5</v>
      </c>
      <c r="I88" s="451">
        <f t="shared" si="36"/>
        <v>3.5</v>
      </c>
      <c r="J88" s="451">
        <f t="shared" si="36"/>
        <v>3.5</v>
      </c>
      <c r="K88" s="451">
        <f t="shared" si="36"/>
        <v>3.5</v>
      </c>
      <c r="L88" s="451">
        <f t="shared" si="36"/>
        <v>3.5</v>
      </c>
      <c r="M88" s="451">
        <f t="shared" si="36"/>
        <v>3.5</v>
      </c>
      <c r="N88" s="451">
        <f t="shared" si="36"/>
        <v>3.5</v>
      </c>
      <c r="O88" s="451">
        <f t="shared" si="36"/>
        <v>3.5</v>
      </c>
      <c r="P88" s="451">
        <f t="shared" si="36"/>
        <v>3.5</v>
      </c>
      <c r="Q88" s="451">
        <f t="shared" si="36"/>
        <v>3.5</v>
      </c>
      <c r="R88" s="451">
        <f t="shared" si="36"/>
        <v>3.5</v>
      </c>
      <c r="S88" s="451">
        <f t="shared" si="36"/>
        <v>3.5</v>
      </c>
      <c r="T88" s="451">
        <f t="shared" si="36"/>
        <v>3.5</v>
      </c>
      <c r="U88" s="451">
        <f t="shared" si="36"/>
        <v>3.5</v>
      </c>
      <c r="V88" s="451">
        <f t="shared" si="36"/>
        <v>3.5</v>
      </c>
      <c r="W88" s="451">
        <f t="shared" si="36"/>
        <v>3.5</v>
      </c>
      <c r="X88" s="451"/>
      <c r="Y88" s="383"/>
      <c r="Z88" s="373"/>
      <c r="AA88" s="89"/>
      <c r="AB88" s="89"/>
    </row>
    <row r="89" spans="1:33" s="67" customFormat="1" ht="12" customHeight="1">
      <c r="B89" s="454" t="s">
        <v>885</v>
      </c>
      <c r="C89" s="67">
        <f t="shared" ref="C89:M89" si="37">IF(AND(C86&gt;10000-2,C85&lt;C88),C85,IF(C85&gt;C88,C88,IF(C88&gt;C86,C85,IF(C85&gt;C86,C85,IF(C86&gt;C87,C86,C87)))))</f>
        <v>3.5</v>
      </c>
      <c r="D89" s="67">
        <f t="shared" si="37"/>
        <v>3.5</v>
      </c>
      <c r="E89" s="67">
        <f t="shared" si="37"/>
        <v>3.5</v>
      </c>
      <c r="F89" s="67">
        <f t="shared" si="37"/>
        <v>3.5</v>
      </c>
      <c r="G89" s="67">
        <f t="shared" si="37"/>
        <v>3.5</v>
      </c>
      <c r="H89" s="67">
        <f t="shared" si="37"/>
        <v>3.5</v>
      </c>
      <c r="I89" s="67">
        <f t="shared" si="37"/>
        <v>3.5</v>
      </c>
      <c r="J89" s="67">
        <f t="shared" si="37"/>
        <v>3.5</v>
      </c>
      <c r="K89" s="67">
        <f t="shared" si="37"/>
        <v>3.5</v>
      </c>
      <c r="L89" s="67">
        <f t="shared" si="37"/>
        <v>3.5</v>
      </c>
      <c r="M89" s="67">
        <f t="shared" si="37"/>
        <v>3.5</v>
      </c>
      <c r="N89" s="455">
        <f t="shared" ref="N89:V89" si="38">IF(AND(N86&gt;10000-2,N85&lt;N88),M85,IF(AND(N86&lt;N88,N86&gt;N87),N86,IF(N86&gt;N88,N88,N87)))</f>
        <v>3.5</v>
      </c>
      <c r="O89" s="455">
        <f t="shared" si="38"/>
        <v>3.5</v>
      </c>
      <c r="P89" s="455">
        <f t="shared" si="38"/>
        <v>3.498338609467456</v>
      </c>
      <c r="Q89" s="455">
        <f t="shared" si="38"/>
        <v>2.9326562499999991</v>
      </c>
      <c r="R89" s="455">
        <f t="shared" si="38"/>
        <v>2.4168289940828398</v>
      </c>
      <c r="S89" s="455">
        <f t="shared" si="38"/>
        <v>1.950856841715976</v>
      </c>
      <c r="T89" s="455">
        <f t="shared" si="38"/>
        <v>1.5347397928994082</v>
      </c>
      <c r="U89" s="455">
        <f t="shared" si="38"/>
        <v>1.5</v>
      </c>
      <c r="V89" s="455">
        <f t="shared" si="38"/>
        <v>1.5</v>
      </c>
      <c r="W89" s="132">
        <f>V89</f>
        <v>1.5</v>
      </c>
      <c r="X89" s="132">
        <f>W89</f>
        <v>1.5</v>
      </c>
      <c r="Y89" s="379"/>
      <c r="Z89" s="132"/>
      <c r="AA89" s="132"/>
      <c r="AB89" s="132"/>
      <c r="AC89" s="380"/>
      <c r="AD89" s="380"/>
      <c r="AG89" s="39"/>
    </row>
    <row r="90" spans="1:33">
      <c r="B90" s="449" t="s">
        <v>886</v>
      </c>
      <c r="C90" s="67">
        <f t="shared" ref="C90:X90" si="39">C89-0.5</f>
        <v>3</v>
      </c>
      <c r="D90" s="67">
        <f t="shared" si="39"/>
        <v>3</v>
      </c>
      <c r="E90" s="67">
        <f t="shared" si="39"/>
        <v>3</v>
      </c>
      <c r="F90" s="67">
        <f t="shared" si="39"/>
        <v>3</v>
      </c>
      <c r="G90" s="67">
        <f t="shared" si="39"/>
        <v>3</v>
      </c>
      <c r="H90" s="67">
        <f t="shared" si="39"/>
        <v>3</v>
      </c>
      <c r="I90" s="67">
        <f t="shared" si="39"/>
        <v>3</v>
      </c>
      <c r="J90" s="67">
        <f t="shared" si="39"/>
        <v>3</v>
      </c>
      <c r="K90" s="67">
        <f t="shared" si="39"/>
        <v>3</v>
      </c>
      <c r="L90" s="67">
        <f t="shared" si="39"/>
        <v>3</v>
      </c>
      <c r="M90" s="67">
        <f t="shared" si="39"/>
        <v>3</v>
      </c>
      <c r="N90" s="67">
        <f t="shared" si="39"/>
        <v>3</v>
      </c>
      <c r="O90" s="67">
        <f t="shared" si="39"/>
        <v>3</v>
      </c>
      <c r="P90" s="67">
        <f t="shared" si="39"/>
        <v>2.998338609467456</v>
      </c>
      <c r="Q90" s="67">
        <f t="shared" si="39"/>
        <v>2.4326562499999991</v>
      </c>
      <c r="R90" s="67">
        <f t="shared" si="39"/>
        <v>1.9168289940828398</v>
      </c>
      <c r="S90" s="67">
        <f t="shared" si="39"/>
        <v>1.450856841715976</v>
      </c>
      <c r="T90" s="67">
        <f t="shared" si="39"/>
        <v>1.0347397928994082</v>
      </c>
      <c r="U90" s="67">
        <f t="shared" si="39"/>
        <v>1</v>
      </c>
      <c r="V90" s="67">
        <f t="shared" si="39"/>
        <v>1</v>
      </c>
      <c r="W90" s="67">
        <f t="shared" si="39"/>
        <v>1</v>
      </c>
      <c r="X90" s="67">
        <f t="shared" si="39"/>
        <v>1</v>
      </c>
      <c r="Y90" s="369"/>
      <c r="Z90" s="91"/>
      <c r="AA90" s="91"/>
      <c r="AB90" s="91"/>
      <c r="AC90" s="91"/>
      <c r="AD90" s="91"/>
    </row>
    <row r="91" spans="1:33">
      <c r="B91" s="85"/>
      <c r="M91" s="89"/>
      <c r="N91" s="89"/>
      <c r="O91" s="89"/>
      <c r="P91" s="89"/>
      <c r="Q91" s="89"/>
      <c r="R91" s="89"/>
      <c r="S91" s="89"/>
      <c r="T91" s="89"/>
      <c r="U91" s="89"/>
      <c r="V91" s="89"/>
      <c r="W91" s="89"/>
      <c r="X91" s="89"/>
      <c r="Y91" s="369"/>
      <c r="Z91" s="91"/>
      <c r="AA91" s="91"/>
      <c r="AB91" s="91"/>
      <c r="AC91" s="91"/>
      <c r="AD91" s="91"/>
    </row>
    <row r="92" spans="1:33">
      <c r="A92" s="95" t="s">
        <v>893</v>
      </c>
      <c r="B92" s="95" t="s">
        <v>787</v>
      </c>
      <c r="C92" s="39">
        <v>0</v>
      </c>
      <c r="D92" s="444">
        <v>600</v>
      </c>
      <c r="E92" s="89">
        <f>D92</f>
        <v>600</v>
      </c>
      <c r="F92" s="89">
        <f t="shared" ref="F92:L92" si="40">$E92+($M92-$E92)/8*F$232</f>
        <v>900.75</v>
      </c>
      <c r="G92" s="89">
        <f t="shared" si="40"/>
        <v>1201.5</v>
      </c>
      <c r="H92" s="89">
        <f t="shared" si="40"/>
        <v>1502.25</v>
      </c>
      <c r="I92" s="89">
        <f t="shared" si="40"/>
        <v>1803</v>
      </c>
      <c r="J92" s="89">
        <f t="shared" si="40"/>
        <v>2103.75</v>
      </c>
      <c r="K92" s="89">
        <f t="shared" si="40"/>
        <v>2404.5</v>
      </c>
      <c r="L92" s="89">
        <f t="shared" si="40"/>
        <v>2705.25</v>
      </c>
      <c r="M92" s="445">
        <v>3006</v>
      </c>
      <c r="N92" s="446">
        <f>M92-1</f>
        <v>3005</v>
      </c>
      <c r="O92" s="373">
        <f>N92</f>
        <v>3005</v>
      </c>
      <c r="P92" s="89">
        <f t="shared" ref="P92:V92" si="41">$O92+($W92-$O92)/8*P$232</f>
        <v>2403.75</v>
      </c>
      <c r="Q92" s="89">
        <f t="shared" si="41"/>
        <v>2103.125</v>
      </c>
      <c r="R92" s="89">
        <f t="shared" si="41"/>
        <v>1802.5</v>
      </c>
      <c r="S92" s="89">
        <f t="shared" si="41"/>
        <v>1501.875</v>
      </c>
      <c r="T92" s="89">
        <f t="shared" si="41"/>
        <v>1201.25</v>
      </c>
      <c r="U92" s="89">
        <f t="shared" si="41"/>
        <v>900.625</v>
      </c>
      <c r="V92" s="89">
        <f t="shared" si="41"/>
        <v>600</v>
      </c>
      <c r="W92" s="446">
        <f>D92</f>
        <v>600</v>
      </c>
      <c r="X92" s="89">
        <v>0</v>
      </c>
      <c r="Y92" s="383">
        <f>D92</f>
        <v>600</v>
      </c>
      <c r="Z92" s="373">
        <f>M92</f>
        <v>3006</v>
      </c>
      <c r="AA92" s="447">
        <f>AC96-0.5</f>
        <v>1</v>
      </c>
      <c r="AB92" s="447">
        <f>AD97-0.5</f>
        <v>3</v>
      </c>
    </row>
    <row r="93" spans="1:33">
      <c r="A93" s="95"/>
      <c r="B93" s="370" t="s">
        <v>877</v>
      </c>
      <c r="C93" s="39">
        <f>IF(C96&gt;C98,$AE$56*1000*$AD$57^0.5,C92)</f>
        <v>0</v>
      </c>
      <c r="D93" s="39">
        <f t="shared" ref="D93:W93" si="42">IF(D96&gt;D98,$AE$56*1000*$AD$57^0.5*$AG93,D92*$AG93)</f>
        <v>600</v>
      </c>
      <c r="E93" s="39">
        <f t="shared" si="42"/>
        <v>600</v>
      </c>
      <c r="F93" s="39">
        <f t="shared" si="42"/>
        <v>900.75</v>
      </c>
      <c r="G93" s="39">
        <f t="shared" si="42"/>
        <v>1201.5</v>
      </c>
      <c r="H93" s="39">
        <f t="shared" si="42"/>
        <v>1502.25</v>
      </c>
      <c r="I93" s="39">
        <f t="shared" si="42"/>
        <v>1803</v>
      </c>
      <c r="J93" s="39">
        <f t="shared" si="42"/>
        <v>2103.75</v>
      </c>
      <c r="K93" s="39">
        <f t="shared" si="42"/>
        <v>2404.5</v>
      </c>
      <c r="L93" s="39">
        <f t="shared" si="42"/>
        <v>2705.25</v>
      </c>
      <c r="M93" s="39">
        <f t="shared" si="42"/>
        <v>3006</v>
      </c>
      <c r="N93" s="39">
        <f t="shared" si="42"/>
        <v>3005</v>
      </c>
      <c r="O93" s="39">
        <f t="shared" si="42"/>
        <v>3005</v>
      </c>
      <c r="P93" s="39">
        <f t="shared" si="42"/>
        <v>2403.75</v>
      </c>
      <c r="Q93" s="39">
        <f t="shared" si="42"/>
        <v>2103.125</v>
      </c>
      <c r="R93" s="39">
        <f t="shared" si="42"/>
        <v>1802.5</v>
      </c>
      <c r="S93" s="39">
        <f t="shared" si="42"/>
        <v>1501.875</v>
      </c>
      <c r="T93" s="39">
        <f t="shared" si="42"/>
        <v>1201.25</v>
      </c>
      <c r="U93" s="39">
        <f t="shared" si="42"/>
        <v>900.625</v>
      </c>
      <c r="V93" s="39">
        <f t="shared" si="42"/>
        <v>600</v>
      </c>
      <c r="W93" s="39">
        <f t="shared" si="42"/>
        <v>600</v>
      </c>
      <c r="X93" s="89">
        <v>0</v>
      </c>
      <c r="Y93" s="383"/>
      <c r="Z93" s="373"/>
      <c r="AA93" s="89"/>
      <c r="AB93" s="89"/>
      <c r="AG93" s="448">
        <v>1</v>
      </c>
    </row>
    <row r="94" spans="1:33">
      <c r="B94" s="449" t="s">
        <v>878</v>
      </c>
      <c r="C94" s="71">
        <f>C93/'Selection pman-p0-qN'!$P$24</f>
        <v>0</v>
      </c>
      <c r="D94" s="71">
        <f>D93/'Selection pman-p0-qN'!$P$24</f>
        <v>1562.5</v>
      </c>
      <c r="E94" s="71">
        <f>E93/'Selection pman-p0-qN'!$P$24</f>
        <v>1562.5</v>
      </c>
      <c r="F94" s="71">
        <f>F93/'Selection pman-p0-qN'!$P$24</f>
        <v>2345.703125</v>
      </c>
      <c r="G94" s="71">
        <f>G93/'Selection pman-p0-qN'!$P$24</f>
        <v>3128.90625</v>
      </c>
      <c r="H94" s="71">
        <f>H93/'Selection pman-p0-qN'!$P$24</f>
        <v>3912.109375</v>
      </c>
      <c r="I94" s="71">
        <f>I93/'Selection pman-p0-qN'!$P$24</f>
        <v>4695.3125</v>
      </c>
      <c r="J94" s="71">
        <f>J93/'Selection pman-p0-qN'!$P$24</f>
        <v>5478.515625</v>
      </c>
      <c r="K94" s="71">
        <f>K93/'Selection pman-p0-qN'!$P$24</f>
        <v>6261.71875</v>
      </c>
      <c r="L94" s="71">
        <f>L93/'Selection pman-p0-qN'!$P$24</f>
        <v>7044.921875</v>
      </c>
      <c r="M94" s="71">
        <f>M93/'Selection pman-p0-qN'!$P$24</f>
        <v>7828.125</v>
      </c>
      <c r="N94" s="71">
        <f>N93/'Selection pman-p0-qN'!$P$24</f>
        <v>7825.520833333333</v>
      </c>
      <c r="O94" s="71">
        <f>O93/'Selection pman-p0-qN'!$P$24</f>
        <v>7825.520833333333</v>
      </c>
      <c r="P94" s="71">
        <f>P93/'Selection pman-p0-qN'!$P$24</f>
        <v>6259.765625</v>
      </c>
      <c r="Q94" s="71">
        <f>Q93/'Selection pman-p0-qN'!$P$24</f>
        <v>5476.888020833333</v>
      </c>
      <c r="R94" s="71">
        <f>R93/'Selection pman-p0-qN'!$P$24</f>
        <v>4694.010416666667</v>
      </c>
      <c r="S94" s="71">
        <f>S93/'Selection pman-p0-qN'!$P$24</f>
        <v>3911.1328125</v>
      </c>
      <c r="T94" s="71">
        <f>T93/'Selection pman-p0-qN'!$P$24</f>
        <v>3128.2552083333335</v>
      </c>
      <c r="U94" s="71">
        <f>U93/'Selection pman-p0-qN'!$P$24</f>
        <v>2345.3776041666665</v>
      </c>
      <c r="V94" s="71">
        <f>V93/'Selection pman-p0-qN'!$P$24</f>
        <v>1562.5</v>
      </c>
      <c r="W94" s="71">
        <f>W93/'Selection pman-p0-qN'!$P$24</f>
        <v>1562.5</v>
      </c>
      <c r="X94" s="71">
        <f>X93/'Selection pman-p0-qN'!$P$24</f>
        <v>0</v>
      </c>
      <c r="Y94" s="369"/>
      <c r="Z94" s="91"/>
      <c r="AA94" s="91"/>
      <c r="AB94" s="91"/>
      <c r="AC94" s="91"/>
      <c r="AD94" s="91"/>
    </row>
    <row r="95" spans="1:33">
      <c r="B95" s="95" t="s">
        <v>879</v>
      </c>
      <c r="C95" s="450">
        <f>-1*10^(-7)*C92^2.02-0.0003*C92+5.0541-(C92/1000)^2/$AF95^2+0.5</f>
        <v>5.5541</v>
      </c>
      <c r="D95" s="450">
        <f>-1*10^(-7)*D92^2.02-0.0003*D92+5.0541-(D92/1000)^2/$AF95^2+0.5</f>
        <v>5.2538372688953485</v>
      </c>
      <c r="E95" s="450">
        <f>-1*10^(-7)*E92^2.02-0.0003*E92+5.0541-(E92/1000)^2/$AF95^2+0.5</f>
        <v>5.2538372688953485</v>
      </c>
      <c r="F95" s="450">
        <f>-1*10^(-7)*F92^2.02-0.0003*F92+5.0541-(F92/1000)^2/$AF95^2+0.5</f>
        <v>5.0120803454655833</v>
      </c>
      <c r="G95" s="450">
        <f t="shared" ref="G95:W95" si="43">-1*10^(-7)*G92^2.02-0.0003*G92+5.0541-(G92/1000)^2/$AF95^2+0.5</f>
        <v>4.7091013065973852</v>
      </c>
      <c r="H95" s="450">
        <f t="shared" si="43"/>
        <v>4.3447750117082666</v>
      </c>
      <c r="I95" s="450">
        <f t="shared" si="43"/>
        <v>3.9190044913773505</v>
      </c>
      <c r="J95" s="450">
        <f t="shared" si="43"/>
        <v>3.4317104337254896</v>
      </c>
      <c r="K95" s="450">
        <f t="shared" si="43"/>
        <v>2.8828256715767724</v>
      </c>
      <c r="L95" s="450">
        <f t="shared" si="43"/>
        <v>2.2722919177762773</v>
      </c>
      <c r="M95" s="450">
        <f t="shared" si="43"/>
        <v>1.6000576676628617</v>
      </c>
      <c r="N95" s="450">
        <f t="shared" si="43"/>
        <v>1.602395149349036</v>
      </c>
      <c r="O95" s="450">
        <f t="shared" si="43"/>
        <v>1.602395149349036</v>
      </c>
      <c r="P95" s="450">
        <f t="shared" si="43"/>
        <v>2.8842711162035162</v>
      </c>
      <c r="Q95" s="450">
        <f t="shared" si="43"/>
        <v>3.4327869404632483</v>
      </c>
      <c r="R95" s="450">
        <f t="shared" si="43"/>
        <v>3.9197633759579218</v>
      </c>
      <c r="S95" s="450">
        <f t="shared" si="43"/>
        <v>4.3452675249842194</v>
      </c>
      <c r="T95" s="450">
        <f t="shared" si="43"/>
        <v>4.7093786209267909</v>
      </c>
      <c r="U95" s="450">
        <f t="shared" si="43"/>
        <v>5.0121935338392971</v>
      </c>
      <c r="V95" s="450">
        <f t="shared" si="43"/>
        <v>5.2538372688953485</v>
      </c>
      <c r="W95" s="450">
        <f t="shared" si="43"/>
        <v>5.2538372688953485</v>
      </c>
      <c r="X95" s="451"/>
      <c r="Y95" s="383"/>
      <c r="Z95" s="373"/>
      <c r="AA95" s="89"/>
      <c r="AB95" s="89"/>
      <c r="AF95" s="452">
        <v>2.13</v>
      </c>
      <c r="AG95" s="85" t="s">
        <v>892</v>
      </c>
    </row>
    <row r="96" spans="1:33">
      <c r="B96" s="95" t="s">
        <v>881</v>
      </c>
      <c r="C96" s="451">
        <f>(C92/1000)^2/$AE96^2</f>
        <v>0</v>
      </c>
      <c r="D96" s="451">
        <f t="shared" ref="D96:W96" si="44">(D92/1000)^2/$AE96^2</f>
        <v>2.7777777777777776E-2</v>
      </c>
      <c r="E96" s="451">
        <f t="shared" si="44"/>
        <v>2.7777777777777776E-2</v>
      </c>
      <c r="F96" s="451">
        <f t="shared" si="44"/>
        <v>6.2604210069444444E-2</v>
      </c>
      <c r="G96" s="451">
        <f t="shared" si="44"/>
        <v>0.1113890625</v>
      </c>
      <c r="H96" s="451">
        <f t="shared" si="44"/>
        <v>0.17413233506944445</v>
      </c>
      <c r="I96" s="451">
        <f t="shared" si="44"/>
        <v>0.25083402777777775</v>
      </c>
      <c r="J96" s="451">
        <f t="shared" si="44"/>
        <v>0.34149414062499989</v>
      </c>
      <c r="K96" s="451">
        <f t="shared" si="44"/>
        <v>0.44611267361111112</v>
      </c>
      <c r="L96" s="451">
        <f t="shared" si="44"/>
        <v>0.56468962673611101</v>
      </c>
      <c r="M96" s="451">
        <f t="shared" si="44"/>
        <v>0.69722499999999987</v>
      </c>
      <c r="N96" s="451">
        <f t="shared" si="44"/>
        <v>0.69676118827160494</v>
      </c>
      <c r="O96" s="451">
        <f t="shared" si="44"/>
        <v>0.69676118827160494</v>
      </c>
      <c r="P96" s="451">
        <f t="shared" si="44"/>
        <v>0.44583441840277777</v>
      </c>
      <c r="Q96" s="451">
        <f t="shared" si="44"/>
        <v>0.34129126277970678</v>
      </c>
      <c r="R96" s="451">
        <f t="shared" si="44"/>
        <v>0.25069492669753085</v>
      </c>
      <c r="S96" s="451">
        <f t="shared" si="44"/>
        <v>0.17404541015625</v>
      </c>
      <c r="T96" s="451">
        <f t="shared" si="44"/>
        <v>0.11134271315586418</v>
      </c>
      <c r="U96" s="451">
        <f t="shared" si="44"/>
        <v>6.2586835696373452E-2</v>
      </c>
      <c r="V96" s="451">
        <f t="shared" si="44"/>
        <v>2.7777777777777776E-2</v>
      </c>
      <c r="W96" s="451">
        <f t="shared" si="44"/>
        <v>2.7777777777777776E-2</v>
      </c>
      <c r="X96" s="451"/>
      <c r="Y96" s="383"/>
      <c r="Z96" s="373"/>
      <c r="AA96" s="89"/>
      <c r="AB96" s="89"/>
      <c r="AC96" s="453">
        <v>1.5</v>
      </c>
      <c r="AD96" s="380"/>
      <c r="AE96" s="452">
        <v>3.6</v>
      </c>
      <c r="AG96" s="85" t="s">
        <v>888</v>
      </c>
    </row>
    <row r="97" spans="1:33">
      <c r="B97" s="95" t="s">
        <v>883</v>
      </c>
      <c r="C97" s="451">
        <f t="shared" ref="C97:W97" si="45">$AC96</f>
        <v>1.5</v>
      </c>
      <c r="D97" s="451">
        <f t="shared" si="45"/>
        <v>1.5</v>
      </c>
      <c r="E97" s="451">
        <f t="shared" si="45"/>
        <v>1.5</v>
      </c>
      <c r="F97" s="451">
        <f t="shared" si="45"/>
        <v>1.5</v>
      </c>
      <c r="G97" s="451">
        <f t="shared" si="45"/>
        <v>1.5</v>
      </c>
      <c r="H97" s="451">
        <f t="shared" si="45"/>
        <v>1.5</v>
      </c>
      <c r="I97" s="451">
        <f t="shared" si="45"/>
        <v>1.5</v>
      </c>
      <c r="J97" s="451">
        <f t="shared" si="45"/>
        <v>1.5</v>
      </c>
      <c r="K97" s="451">
        <f t="shared" si="45"/>
        <v>1.5</v>
      </c>
      <c r="L97" s="451">
        <f t="shared" si="45"/>
        <v>1.5</v>
      </c>
      <c r="M97" s="451">
        <f t="shared" si="45"/>
        <v>1.5</v>
      </c>
      <c r="N97" s="451">
        <f t="shared" si="45"/>
        <v>1.5</v>
      </c>
      <c r="O97" s="451">
        <f t="shared" si="45"/>
        <v>1.5</v>
      </c>
      <c r="P97" s="451">
        <f t="shared" si="45"/>
        <v>1.5</v>
      </c>
      <c r="Q97" s="451">
        <f t="shared" si="45"/>
        <v>1.5</v>
      </c>
      <c r="R97" s="451">
        <f t="shared" si="45"/>
        <v>1.5</v>
      </c>
      <c r="S97" s="451">
        <f t="shared" si="45"/>
        <v>1.5</v>
      </c>
      <c r="T97" s="451">
        <f t="shared" si="45"/>
        <v>1.5</v>
      </c>
      <c r="U97" s="451">
        <f t="shared" si="45"/>
        <v>1.5</v>
      </c>
      <c r="V97" s="451">
        <f t="shared" si="45"/>
        <v>1.5</v>
      </c>
      <c r="W97" s="451">
        <f t="shared" si="45"/>
        <v>1.5</v>
      </c>
      <c r="X97" s="451"/>
      <c r="Y97" s="383"/>
      <c r="Z97" s="373"/>
      <c r="AA97" s="89"/>
      <c r="AB97" s="89"/>
      <c r="AD97" s="453">
        <v>3.5</v>
      </c>
    </row>
    <row r="98" spans="1:33">
      <c r="B98" s="95" t="s">
        <v>884</v>
      </c>
      <c r="C98" s="451">
        <f t="shared" ref="C98:W98" si="46">$AD97</f>
        <v>3.5</v>
      </c>
      <c r="D98" s="451">
        <f t="shared" si="46"/>
        <v>3.5</v>
      </c>
      <c r="E98" s="451">
        <f t="shared" si="46"/>
        <v>3.5</v>
      </c>
      <c r="F98" s="451">
        <f t="shared" si="46"/>
        <v>3.5</v>
      </c>
      <c r="G98" s="451">
        <f t="shared" si="46"/>
        <v>3.5</v>
      </c>
      <c r="H98" s="451">
        <f t="shared" si="46"/>
        <v>3.5</v>
      </c>
      <c r="I98" s="451">
        <f t="shared" si="46"/>
        <v>3.5</v>
      </c>
      <c r="J98" s="451">
        <f t="shared" si="46"/>
        <v>3.5</v>
      </c>
      <c r="K98" s="451">
        <f t="shared" si="46"/>
        <v>3.5</v>
      </c>
      <c r="L98" s="451">
        <f t="shared" si="46"/>
        <v>3.5</v>
      </c>
      <c r="M98" s="451">
        <f t="shared" si="46"/>
        <v>3.5</v>
      </c>
      <c r="N98" s="451">
        <f t="shared" si="46"/>
        <v>3.5</v>
      </c>
      <c r="O98" s="451">
        <f t="shared" si="46"/>
        <v>3.5</v>
      </c>
      <c r="P98" s="451">
        <f t="shared" si="46"/>
        <v>3.5</v>
      </c>
      <c r="Q98" s="451">
        <f t="shared" si="46"/>
        <v>3.5</v>
      </c>
      <c r="R98" s="451">
        <f t="shared" si="46"/>
        <v>3.5</v>
      </c>
      <c r="S98" s="451">
        <f t="shared" si="46"/>
        <v>3.5</v>
      </c>
      <c r="T98" s="451">
        <f t="shared" si="46"/>
        <v>3.5</v>
      </c>
      <c r="U98" s="451">
        <f t="shared" si="46"/>
        <v>3.5</v>
      </c>
      <c r="V98" s="451">
        <f t="shared" si="46"/>
        <v>3.5</v>
      </c>
      <c r="W98" s="451">
        <f t="shared" si="46"/>
        <v>3.5</v>
      </c>
      <c r="X98" s="451"/>
      <c r="Y98" s="383"/>
      <c r="Z98" s="373"/>
      <c r="AA98" s="89"/>
      <c r="AB98" s="89"/>
    </row>
    <row r="99" spans="1:33" s="67" customFormat="1" ht="12" customHeight="1">
      <c r="B99" s="454" t="s">
        <v>885</v>
      </c>
      <c r="C99" s="67">
        <f t="shared" ref="C99:M99" si="47">IF(AND(C96&gt;10000-2,C95&lt;C98),C95,IF(C95&gt;C98,C98,IF(C98&gt;C96,C95,IF(C95&gt;C96,C95,IF(C96&gt;C97,C96,C97)))))</f>
        <v>3.5</v>
      </c>
      <c r="D99" s="67">
        <f t="shared" si="47"/>
        <v>3.5</v>
      </c>
      <c r="E99" s="67">
        <f t="shared" si="47"/>
        <v>3.5</v>
      </c>
      <c r="F99" s="67">
        <f t="shared" si="47"/>
        <v>3.5</v>
      </c>
      <c r="G99" s="67">
        <f t="shared" si="47"/>
        <v>3.5</v>
      </c>
      <c r="H99" s="67">
        <f t="shared" si="47"/>
        <v>3.5</v>
      </c>
      <c r="I99" s="67">
        <f t="shared" si="47"/>
        <v>3.5</v>
      </c>
      <c r="J99" s="67">
        <f t="shared" si="47"/>
        <v>3.4317104337254896</v>
      </c>
      <c r="K99" s="67">
        <f t="shared" si="47"/>
        <v>2.8828256715767724</v>
      </c>
      <c r="L99" s="67">
        <f t="shared" si="47"/>
        <v>2.2722919177762773</v>
      </c>
      <c r="M99" s="67">
        <f t="shared" si="47"/>
        <v>1.6000576676628617</v>
      </c>
      <c r="N99" s="455">
        <f t="shared" ref="N99:V99" si="48">IF(AND(N96&gt;10000-2,N95&lt;N98),M95,IF(AND(N96&lt;N98,N96&gt;N97),N96,IF(N96&gt;N98,N98,N97)))</f>
        <v>1.5</v>
      </c>
      <c r="O99" s="455">
        <f t="shared" si="48"/>
        <v>1.5</v>
      </c>
      <c r="P99" s="455">
        <f t="shared" si="48"/>
        <v>1.5</v>
      </c>
      <c r="Q99" s="455">
        <f t="shared" si="48"/>
        <v>1.5</v>
      </c>
      <c r="R99" s="455">
        <f t="shared" si="48"/>
        <v>1.5</v>
      </c>
      <c r="S99" s="455">
        <f t="shared" si="48"/>
        <v>1.5</v>
      </c>
      <c r="T99" s="455">
        <f t="shared" si="48"/>
        <v>1.5</v>
      </c>
      <c r="U99" s="455">
        <f t="shared" si="48"/>
        <v>1.5</v>
      </c>
      <c r="V99" s="455">
        <f t="shared" si="48"/>
        <v>1.5</v>
      </c>
      <c r="W99" s="132">
        <f>V99</f>
        <v>1.5</v>
      </c>
      <c r="X99" s="132">
        <f>W99</f>
        <v>1.5</v>
      </c>
      <c r="Y99" s="379"/>
      <c r="Z99" s="132"/>
      <c r="AA99" s="132"/>
      <c r="AB99" s="132"/>
      <c r="AC99" s="380"/>
      <c r="AD99" s="380"/>
      <c r="AG99" s="39"/>
    </row>
    <row r="100" spans="1:33">
      <c r="B100" s="449" t="s">
        <v>886</v>
      </c>
      <c r="C100" s="67">
        <f t="shared" ref="C100:X100" si="49">C99-0.5</f>
        <v>3</v>
      </c>
      <c r="D100" s="67">
        <f t="shared" si="49"/>
        <v>3</v>
      </c>
      <c r="E100" s="67">
        <f t="shared" si="49"/>
        <v>3</v>
      </c>
      <c r="F100" s="67">
        <f t="shared" si="49"/>
        <v>3</v>
      </c>
      <c r="G100" s="67">
        <f t="shared" si="49"/>
        <v>3</v>
      </c>
      <c r="H100" s="67">
        <f t="shared" si="49"/>
        <v>3</v>
      </c>
      <c r="I100" s="67">
        <f t="shared" si="49"/>
        <v>3</v>
      </c>
      <c r="J100" s="67">
        <f t="shared" si="49"/>
        <v>2.9317104337254896</v>
      </c>
      <c r="K100" s="67">
        <f t="shared" si="49"/>
        <v>2.3828256715767724</v>
      </c>
      <c r="L100" s="67">
        <f t="shared" si="49"/>
        <v>1.7722919177762773</v>
      </c>
      <c r="M100" s="67">
        <f t="shared" si="49"/>
        <v>1.1000576676628617</v>
      </c>
      <c r="N100" s="67">
        <f t="shared" si="49"/>
        <v>1</v>
      </c>
      <c r="O100" s="67">
        <f t="shared" si="49"/>
        <v>1</v>
      </c>
      <c r="P100" s="67">
        <f t="shared" si="49"/>
        <v>1</v>
      </c>
      <c r="Q100" s="67">
        <f t="shared" si="49"/>
        <v>1</v>
      </c>
      <c r="R100" s="67">
        <f t="shared" si="49"/>
        <v>1</v>
      </c>
      <c r="S100" s="67">
        <f t="shared" si="49"/>
        <v>1</v>
      </c>
      <c r="T100" s="67">
        <f t="shared" si="49"/>
        <v>1</v>
      </c>
      <c r="U100" s="67">
        <f t="shared" si="49"/>
        <v>1</v>
      </c>
      <c r="V100" s="67">
        <f t="shared" si="49"/>
        <v>1</v>
      </c>
      <c r="W100" s="67">
        <f t="shared" si="49"/>
        <v>1</v>
      </c>
      <c r="X100" s="67">
        <f t="shared" si="49"/>
        <v>1</v>
      </c>
      <c r="Y100" s="369"/>
      <c r="Z100" s="91"/>
      <c r="AA100" s="91"/>
      <c r="AB100" s="91"/>
      <c r="AC100" s="91"/>
      <c r="AD100" s="91"/>
    </row>
    <row r="101" spans="1:33">
      <c r="B101" s="449"/>
      <c r="C101" s="85"/>
      <c r="D101" s="71"/>
      <c r="E101" s="71"/>
      <c r="F101" s="71"/>
      <c r="G101" s="71"/>
      <c r="H101" s="71"/>
      <c r="I101" s="71"/>
      <c r="J101" s="71"/>
      <c r="K101" s="71"/>
      <c r="L101" s="71"/>
      <c r="M101" s="71"/>
      <c r="N101" s="71"/>
      <c r="O101" s="71"/>
      <c r="P101" s="71"/>
      <c r="Q101" s="71"/>
      <c r="R101" s="71"/>
      <c r="S101" s="71"/>
      <c r="T101" s="71"/>
      <c r="U101" s="71"/>
      <c r="V101" s="71"/>
      <c r="W101" s="71"/>
      <c r="X101" s="71"/>
      <c r="Y101" s="369"/>
      <c r="Z101" s="91"/>
      <c r="AA101" s="91"/>
      <c r="AB101" s="91"/>
      <c r="AC101" s="91"/>
      <c r="AD101" s="91"/>
    </row>
    <row r="102" spans="1:33">
      <c r="A102" s="95" t="s">
        <v>894</v>
      </c>
      <c r="B102" s="95" t="s">
        <v>787</v>
      </c>
      <c r="C102" s="39">
        <v>0</v>
      </c>
      <c r="D102" s="444">
        <v>600</v>
      </c>
      <c r="E102" s="89">
        <f>D102</f>
        <v>600</v>
      </c>
      <c r="F102" s="89">
        <f t="shared" ref="F102:L102" si="50">$E102+($M102-$E102)/8*F$232</f>
        <v>1107.6875</v>
      </c>
      <c r="G102" s="89">
        <f t="shared" si="50"/>
        <v>1615.375</v>
      </c>
      <c r="H102" s="89">
        <f t="shared" si="50"/>
        <v>2123.0625</v>
      </c>
      <c r="I102" s="89">
        <f t="shared" si="50"/>
        <v>2630.75</v>
      </c>
      <c r="J102" s="89">
        <f t="shared" si="50"/>
        <v>3138.4375</v>
      </c>
      <c r="K102" s="89">
        <f t="shared" si="50"/>
        <v>3646.125</v>
      </c>
      <c r="L102" s="89">
        <f t="shared" si="50"/>
        <v>4153.8125</v>
      </c>
      <c r="M102" s="445">
        <v>4661.5</v>
      </c>
      <c r="N102" s="446">
        <f>M102-1</f>
        <v>4660.5</v>
      </c>
      <c r="O102" s="373">
        <f>N102</f>
        <v>4660.5</v>
      </c>
      <c r="P102" s="89">
        <f t="shared" ref="P102:V102" si="51">$O102+($W102-$O102)/8*P$232</f>
        <v>3645.375</v>
      </c>
      <c r="Q102" s="89">
        <f t="shared" si="51"/>
        <v>3137.8125</v>
      </c>
      <c r="R102" s="89">
        <f t="shared" si="51"/>
        <v>2630.25</v>
      </c>
      <c r="S102" s="89">
        <f t="shared" si="51"/>
        <v>2122.6875</v>
      </c>
      <c r="T102" s="89">
        <f t="shared" si="51"/>
        <v>1615.125</v>
      </c>
      <c r="U102" s="89">
        <f t="shared" si="51"/>
        <v>1107.5625</v>
      </c>
      <c r="V102" s="89">
        <f t="shared" si="51"/>
        <v>600</v>
      </c>
      <c r="W102" s="446">
        <f>D102</f>
        <v>600</v>
      </c>
      <c r="X102" s="89">
        <v>0</v>
      </c>
      <c r="Y102" s="383">
        <f>D102</f>
        <v>600</v>
      </c>
      <c r="Z102" s="373">
        <f>M102</f>
        <v>4661.5</v>
      </c>
      <c r="AA102" s="447">
        <f>AC106-0.5</f>
        <v>1</v>
      </c>
      <c r="AB102" s="447">
        <f>AD107-0.5</f>
        <v>3</v>
      </c>
    </row>
    <row r="103" spans="1:33">
      <c r="A103" s="95"/>
      <c r="B103" s="370" t="s">
        <v>877</v>
      </c>
      <c r="C103" s="39">
        <f>IF(C106&gt;C108,$AE$56*1000*$AD$57^0.5,C102)</f>
        <v>0</v>
      </c>
      <c r="D103" s="39">
        <f t="shared" ref="D103:W103" si="52">IF(D106&gt;D108,$AE$56*1000*$AD$57^0.5*$AG103,D102*$AG103)</f>
        <v>600</v>
      </c>
      <c r="E103" s="39">
        <f t="shared" si="52"/>
        <v>600</v>
      </c>
      <c r="F103" s="39">
        <f t="shared" si="52"/>
        <v>1107.6875</v>
      </c>
      <c r="G103" s="39">
        <f t="shared" si="52"/>
        <v>1615.375</v>
      </c>
      <c r="H103" s="39">
        <f t="shared" si="52"/>
        <v>2123.0625</v>
      </c>
      <c r="I103" s="39">
        <f t="shared" si="52"/>
        <v>2630.75</v>
      </c>
      <c r="J103" s="39">
        <f t="shared" si="52"/>
        <v>3138.4375</v>
      </c>
      <c r="K103" s="39">
        <f t="shared" si="52"/>
        <v>3646.125</v>
      </c>
      <c r="L103" s="39">
        <f t="shared" si="52"/>
        <v>4153.8125</v>
      </c>
      <c r="M103" s="39">
        <f t="shared" si="52"/>
        <v>4661.5</v>
      </c>
      <c r="N103" s="39">
        <f t="shared" si="52"/>
        <v>4660.5</v>
      </c>
      <c r="O103" s="39">
        <f t="shared" si="52"/>
        <v>4660.5</v>
      </c>
      <c r="P103" s="39">
        <f t="shared" si="52"/>
        <v>3645.375</v>
      </c>
      <c r="Q103" s="39">
        <f t="shared" si="52"/>
        <v>3137.8125</v>
      </c>
      <c r="R103" s="39">
        <f t="shared" si="52"/>
        <v>2630.25</v>
      </c>
      <c r="S103" s="39">
        <f t="shared" si="52"/>
        <v>2122.6875</v>
      </c>
      <c r="T103" s="39">
        <f t="shared" si="52"/>
        <v>1615.125</v>
      </c>
      <c r="U103" s="39">
        <f t="shared" si="52"/>
        <v>1107.5625</v>
      </c>
      <c r="V103" s="39">
        <f t="shared" si="52"/>
        <v>600</v>
      </c>
      <c r="W103" s="39">
        <f t="shared" si="52"/>
        <v>600</v>
      </c>
      <c r="X103" s="89">
        <v>0</v>
      </c>
      <c r="Y103" s="383"/>
      <c r="Z103" s="373"/>
      <c r="AA103" s="89"/>
      <c r="AB103" s="89"/>
      <c r="AG103" s="448">
        <v>1</v>
      </c>
    </row>
    <row r="104" spans="1:33">
      <c r="B104" s="449" t="s">
        <v>878</v>
      </c>
      <c r="C104" s="71">
        <f>C103/'Selection pman-p0-qN'!$P$24</f>
        <v>0</v>
      </c>
      <c r="D104" s="71">
        <f>D103/'Selection pman-p0-qN'!$P$24</f>
        <v>1562.5</v>
      </c>
      <c r="E104" s="71">
        <f>E103/'Selection pman-p0-qN'!$P$24</f>
        <v>1562.5</v>
      </c>
      <c r="F104" s="71">
        <f>F103/'Selection pman-p0-qN'!$P$24</f>
        <v>2884.6028645833335</v>
      </c>
      <c r="G104" s="71">
        <f>G103/'Selection pman-p0-qN'!$P$24</f>
        <v>4206.705729166667</v>
      </c>
      <c r="H104" s="71">
        <f>H103/'Selection pman-p0-qN'!$P$24</f>
        <v>5528.80859375</v>
      </c>
      <c r="I104" s="71">
        <f>I103/'Selection pman-p0-qN'!$P$24</f>
        <v>6850.911458333333</v>
      </c>
      <c r="J104" s="71">
        <f>J103/'Selection pman-p0-qN'!$P$24</f>
        <v>8173.0143229166661</v>
      </c>
      <c r="K104" s="71">
        <f>K103/'Selection pman-p0-qN'!$P$24</f>
        <v>9495.1171875</v>
      </c>
      <c r="L104" s="71">
        <f>L103/'Selection pman-p0-qN'!$P$24</f>
        <v>10817.220052083334</v>
      </c>
      <c r="M104" s="71">
        <f>M103/'Selection pman-p0-qN'!$P$24</f>
        <v>12139.322916666666</v>
      </c>
      <c r="N104" s="71">
        <f>N103/'Selection pman-p0-qN'!$P$24</f>
        <v>12136.71875</v>
      </c>
      <c r="O104" s="71">
        <f>O103/'Selection pman-p0-qN'!$P$24</f>
        <v>12136.71875</v>
      </c>
      <c r="P104" s="71">
        <f>P103/'Selection pman-p0-qN'!$P$24</f>
        <v>9493.1640625</v>
      </c>
      <c r="Q104" s="71">
        <f>Q103/'Selection pman-p0-qN'!$P$24</f>
        <v>8171.38671875</v>
      </c>
      <c r="R104" s="71">
        <f>R103/'Selection pman-p0-qN'!$P$24</f>
        <v>6849.609375</v>
      </c>
      <c r="S104" s="71">
        <f>S103/'Selection pman-p0-qN'!$P$24</f>
        <v>5527.83203125</v>
      </c>
      <c r="T104" s="71">
        <f>T103/'Selection pman-p0-qN'!$P$24</f>
        <v>4206.0546875</v>
      </c>
      <c r="U104" s="71">
        <f>U103/'Selection pman-p0-qN'!$P$24</f>
        <v>2884.27734375</v>
      </c>
      <c r="V104" s="71">
        <f>V103/'Selection pman-p0-qN'!$P$24</f>
        <v>1562.5</v>
      </c>
      <c r="W104" s="71">
        <f>W103/'Selection pman-p0-qN'!$P$24</f>
        <v>1562.5</v>
      </c>
      <c r="X104" s="71">
        <f>X103/'Selection pman-p0-qN'!$P$24</f>
        <v>0</v>
      </c>
      <c r="Y104" s="369"/>
      <c r="Z104" s="91"/>
      <c r="AA104" s="91"/>
      <c r="AB104" s="91"/>
      <c r="AC104" s="91"/>
      <c r="AD104" s="91"/>
    </row>
    <row r="105" spans="1:33">
      <c r="B105" s="95" t="s">
        <v>879</v>
      </c>
      <c r="C105" s="450">
        <f>-3*10^(-8)*C102^2.03-0.0001*C102+5.0541-(C102/1000)^2/$AF105^2+0.5</f>
        <v>5.5541</v>
      </c>
      <c r="D105" s="450">
        <f t="shared" ref="D105:W105" si="53">-3*10^(-8)*D102^2.03-0.0001*D102+5.0541-(D102/1000)^2/$AF105^2+0.5</f>
        <v>5.4384148853282337</v>
      </c>
      <c r="E105" s="450">
        <f t="shared" si="53"/>
        <v>5.4384148853282337</v>
      </c>
      <c r="F105" s="450">
        <f t="shared" si="53"/>
        <v>5.2527143580760409</v>
      </c>
      <c r="G105" s="450">
        <f t="shared" si="53"/>
        <v>4.9860723151147699</v>
      </c>
      <c r="H105" s="450">
        <f t="shared" si="53"/>
        <v>4.6382559602988476</v>
      </c>
      <c r="I105" s="450">
        <f t="shared" si="53"/>
        <v>4.2090970954084961</v>
      </c>
      <c r="J105" s="450">
        <f t="shared" si="53"/>
        <v>3.6984634438546031</v>
      </c>
      <c r="K105" s="450">
        <f t="shared" si="53"/>
        <v>3.1062457737213967</v>
      </c>
      <c r="L105" s="450">
        <f t="shared" si="53"/>
        <v>2.4323509443828089</v>
      </c>
      <c r="M105" s="450">
        <f t="shared" si="53"/>
        <v>1.6766977084278216</v>
      </c>
      <c r="N105" s="450">
        <f t="shared" si="53"/>
        <v>1.6782665407026793</v>
      </c>
      <c r="O105" s="450">
        <f t="shared" si="53"/>
        <v>1.6782665407026793</v>
      </c>
      <c r="P105" s="450">
        <f t="shared" si="53"/>
        <v>3.10718086887751</v>
      </c>
      <c r="Q105" s="450">
        <f t="shared" si="53"/>
        <v>3.6991422063200554</v>
      </c>
      <c r="R105" s="450">
        <f t="shared" si="53"/>
        <v>4.2095598173664115</v>
      </c>
      <c r="S105" s="450">
        <f t="shared" si="53"/>
        <v>4.6385428738333312</v>
      </c>
      <c r="T105" s="450">
        <f t="shared" si="53"/>
        <v>4.9862235780442425</v>
      </c>
      <c r="U105" s="450">
        <f t="shared" si="53"/>
        <v>5.2527700307634317</v>
      </c>
      <c r="V105" s="450">
        <f t="shared" si="53"/>
        <v>5.4384148853282337</v>
      </c>
      <c r="W105" s="450">
        <f t="shared" si="53"/>
        <v>5.4384148853282337</v>
      </c>
      <c r="X105" s="451"/>
      <c r="Y105" s="383"/>
      <c r="Z105" s="373"/>
      <c r="AA105" s="89"/>
      <c r="AB105" s="89"/>
      <c r="AF105" s="452">
        <v>2.907</v>
      </c>
      <c r="AG105" s="85" t="s">
        <v>895</v>
      </c>
    </row>
    <row r="106" spans="1:33">
      <c r="B106" s="95" t="s">
        <v>881</v>
      </c>
      <c r="C106" s="451">
        <f>(C102/1000)^2/$AE106^2</f>
        <v>0</v>
      </c>
      <c r="D106" s="451">
        <f t="shared" ref="D106:W106" si="54">(D102/1000)^2/$AE106^2</f>
        <v>2.7777777777777776E-2</v>
      </c>
      <c r="E106" s="451">
        <f t="shared" si="54"/>
        <v>2.7777777777777776E-2</v>
      </c>
      <c r="F106" s="451">
        <f t="shared" si="54"/>
        <v>9.4673734387056313E-2</v>
      </c>
      <c r="G106" s="451">
        <f t="shared" si="54"/>
        <v>0.20134540051118827</v>
      </c>
      <c r="H106" s="451">
        <f t="shared" si="54"/>
        <v>0.34779277615017357</v>
      </c>
      <c r="I106" s="451">
        <f t="shared" si="54"/>
        <v>0.53401586130401224</v>
      </c>
      <c r="J106" s="451">
        <f t="shared" si="54"/>
        <v>0.76001465597270457</v>
      </c>
      <c r="K106" s="451">
        <f t="shared" si="54"/>
        <v>1.0257891601562499</v>
      </c>
      <c r="L106" s="451">
        <f t="shared" si="54"/>
        <v>1.3313393738546488</v>
      </c>
      <c r="M106" s="451">
        <f t="shared" si="54"/>
        <v>1.6766652970679015</v>
      </c>
      <c r="N106" s="451">
        <f t="shared" si="54"/>
        <v>1.6759460069444443</v>
      </c>
      <c r="O106" s="451">
        <f t="shared" si="54"/>
        <v>1.6759460069444443</v>
      </c>
      <c r="P106" s="451">
        <f t="shared" si="54"/>
        <v>1.0253671983506945</v>
      </c>
      <c r="Q106" s="451">
        <f t="shared" si="54"/>
        <v>0.75971198187934019</v>
      </c>
      <c r="R106" s="451">
        <f t="shared" si="54"/>
        <v>0.53381289062500004</v>
      </c>
      <c r="S106" s="451">
        <f t="shared" si="54"/>
        <v>0.3476699245876736</v>
      </c>
      <c r="T106" s="451">
        <f t="shared" si="54"/>
        <v>0.20128308376736109</v>
      </c>
      <c r="U106" s="451">
        <f t="shared" si="54"/>
        <v>9.4652368164062486E-2</v>
      </c>
      <c r="V106" s="451">
        <f t="shared" si="54"/>
        <v>2.7777777777777776E-2</v>
      </c>
      <c r="W106" s="451">
        <f t="shared" si="54"/>
        <v>2.7777777777777776E-2</v>
      </c>
      <c r="X106" s="451"/>
      <c r="Y106" s="383"/>
      <c r="Z106" s="373"/>
      <c r="AA106" s="89"/>
      <c r="AB106" s="89"/>
      <c r="AC106" s="453">
        <v>1.5</v>
      </c>
      <c r="AD106" s="380"/>
      <c r="AE106" s="452">
        <v>3.6</v>
      </c>
      <c r="AG106" s="85" t="s">
        <v>888</v>
      </c>
    </row>
    <row r="107" spans="1:33">
      <c r="B107" s="95" t="s">
        <v>883</v>
      </c>
      <c r="C107" s="451">
        <f t="shared" ref="C107:W107" si="55">$AC106</f>
        <v>1.5</v>
      </c>
      <c r="D107" s="451">
        <f t="shared" si="55"/>
        <v>1.5</v>
      </c>
      <c r="E107" s="451">
        <f t="shared" si="55"/>
        <v>1.5</v>
      </c>
      <c r="F107" s="451">
        <f t="shared" si="55"/>
        <v>1.5</v>
      </c>
      <c r="G107" s="451">
        <f t="shared" si="55"/>
        <v>1.5</v>
      </c>
      <c r="H107" s="451">
        <f t="shared" si="55"/>
        <v>1.5</v>
      </c>
      <c r="I107" s="451">
        <f t="shared" si="55"/>
        <v>1.5</v>
      </c>
      <c r="J107" s="451">
        <f t="shared" si="55"/>
        <v>1.5</v>
      </c>
      <c r="K107" s="451">
        <f t="shared" si="55"/>
        <v>1.5</v>
      </c>
      <c r="L107" s="451">
        <f t="shared" si="55"/>
        <v>1.5</v>
      </c>
      <c r="M107" s="451">
        <f t="shared" si="55"/>
        <v>1.5</v>
      </c>
      <c r="N107" s="451">
        <f t="shared" si="55"/>
        <v>1.5</v>
      </c>
      <c r="O107" s="451">
        <f t="shared" si="55"/>
        <v>1.5</v>
      </c>
      <c r="P107" s="451">
        <f t="shared" si="55"/>
        <v>1.5</v>
      </c>
      <c r="Q107" s="451">
        <f t="shared" si="55"/>
        <v>1.5</v>
      </c>
      <c r="R107" s="451">
        <f t="shared" si="55"/>
        <v>1.5</v>
      </c>
      <c r="S107" s="451">
        <f t="shared" si="55"/>
        <v>1.5</v>
      </c>
      <c r="T107" s="451">
        <f t="shared" si="55"/>
        <v>1.5</v>
      </c>
      <c r="U107" s="451">
        <f t="shared" si="55"/>
        <v>1.5</v>
      </c>
      <c r="V107" s="451">
        <f t="shared" si="55"/>
        <v>1.5</v>
      </c>
      <c r="W107" s="451">
        <f t="shared" si="55"/>
        <v>1.5</v>
      </c>
      <c r="X107" s="451"/>
      <c r="Y107" s="383"/>
      <c r="Z107" s="373"/>
      <c r="AA107" s="89"/>
      <c r="AB107" s="89"/>
      <c r="AD107" s="453">
        <v>3.5</v>
      </c>
    </row>
    <row r="108" spans="1:33">
      <c r="B108" s="95" t="s">
        <v>884</v>
      </c>
      <c r="C108" s="451">
        <f t="shared" ref="C108:W108" si="56">$AD107</f>
        <v>3.5</v>
      </c>
      <c r="D108" s="451">
        <f t="shared" si="56"/>
        <v>3.5</v>
      </c>
      <c r="E108" s="451">
        <f t="shared" si="56"/>
        <v>3.5</v>
      </c>
      <c r="F108" s="451">
        <f t="shared" si="56"/>
        <v>3.5</v>
      </c>
      <c r="G108" s="451">
        <f t="shared" si="56"/>
        <v>3.5</v>
      </c>
      <c r="H108" s="451">
        <f t="shared" si="56"/>
        <v>3.5</v>
      </c>
      <c r="I108" s="451">
        <f t="shared" si="56"/>
        <v>3.5</v>
      </c>
      <c r="J108" s="451">
        <f t="shared" si="56"/>
        <v>3.5</v>
      </c>
      <c r="K108" s="451">
        <f t="shared" si="56"/>
        <v>3.5</v>
      </c>
      <c r="L108" s="451">
        <f t="shared" si="56"/>
        <v>3.5</v>
      </c>
      <c r="M108" s="451">
        <f t="shared" si="56"/>
        <v>3.5</v>
      </c>
      <c r="N108" s="451">
        <f t="shared" si="56"/>
        <v>3.5</v>
      </c>
      <c r="O108" s="451">
        <f t="shared" si="56"/>
        <v>3.5</v>
      </c>
      <c r="P108" s="451">
        <f t="shared" si="56"/>
        <v>3.5</v>
      </c>
      <c r="Q108" s="451">
        <f t="shared" si="56"/>
        <v>3.5</v>
      </c>
      <c r="R108" s="451">
        <f t="shared" si="56"/>
        <v>3.5</v>
      </c>
      <c r="S108" s="451">
        <f t="shared" si="56"/>
        <v>3.5</v>
      </c>
      <c r="T108" s="451">
        <f t="shared" si="56"/>
        <v>3.5</v>
      </c>
      <c r="U108" s="451">
        <f t="shared" si="56"/>
        <v>3.5</v>
      </c>
      <c r="V108" s="451">
        <f t="shared" si="56"/>
        <v>3.5</v>
      </c>
      <c r="W108" s="451">
        <f t="shared" si="56"/>
        <v>3.5</v>
      </c>
      <c r="X108" s="451"/>
      <c r="Y108" s="383"/>
      <c r="Z108" s="373"/>
      <c r="AA108" s="89"/>
      <c r="AB108" s="89"/>
    </row>
    <row r="109" spans="1:33" s="67" customFormat="1" ht="12" customHeight="1">
      <c r="B109" s="454" t="s">
        <v>885</v>
      </c>
      <c r="C109" s="67">
        <f t="shared" ref="C109:M109" si="57">IF(AND(C106&gt;10000-2,C105&lt;C108),C105,IF(C105&gt;C108,C108,IF(C108&gt;C106,C105,IF(C105&gt;C106,C105,IF(C106&gt;C107,C106,C107)))))</f>
        <v>3.5</v>
      </c>
      <c r="D109" s="67">
        <f t="shared" si="57"/>
        <v>3.5</v>
      </c>
      <c r="E109" s="67">
        <f t="shared" si="57"/>
        <v>3.5</v>
      </c>
      <c r="F109" s="67">
        <f t="shared" si="57"/>
        <v>3.5</v>
      </c>
      <c r="G109" s="67">
        <f t="shared" si="57"/>
        <v>3.5</v>
      </c>
      <c r="H109" s="67">
        <f t="shared" si="57"/>
        <v>3.5</v>
      </c>
      <c r="I109" s="67">
        <f t="shared" si="57"/>
        <v>3.5</v>
      </c>
      <c r="J109" s="67">
        <f t="shared" si="57"/>
        <v>3.5</v>
      </c>
      <c r="K109" s="67">
        <f t="shared" si="57"/>
        <v>3.1062457737213967</v>
      </c>
      <c r="L109" s="67">
        <f t="shared" si="57"/>
        <v>2.4323509443828089</v>
      </c>
      <c r="M109" s="67">
        <f t="shared" si="57"/>
        <v>1.6766977084278216</v>
      </c>
      <c r="N109" s="455">
        <f t="shared" ref="N109:V109" si="58">IF(AND(N106&gt;10000-2,N105&lt;N108),M105,IF(AND(N106&lt;N108,N106&gt;N107),N106,IF(N106&gt;N108,N108,N107)))</f>
        <v>1.6759460069444443</v>
      </c>
      <c r="O109" s="455">
        <f t="shared" si="58"/>
        <v>1.6759460069444443</v>
      </c>
      <c r="P109" s="455">
        <f t="shared" si="58"/>
        <v>1.5</v>
      </c>
      <c r="Q109" s="455">
        <f t="shared" si="58"/>
        <v>1.5</v>
      </c>
      <c r="R109" s="455">
        <f t="shared" si="58"/>
        <v>1.5</v>
      </c>
      <c r="S109" s="455">
        <f t="shared" si="58"/>
        <v>1.5</v>
      </c>
      <c r="T109" s="455">
        <f t="shared" si="58"/>
        <v>1.5</v>
      </c>
      <c r="U109" s="455">
        <f t="shared" si="58"/>
        <v>1.5</v>
      </c>
      <c r="V109" s="455">
        <f t="shared" si="58"/>
        <v>1.5</v>
      </c>
      <c r="W109" s="132">
        <f>V109</f>
        <v>1.5</v>
      </c>
      <c r="X109" s="132">
        <f>W109</f>
        <v>1.5</v>
      </c>
      <c r="Y109" s="379"/>
      <c r="Z109" s="132"/>
      <c r="AA109" s="132"/>
      <c r="AB109" s="132"/>
      <c r="AC109" s="380"/>
      <c r="AD109" s="380"/>
      <c r="AG109" s="39"/>
    </row>
    <row r="110" spans="1:33">
      <c r="B110" s="449" t="s">
        <v>886</v>
      </c>
      <c r="C110" s="67">
        <f t="shared" ref="C110:X110" si="59">C109-0.5</f>
        <v>3</v>
      </c>
      <c r="D110" s="67">
        <f t="shared" si="59"/>
        <v>3</v>
      </c>
      <c r="E110" s="67">
        <f t="shared" si="59"/>
        <v>3</v>
      </c>
      <c r="F110" s="67">
        <f t="shared" si="59"/>
        <v>3</v>
      </c>
      <c r="G110" s="67">
        <f t="shared" si="59"/>
        <v>3</v>
      </c>
      <c r="H110" s="67">
        <f t="shared" si="59"/>
        <v>3</v>
      </c>
      <c r="I110" s="67">
        <f t="shared" si="59"/>
        <v>3</v>
      </c>
      <c r="J110" s="67">
        <f t="shared" si="59"/>
        <v>3</v>
      </c>
      <c r="K110" s="67">
        <f t="shared" si="59"/>
        <v>2.6062457737213967</v>
      </c>
      <c r="L110" s="67">
        <f t="shared" si="59"/>
        <v>1.9323509443828089</v>
      </c>
      <c r="M110" s="67">
        <f t="shared" si="59"/>
        <v>1.1766977084278216</v>
      </c>
      <c r="N110" s="67">
        <f t="shared" si="59"/>
        <v>1.1759460069444443</v>
      </c>
      <c r="O110" s="67">
        <f t="shared" si="59"/>
        <v>1.1759460069444443</v>
      </c>
      <c r="P110" s="67">
        <f t="shared" si="59"/>
        <v>1</v>
      </c>
      <c r="Q110" s="67">
        <f t="shared" si="59"/>
        <v>1</v>
      </c>
      <c r="R110" s="67">
        <f t="shared" si="59"/>
        <v>1</v>
      </c>
      <c r="S110" s="67">
        <f t="shared" si="59"/>
        <v>1</v>
      </c>
      <c r="T110" s="67">
        <f t="shared" si="59"/>
        <v>1</v>
      </c>
      <c r="U110" s="67">
        <f t="shared" si="59"/>
        <v>1</v>
      </c>
      <c r="V110" s="67">
        <f t="shared" si="59"/>
        <v>1</v>
      </c>
      <c r="W110" s="67">
        <f t="shared" si="59"/>
        <v>1</v>
      </c>
      <c r="X110" s="67">
        <f t="shared" si="59"/>
        <v>1</v>
      </c>
      <c r="Y110" s="369"/>
      <c r="Z110" s="91"/>
      <c r="AA110" s="91"/>
      <c r="AB110" s="91"/>
      <c r="AC110" s="91"/>
      <c r="AD110" s="91"/>
    </row>
    <row r="111" spans="1:33">
      <c r="B111" s="85"/>
      <c r="C111" s="85"/>
      <c r="M111" s="89"/>
      <c r="N111" s="89"/>
      <c r="O111" s="89"/>
      <c r="P111" s="89"/>
      <c r="Q111" s="89"/>
      <c r="R111" s="89"/>
      <c r="S111" s="89"/>
      <c r="T111" s="89"/>
      <c r="U111" s="89"/>
      <c r="V111" s="89"/>
      <c r="W111" s="89"/>
      <c r="X111" s="89"/>
      <c r="Y111" s="369"/>
      <c r="Z111" s="91"/>
      <c r="AA111" s="91"/>
      <c r="AB111" s="91"/>
      <c r="AC111" s="91"/>
      <c r="AD111" s="91"/>
    </row>
    <row r="112" spans="1:33">
      <c r="A112" s="95" t="s">
        <v>896</v>
      </c>
      <c r="B112" s="95" t="s">
        <v>787</v>
      </c>
      <c r="C112" s="39">
        <v>0</v>
      </c>
      <c r="D112" s="444">
        <v>600</v>
      </c>
      <c r="E112" s="89">
        <f>D112</f>
        <v>600</v>
      </c>
      <c r="F112" s="89">
        <f t="shared" ref="F112:L112" si="60">$E112+($M112-$E112)/8*F$232</f>
        <v>697.375</v>
      </c>
      <c r="G112" s="89">
        <f t="shared" si="60"/>
        <v>794.75</v>
      </c>
      <c r="H112" s="89">
        <f t="shared" si="60"/>
        <v>892.125</v>
      </c>
      <c r="I112" s="89">
        <f t="shared" si="60"/>
        <v>989.5</v>
      </c>
      <c r="J112" s="89">
        <f t="shared" si="60"/>
        <v>1086.875</v>
      </c>
      <c r="K112" s="89">
        <f t="shared" si="60"/>
        <v>1184.25</v>
      </c>
      <c r="L112" s="89">
        <f t="shared" si="60"/>
        <v>1281.625</v>
      </c>
      <c r="M112" s="445">
        <v>1379</v>
      </c>
      <c r="N112" s="446">
        <f>M112-1</f>
        <v>1378</v>
      </c>
      <c r="O112" s="373">
        <f>N112</f>
        <v>1378</v>
      </c>
      <c r="P112" s="89">
        <f t="shared" ref="P112:V112" si="61">$O112+($W112-$O112)/8*P$232</f>
        <v>1183.5</v>
      </c>
      <c r="Q112" s="89">
        <f t="shared" si="61"/>
        <v>1086.25</v>
      </c>
      <c r="R112" s="89">
        <f t="shared" si="61"/>
        <v>989</v>
      </c>
      <c r="S112" s="89">
        <f t="shared" si="61"/>
        <v>891.75</v>
      </c>
      <c r="T112" s="89">
        <f t="shared" si="61"/>
        <v>794.5</v>
      </c>
      <c r="U112" s="89">
        <f t="shared" si="61"/>
        <v>697.25</v>
      </c>
      <c r="V112" s="89">
        <f t="shared" si="61"/>
        <v>600</v>
      </c>
      <c r="W112" s="446">
        <f>D112</f>
        <v>600</v>
      </c>
      <c r="X112" s="89">
        <v>0</v>
      </c>
      <c r="Y112" s="383">
        <f>D112</f>
        <v>600</v>
      </c>
      <c r="Z112" s="373">
        <f>M112</f>
        <v>1379</v>
      </c>
      <c r="AA112" s="447">
        <f>AC116-0.5</f>
        <v>1.5</v>
      </c>
      <c r="AB112" s="447">
        <f>AD117-0.5</f>
        <v>4</v>
      </c>
    </row>
    <row r="113" spans="1:33">
      <c r="A113" s="95"/>
      <c r="B113" s="370" t="s">
        <v>877</v>
      </c>
      <c r="C113" s="39">
        <f>IF(C116&gt;C118,$AE$56*1000*$AD$57^0.5,C112)</f>
        <v>0</v>
      </c>
      <c r="D113" s="39">
        <f t="shared" ref="D113:W113" si="62">IF(D116&gt;D118,$AE$56*1000*$AD$57^0.5*$AG113,D112*$AG113)</f>
        <v>606</v>
      </c>
      <c r="E113" s="39">
        <f t="shared" si="62"/>
        <v>606</v>
      </c>
      <c r="F113" s="39">
        <f t="shared" si="62"/>
        <v>704.34875</v>
      </c>
      <c r="G113" s="39">
        <f t="shared" si="62"/>
        <v>802.69749999999999</v>
      </c>
      <c r="H113" s="39">
        <f t="shared" si="62"/>
        <v>901.04624999999999</v>
      </c>
      <c r="I113" s="39">
        <f t="shared" si="62"/>
        <v>999.39499999999998</v>
      </c>
      <c r="J113" s="39">
        <f t="shared" si="62"/>
        <v>1097.7437500000001</v>
      </c>
      <c r="K113" s="39">
        <f t="shared" si="62"/>
        <v>1196.0925</v>
      </c>
      <c r="L113" s="39">
        <f t="shared" si="62"/>
        <v>1294.4412500000001</v>
      </c>
      <c r="M113" s="39">
        <f t="shared" si="62"/>
        <v>1038.0176419502704</v>
      </c>
      <c r="N113" s="39">
        <f t="shared" si="62"/>
        <v>1391.78</v>
      </c>
      <c r="O113" s="39">
        <f t="shared" si="62"/>
        <v>1391.78</v>
      </c>
      <c r="P113" s="39">
        <f t="shared" si="62"/>
        <v>1195.335</v>
      </c>
      <c r="Q113" s="39">
        <f t="shared" si="62"/>
        <v>1097.1125</v>
      </c>
      <c r="R113" s="39">
        <f t="shared" si="62"/>
        <v>998.89</v>
      </c>
      <c r="S113" s="39">
        <f t="shared" si="62"/>
        <v>900.66750000000002</v>
      </c>
      <c r="T113" s="39">
        <f t="shared" si="62"/>
        <v>802.44500000000005</v>
      </c>
      <c r="U113" s="39">
        <f t="shared" si="62"/>
        <v>704.22249999999997</v>
      </c>
      <c r="V113" s="39">
        <f t="shared" si="62"/>
        <v>606</v>
      </c>
      <c r="W113" s="39">
        <f t="shared" si="62"/>
        <v>606</v>
      </c>
      <c r="X113" s="89">
        <v>0</v>
      </c>
      <c r="Y113" s="383"/>
      <c r="Z113" s="373"/>
      <c r="AA113" s="89"/>
      <c r="AB113" s="89"/>
      <c r="AG113" s="448">
        <v>1.01</v>
      </c>
    </row>
    <row r="114" spans="1:33">
      <c r="B114" s="449" t="s">
        <v>878</v>
      </c>
      <c r="C114" s="71">
        <f>C113/'Selection pman-p0-qN'!$P$24</f>
        <v>0</v>
      </c>
      <c r="D114" s="71">
        <f>D113/'Selection pman-p0-qN'!$P$24</f>
        <v>1578.125</v>
      </c>
      <c r="E114" s="71">
        <f>E113/'Selection pman-p0-qN'!$P$24</f>
        <v>1578.125</v>
      </c>
      <c r="F114" s="71">
        <f>F113/'Selection pman-p0-qN'!$P$24</f>
        <v>1834.2415364583333</v>
      </c>
      <c r="G114" s="71">
        <f>G113/'Selection pman-p0-qN'!$P$24</f>
        <v>2090.3580729166665</v>
      </c>
      <c r="H114" s="71">
        <f>H113/'Selection pman-p0-qN'!$P$24</f>
        <v>2346.474609375</v>
      </c>
      <c r="I114" s="71">
        <f>I113/'Selection pman-p0-qN'!$P$24</f>
        <v>2602.591145833333</v>
      </c>
      <c r="J114" s="71">
        <f>J113/'Selection pman-p0-qN'!$P$24</f>
        <v>2858.707682291667</v>
      </c>
      <c r="K114" s="71">
        <f>K113/'Selection pman-p0-qN'!$P$24</f>
        <v>3114.82421875</v>
      </c>
      <c r="L114" s="71">
        <f>L113/'Selection pman-p0-qN'!$P$24</f>
        <v>3370.9407552083335</v>
      </c>
      <c r="M114" s="71">
        <f>M113/'Selection pman-p0-qN'!$P$24</f>
        <v>2703.1709425788295</v>
      </c>
      <c r="N114" s="71">
        <f>N113/'Selection pman-p0-qN'!$P$24</f>
        <v>3624.427083333333</v>
      </c>
      <c r="O114" s="71">
        <f>O113/'Selection pman-p0-qN'!$P$24</f>
        <v>3624.427083333333</v>
      </c>
      <c r="P114" s="71">
        <f>P113/'Selection pman-p0-qN'!$P$24</f>
        <v>3112.8515625</v>
      </c>
      <c r="Q114" s="71">
        <f>Q113/'Selection pman-p0-qN'!$P$24</f>
        <v>2857.063802083333</v>
      </c>
      <c r="R114" s="71">
        <f>R113/'Selection pman-p0-qN'!$P$24</f>
        <v>2601.2760416666665</v>
      </c>
      <c r="S114" s="71">
        <f>S113/'Selection pman-p0-qN'!$P$24</f>
        <v>2345.48828125</v>
      </c>
      <c r="T114" s="71">
        <f>T113/'Selection pman-p0-qN'!$P$24</f>
        <v>2089.7005208333335</v>
      </c>
      <c r="U114" s="71">
        <f>U113/'Selection pman-p0-qN'!$P$24</f>
        <v>1833.9127604166665</v>
      </c>
      <c r="V114" s="71">
        <f>V113/'Selection pman-p0-qN'!$P$24</f>
        <v>1578.125</v>
      </c>
      <c r="W114" s="71">
        <f>W113/'Selection pman-p0-qN'!$P$24</f>
        <v>1578.125</v>
      </c>
      <c r="X114" s="71">
        <f>X113/'Selection pman-p0-qN'!$P$24</f>
        <v>0</v>
      </c>
      <c r="Y114" s="369"/>
      <c r="Z114" s="91"/>
      <c r="AA114" s="91"/>
      <c r="AB114" s="91"/>
      <c r="AC114" s="91"/>
      <c r="AD114" s="91"/>
    </row>
    <row r="115" spans="1:33">
      <c r="B115" s="95" t="s">
        <v>879</v>
      </c>
      <c r="C115" s="450">
        <f>-1*10^(-7)*C112^2.04-0.0004*C112+6.2067-(C112/1000)^2/$AF115^2+0.5</f>
        <v>6.7066999999999997</v>
      </c>
      <c r="D115" s="450">
        <f t="shared" ref="D115:W115" si="63">-1*10^(-7)*D112^2.04-0.0004*D112+6.2067-(D112/1000)^2/$AF115^2+0.5</f>
        <v>6.3408532772159605</v>
      </c>
      <c r="E115" s="450">
        <f t="shared" si="63"/>
        <v>6.3408532772159605</v>
      </c>
      <c r="F115" s="450">
        <f t="shared" si="63"/>
        <v>6.2573618898843044</v>
      </c>
      <c r="G115" s="450">
        <f t="shared" si="63"/>
        <v>6.1670768188524834</v>
      </c>
      <c r="H115" s="450">
        <f t="shared" si="63"/>
        <v>6.069984325050239</v>
      </c>
      <c r="I115" s="450">
        <f t="shared" si="63"/>
        <v>5.9660722066158689</v>
      </c>
      <c r="J115" s="450">
        <f t="shared" si="63"/>
        <v>5.855329483524832</v>
      </c>
      <c r="K115" s="450">
        <f t="shared" si="63"/>
        <v>5.7377461708737911</v>
      </c>
      <c r="L115" s="450">
        <f t="shared" si="63"/>
        <v>5.6133131103118394</v>
      </c>
      <c r="M115" s="450">
        <f t="shared" si="63"/>
        <v>5.4820218412285682</v>
      </c>
      <c r="N115" s="450">
        <f t="shared" si="63"/>
        <v>5.4834050277145847</v>
      </c>
      <c r="O115" s="450">
        <f t="shared" si="63"/>
        <v>5.4834050277145847</v>
      </c>
      <c r="P115" s="450">
        <f t="shared" si="63"/>
        <v>5.7386779835283184</v>
      </c>
      <c r="Q115" s="450">
        <f t="shared" si="63"/>
        <v>5.8560620860549273</v>
      </c>
      <c r="R115" s="450">
        <f t="shared" si="63"/>
        <v>5.9666232112017008</v>
      </c>
      <c r="S115" s="450">
        <f t="shared" si="63"/>
        <v>6.0703713106139956</v>
      </c>
      <c r="T115" s="450">
        <f t="shared" si="63"/>
        <v>6.1673173269249917</v>
      </c>
      <c r="U115" s="450">
        <f t="shared" si="63"/>
        <v>6.2574734193205375</v>
      </c>
      <c r="V115" s="450">
        <f t="shared" si="63"/>
        <v>6.3408532772159605</v>
      </c>
      <c r="W115" s="450">
        <f t="shared" si="63"/>
        <v>6.3408532772159605</v>
      </c>
      <c r="X115" s="451"/>
      <c r="Y115" s="383"/>
      <c r="Z115" s="373"/>
      <c r="AA115" s="89"/>
      <c r="AB115" s="89"/>
      <c r="AF115" s="452">
        <v>2.13</v>
      </c>
      <c r="AG115" s="85" t="s">
        <v>892</v>
      </c>
    </row>
    <row r="116" spans="1:33">
      <c r="B116" s="95" t="s">
        <v>881</v>
      </c>
      <c r="C116" s="451">
        <f>(C112/1000)^2/$AE116^2</f>
        <v>0</v>
      </c>
      <c r="D116" s="451">
        <f t="shared" ref="D116:W116" si="64">(D112/1000)^2/$AE116^2</f>
        <v>0.85207100591715967</v>
      </c>
      <c r="E116" s="451">
        <f t="shared" si="64"/>
        <v>0.85207100591715967</v>
      </c>
      <c r="F116" s="451">
        <f t="shared" si="64"/>
        <v>1.1510813979289938</v>
      </c>
      <c r="G116" s="451">
        <f t="shared" si="64"/>
        <v>1.4949764792899405</v>
      </c>
      <c r="H116" s="451">
        <f t="shared" si="64"/>
        <v>1.8837562499999996</v>
      </c>
      <c r="I116" s="451">
        <f t="shared" si="64"/>
        <v>2.3174207100591717</v>
      </c>
      <c r="J116" s="451">
        <f t="shared" si="64"/>
        <v>2.7959698594674554</v>
      </c>
      <c r="K116" s="451">
        <f t="shared" si="64"/>
        <v>3.3194036982248516</v>
      </c>
      <c r="L116" s="451">
        <f t="shared" si="64"/>
        <v>3.8877222263313604</v>
      </c>
      <c r="M116" s="451">
        <f t="shared" si="64"/>
        <v>4.5009254437869819</v>
      </c>
      <c r="N116" s="451">
        <f t="shared" si="64"/>
        <v>4.4943999999999988</v>
      </c>
      <c r="O116" s="451">
        <f t="shared" si="64"/>
        <v>4.4943999999999988</v>
      </c>
      <c r="P116" s="451">
        <f t="shared" si="64"/>
        <v>3.3152005917159757</v>
      </c>
      <c r="Q116" s="451">
        <f t="shared" si="64"/>
        <v>2.7927551775147923</v>
      </c>
      <c r="R116" s="451">
        <f t="shared" si="64"/>
        <v>2.3150792899408281</v>
      </c>
      <c r="S116" s="451">
        <f t="shared" si="64"/>
        <v>1.8821729289940827</v>
      </c>
      <c r="T116" s="451">
        <f t="shared" si="64"/>
        <v>1.4940360946745561</v>
      </c>
      <c r="U116" s="451">
        <f t="shared" si="64"/>
        <v>1.1506687869822485</v>
      </c>
      <c r="V116" s="451">
        <f t="shared" si="64"/>
        <v>0.85207100591715967</v>
      </c>
      <c r="W116" s="451">
        <f t="shared" si="64"/>
        <v>0.85207100591715967</v>
      </c>
      <c r="X116" s="451"/>
      <c r="Y116" s="383"/>
      <c r="Z116" s="373"/>
      <c r="AA116" s="89"/>
      <c r="AB116" s="89"/>
      <c r="AC116" s="453">
        <v>2</v>
      </c>
      <c r="AD116" s="380"/>
      <c r="AE116" s="452">
        <v>0.65</v>
      </c>
      <c r="AG116" s="85" t="s">
        <v>882</v>
      </c>
    </row>
    <row r="117" spans="1:33">
      <c r="B117" s="95" t="s">
        <v>883</v>
      </c>
      <c r="C117" s="451">
        <f t="shared" ref="C117:W117" si="65">$AC116</f>
        <v>2</v>
      </c>
      <c r="D117" s="451">
        <f t="shared" si="65"/>
        <v>2</v>
      </c>
      <c r="E117" s="451">
        <f t="shared" si="65"/>
        <v>2</v>
      </c>
      <c r="F117" s="451">
        <f t="shared" si="65"/>
        <v>2</v>
      </c>
      <c r="G117" s="451">
        <f t="shared" si="65"/>
        <v>2</v>
      </c>
      <c r="H117" s="451">
        <f t="shared" si="65"/>
        <v>2</v>
      </c>
      <c r="I117" s="451">
        <f t="shared" si="65"/>
        <v>2</v>
      </c>
      <c r="J117" s="451">
        <f t="shared" si="65"/>
        <v>2</v>
      </c>
      <c r="K117" s="451">
        <f t="shared" si="65"/>
        <v>2</v>
      </c>
      <c r="L117" s="451">
        <f t="shared" si="65"/>
        <v>2</v>
      </c>
      <c r="M117" s="451">
        <f t="shared" si="65"/>
        <v>2</v>
      </c>
      <c r="N117" s="451">
        <f t="shared" si="65"/>
        <v>2</v>
      </c>
      <c r="O117" s="451">
        <f t="shared" si="65"/>
        <v>2</v>
      </c>
      <c r="P117" s="451">
        <f t="shared" si="65"/>
        <v>2</v>
      </c>
      <c r="Q117" s="451">
        <f t="shared" si="65"/>
        <v>2</v>
      </c>
      <c r="R117" s="451">
        <f t="shared" si="65"/>
        <v>2</v>
      </c>
      <c r="S117" s="451">
        <f t="shared" si="65"/>
        <v>2</v>
      </c>
      <c r="T117" s="451">
        <f t="shared" si="65"/>
        <v>2</v>
      </c>
      <c r="U117" s="451">
        <f t="shared" si="65"/>
        <v>2</v>
      </c>
      <c r="V117" s="451">
        <f t="shared" si="65"/>
        <v>2</v>
      </c>
      <c r="W117" s="451">
        <f t="shared" si="65"/>
        <v>2</v>
      </c>
      <c r="X117" s="451"/>
      <c r="Y117" s="383"/>
      <c r="Z117" s="373"/>
      <c r="AA117" s="89"/>
      <c r="AB117" s="89"/>
      <c r="AD117" s="453">
        <v>4.5</v>
      </c>
    </row>
    <row r="118" spans="1:33">
      <c r="B118" s="95" t="s">
        <v>884</v>
      </c>
      <c r="C118" s="451">
        <f t="shared" ref="C118:W118" si="66">$AD117</f>
        <v>4.5</v>
      </c>
      <c r="D118" s="451">
        <f t="shared" si="66"/>
        <v>4.5</v>
      </c>
      <c r="E118" s="451">
        <f t="shared" si="66"/>
        <v>4.5</v>
      </c>
      <c r="F118" s="451">
        <f t="shared" si="66"/>
        <v>4.5</v>
      </c>
      <c r="G118" s="451">
        <f t="shared" si="66"/>
        <v>4.5</v>
      </c>
      <c r="H118" s="451">
        <f t="shared" si="66"/>
        <v>4.5</v>
      </c>
      <c r="I118" s="451">
        <f t="shared" si="66"/>
        <v>4.5</v>
      </c>
      <c r="J118" s="451">
        <f t="shared" si="66"/>
        <v>4.5</v>
      </c>
      <c r="K118" s="451">
        <f t="shared" si="66"/>
        <v>4.5</v>
      </c>
      <c r="L118" s="451">
        <f t="shared" si="66"/>
        <v>4.5</v>
      </c>
      <c r="M118" s="451">
        <f t="shared" si="66"/>
        <v>4.5</v>
      </c>
      <c r="N118" s="451">
        <f t="shared" si="66"/>
        <v>4.5</v>
      </c>
      <c r="O118" s="451">
        <f t="shared" si="66"/>
        <v>4.5</v>
      </c>
      <c r="P118" s="451">
        <f t="shared" si="66"/>
        <v>4.5</v>
      </c>
      <c r="Q118" s="451">
        <f t="shared" si="66"/>
        <v>4.5</v>
      </c>
      <c r="R118" s="451">
        <f t="shared" si="66"/>
        <v>4.5</v>
      </c>
      <c r="S118" s="451">
        <f t="shared" si="66"/>
        <v>4.5</v>
      </c>
      <c r="T118" s="451">
        <f t="shared" si="66"/>
        <v>4.5</v>
      </c>
      <c r="U118" s="451">
        <f t="shared" si="66"/>
        <v>4.5</v>
      </c>
      <c r="V118" s="451">
        <f t="shared" si="66"/>
        <v>4.5</v>
      </c>
      <c r="W118" s="451">
        <f t="shared" si="66"/>
        <v>4.5</v>
      </c>
      <c r="X118" s="451"/>
      <c r="Y118" s="383"/>
      <c r="Z118" s="373"/>
      <c r="AA118" s="89"/>
      <c r="AB118" s="89"/>
    </row>
    <row r="119" spans="1:33" s="67" customFormat="1" ht="12" customHeight="1">
      <c r="B119" s="454" t="s">
        <v>885</v>
      </c>
      <c r="C119" s="67">
        <f t="shared" ref="C119:M119" si="67">IF(AND(C116&gt;10000-2,C115&lt;C118),C115,IF(C115&gt;C118,C118,IF(C118&gt;C116,C115,IF(C115&gt;C116,C115,IF(C116&gt;C117,C116,C117)))))</f>
        <v>4.5</v>
      </c>
      <c r="D119" s="67">
        <f t="shared" si="67"/>
        <v>4.5</v>
      </c>
      <c r="E119" s="67">
        <f t="shared" si="67"/>
        <v>4.5</v>
      </c>
      <c r="F119" s="67">
        <f t="shared" si="67"/>
        <v>4.5</v>
      </c>
      <c r="G119" s="67">
        <f t="shared" si="67"/>
        <v>4.5</v>
      </c>
      <c r="H119" s="67">
        <f t="shared" si="67"/>
        <v>4.5</v>
      </c>
      <c r="I119" s="67">
        <f t="shared" si="67"/>
        <v>4.5</v>
      </c>
      <c r="J119" s="67">
        <f t="shared" si="67"/>
        <v>4.5</v>
      </c>
      <c r="K119" s="67">
        <f t="shared" si="67"/>
        <v>4.5</v>
      </c>
      <c r="L119" s="67">
        <f t="shared" si="67"/>
        <v>4.5</v>
      </c>
      <c r="M119" s="67">
        <f t="shared" si="67"/>
        <v>4.5</v>
      </c>
      <c r="N119" s="455">
        <f t="shared" ref="N119:V119" si="68">IF(AND(N116&gt;10000-2,N115&lt;N118),M115,IF(AND(N116&lt;N118,N116&gt;N117),N116,IF(N116&gt;N118,N118,N117)))</f>
        <v>4.4943999999999988</v>
      </c>
      <c r="O119" s="455">
        <f t="shared" si="68"/>
        <v>4.4943999999999988</v>
      </c>
      <c r="P119" s="455">
        <f t="shared" si="68"/>
        <v>3.3152005917159757</v>
      </c>
      <c r="Q119" s="455">
        <f t="shared" si="68"/>
        <v>2.7927551775147923</v>
      </c>
      <c r="R119" s="455">
        <f t="shared" si="68"/>
        <v>2.3150792899408281</v>
      </c>
      <c r="S119" s="455">
        <f t="shared" si="68"/>
        <v>2</v>
      </c>
      <c r="T119" s="455">
        <f t="shared" si="68"/>
        <v>2</v>
      </c>
      <c r="U119" s="455">
        <f t="shared" si="68"/>
        <v>2</v>
      </c>
      <c r="V119" s="455">
        <f t="shared" si="68"/>
        <v>2</v>
      </c>
      <c r="W119" s="132">
        <f>V119</f>
        <v>2</v>
      </c>
      <c r="X119" s="132">
        <f>W119</f>
        <v>2</v>
      </c>
      <c r="Y119" s="379"/>
      <c r="Z119" s="132"/>
      <c r="AA119" s="132"/>
      <c r="AB119" s="132"/>
      <c r="AC119" s="380"/>
      <c r="AD119" s="380"/>
      <c r="AG119" s="39"/>
    </row>
    <row r="120" spans="1:33">
      <c r="B120" s="449" t="s">
        <v>886</v>
      </c>
      <c r="C120" s="67">
        <f t="shared" ref="C120:X120" si="69">C119-0.5</f>
        <v>4</v>
      </c>
      <c r="D120" s="67">
        <f t="shared" si="69"/>
        <v>4</v>
      </c>
      <c r="E120" s="67">
        <f t="shared" si="69"/>
        <v>4</v>
      </c>
      <c r="F120" s="67">
        <f t="shared" si="69"/>
        <v>4</v>
      </c>
      <c r="G120" s="67">
        <f t="shared" si="69"/>
        <v>4</v>
      </c>
      <c r="H120" s="67">
        <f t="shared" si="69"/>
        <v>4</v>
      </c>
      <c r="I120" s="67">
        <f t="shared" si="69"/>
        <v>4</v>
      </c>
      <c r="J120" s="67">
        <f t="shared" si="69"/>
        <v>4</v>
      </c>
      <c r="K120" s="67">
        <f t="shared" si="69"/>
        <v>4</v>
      </c>
      <c r="L120" s="67">
        <f t="shared" si="69"/>
        <v>4</v>
      </c>
      <c r="M120" s="67">
        <f t="shared" si="69"/>
        <v>4</v>
      </c>
      <c r="N120" s="67">
        <f t="shared" si="69"/>
        <v>3.9943999999999988</v>
      </c>
      <c r="O120" s="67">
        <f t="shared" si="69"/>
        <v>3.9943999999999988</v>
      </c>
      <c r="P120" s="67">
        <f t="shared" si="69"/>
        <v>2.8152005917159757</v>
      </c>
      <c r="Q120" s="67">
        <f t="shared" si="69"/>
        <v>2.2927551775147923</v>
      </c>
      <c r="R120" s="67">
        <f t="shared" si="69"/>
        <v>1.8150792899408281</v>
      </c>
      <c r="S120" s="67">
        <f t="shared" si="69"/>
        <v>1.5</v>
      </c>
      <c r="T120" s="67">
        <f t="shared" si="69"/>
        <v>1.5</v>
      </c>
      <c r="U120" s="67">
        <f t="shared" si="69"/>
        <v>1.5</v>
      </c>
      <c r="V120" s="67">
        <f t="shared" si="69"/>
        <v>1.5</v>
      </c>
      <c r="W120" s="67">
        <f t="shared" si="69"/>
        <v>1.5</v>
      </c>
      <c r="X120" s="67">
        <f t="shared" si="69"/>
        <v>1.5</v>
      </c>
      <c r="Y120" s="369"/>
      <c r="Z120" s="91"/>
      <c r="AA120" s="91"/>
      <c r="AB120" s="91"/>
      <c r="AC120" s="91"/>
      <c r="AD120" s="91"/>
    </row>
    <row r="121" spans="1:33">
      <c r="B121" s="85"/>
      <c r="C121" s="85"/>
      <c r="M121" s="89"/>
      <c r="N121" s="89"/>
      <c r="O121" s="89"/>
      <c r="P121" s="89"/>
      <c r="Q121" s="89"/>
      <c r="R121" s="89"/>
      <c r="S121" s="89"/>
      <c r="T121" s="89"/>
      <c r="U121" s="89"/>
      <c r="V121" s="89"/>
      <c r="W121" s="89"/>
      <c r="X121" s="89"/>
      <c r="Y121" s="369"/>
      <c r="Z121" s="91"/>
      <c r="AA121" s="91"/>
      <c r="AB121" s="91"/>
      <c r="AC121" s="91"/>
      <c r="AD121" s="91"/>
    </row>
    <row r="122" spans="1:33">
      <c r="A122" s="95" t="s">
        <v>897</v>
      </c>
      <c r="B122" s="95" t="s">
        <v>787</v>
      </c>
      <c r="C122" s="39">
        <v>0</v>
      </c>
      <c r="D122" s="444">
        <v>600</v>
      </c>
      <c r="E122" s="89">
        <f>D122</f>
        <v>600</v>
      </c>
      <c r="F122" s="89">
        <f t="shared" ref="F122:L122" si="70">$E122+($M122-$E122)/8*F$232</f>
        <v>913.58749999999998</v>
      </c>
      <c r="G122" s="89">
        <f t="shared" si="70"/>
        <v>1227.175</v>
      </c>
      <c r="H122" s="89">
        <f t="shared" si="70"/>
        <v>1540.7624999999998</v>
      </c>
      <c r="I122" s="89">
        <f t="shared" si="70"/>
        <v>1854.35</v>
      </c>
      <c r="J122" s="89">
        <f t="shared" si="70"/>
        <v>2167.9375</v>
      </c>
      <c r="K122" s="89">
        <f t="shared" si="70"/>
        <v>2481.5249999999996</v>
      </c>
      <c r="L122" s="89">
        <f t="shared" si="70"/>
        <v>2795.1124999999997</v>
      </c>
      <c r="M122" s="445">
        <v>3108.7</v>
      </c>
      <c r="N122" s="446">
        <f>M122-1</f>
        <v>3107.7</v>
      </c>
      <c r="O122" s="373">
        <f>N122</f>
        <v>3107.7</v>
      </c>
      <c r="P122" s="89">
        <f t="shared" ref="P122:V122" si="71">$O122+($W122-$O122)/8*P$232</f>
        <v>2480.7749999999996</v>
      </c>
      <c r="Q122" s="89">
        <f t="shared" si="71"/>
        <v>2167.3125</v>
      </c>
      <c r="R122" s="89">
        <f t="shared" si="71"/>
        <v>1853.85</v>
      </c>
      <c r="S122" s="89">
        <f t="shared" si="71"/>
        <v>1540.3874999999998</v>
      </c>
      <c r="T122" s="89">
        <f t="shared" si="71"/>
        <v>1226.925</v>
      </c>
      <c r="U122" s="89">
        <f t="shared" si="71"/>
        <v>913.46250000000009</v>
      </c>
      <c r="V122" s="89">
        <f t="shared" si="71"/>
        <v>600</v>
      </c>
      <c r="W122" s="446">
        <f>D122</f>
        <v>600</v>
      </c>
      <c r="X122" s="89">
        <v>0</v>
      </c>
      <c r="Y122" s="383">
        <f>D122</f>
        <v>600</v>
      </c>
      <c r="Z122" s="373">
        <f>M122</f>
        <v>3108.7</v>
      </c>
      <c r="AA122" s="447">
        <f>AC126-0.5</f>
        <v>1.5</v>
      </c>
      <c r="AB122" s="447">
        <f>AD127-0.5</f>
        <v>4</v>
      </c>
    </row>
    <row r="123" spans="1:33">
      <c r="A123" s="95"/>
      <c r="B123" s="370" t="s">
        <v>877</v>
      </c>
      <c r="C123" s="39">
        <f>IF(C126&gt;C128,$AE$56*1000*$AD$57^0.5,C122)</f>
        <v>0</v>
      </c>
      <c r="D123" s="39">
        <f t="shared" ref="D123:W123" si="72">IF(D126&gt;D128,$AE$56*1000*$AD$57^0.5*$AG123,D122*$AG123)</f>
        <v>606</v>
      </c>
      <c r="E123" s="39">
        <f t="shared" si="72"/>
        <v>606</v>
      </c>
      <c r="F123" s="39">
        <f t="shared" si="72"/>
        <v>922.72337500000003</v>
      </c>
      <c r="G123" s="39">
        <f t="shared" si="72"/>
        <v>1239.4467500000001</v>
      </c>
      <c r="H123" s="39">
        <f t="shared" si="72"/>
        <v>1556.1701249999999</v>
      </c>
      <c r="I123" s="39">
        <f t="shared" si="72"/>
        <v>1872.8934999999999</v>
      </c>
      <c r="J123" s="39">
        <f t="shared" si="72"/>
        <v>2189.6168750000002</v>
      </c>
      <c r="K123" s="39">
        <f t="shared" si="72"/>
        <v>2506.3402499999997</v>
      </c>
      <c r="L123" s="39">
        <f t="shared" si="72"/>
        <v>2823.0636249999998</v>
      </c>
      <c r="M123" s="39">
        <f t="shared" si="72"/>
        <v>3139.7869999999998</v>
      </c>
      <c r="N123" s="39">
        <f t="shared" si="72"/>
        <v>3138.777</v>
      </c>
      <c r="O123" s="39">
        <f t="shared" si="72"/>
        <v>3138.777</v>
      </c>
      <c r="P123" s="39">
        <f t="shared" si="72"/>
        <v>2505.5827499999996</v>
      </c>
      <c r="Q123" s="39">
        <f t="shared" si="72"/>
        <v>2188.9856249999998</v>
      </c>
      <c r="R123" s="39">
        <f t="shared" si="72"/>
        <v>1872.3885</v>
      </c>
      <c r="S123" s="39">
        <f t="shared" si="72"/>
        <v>1555.7913749999998</v>
      </c>
      <c r="T123" s="39">
        <f t="shared" si="72"/>
        <v>1239.19425</v>
      </c>
      <c r="U123" s="39">
        <f t="shared" si="72"/>
        <v>922.59712500000012</v>
      </c>
      <c r="V123" s="39">
        <f t="shared" si="72"/>
        <v>606</v>
      </c>
      <c r="W123" s="39">
        <f t="shared" si="72"/>
        <v>606</v>
      </c>
      <c r="X123" s="89">
        <v>0</v>
      </c>
      <c r="Y123" s="383"/>
      <c r="Z123" s="373"/>
      <c r="AA123" s="89"/>
      <c r="AB123" s="89"/>
      <c r="AG123" s="448">
        <v>1.01</v>
      </c>
    </row>
    <row r="124" spans="1:33">
      <c r="B124" s="449" t="s">
        <v>878</v>
      </c>
      <c r="C124" s="71">
        <f>C123/'Selection pman-p0-qN'!$P$24</f>
        <v>0</v>
      </c>
      <c r="D124" s="71">
        <f>D123/'Selection pman-p0-qN'!$P$24</f>
        <v>1578.125</v>
      </c>
      <c r="E124" s="71">
        <f>E123/'Selection pman-p0-qN'!$P$24</f>
        <v>1578.125</v>
      </c>
      <c r="F124" s="71">
        <f>F123/'Selection pman-p0-qN'!$P$24</f>
        <v>2402.9254557291665</v>
      </c>
      <c r="G124" s="71">
        <f>G123/'Selection pman-p0-qN'!$P$24</f>
        <v>3227.7259114583335</v>
      </c>
      <c r="H124" s="71">
        <f>H123/'Selection pman-p0-qN'!$P$24</f>
        <v>4052.5263671874995</v>
      </c>
      <c r="I124" s="71">
        <f>I123/'Selection pman-p0-qN'!$P$24</f>
        <v>4877.3268229166661</v>
      </c>
      <c r="J124" s="71">
        <f>J123/'Selection pman-p0-qN'!$P$24</f>
        <v>5702.1272786458339</v>
      </c>
      <c r="K124" s="71">
        <f>K123/'Selection pman-p0-qN'!$P$24</f>
        <v>6526.9277343749991</v>
      </c>
      <c r="L124" s="71">
        <f>L123/'Selection pman-p0-qN'!$P$24</f>
        <v>7351.7281901041661</v>
      </c>
      <c r="M124" s="71">
        <f>M123/'Selection pman-p0-qN'!$P$24</f>
        <v>8176.528645833333</v>
      </c>
      <c r="N124" s="71">
        <f>N123/'Selection pman-p0-qN'!$P$24</f>
        <v>8173.8984375</v>
      </c>
      <c r="O124" s="71">
        <f>O123/'Selection pman-p0-qN'!$P$24</f>
        <v>8173.8984375</v>
      </c>
      <c r="P124" s="71">
        <f>P123/'Selection pman-p0-qN'!$P$24</f>
        <v>6524.9550781249991</v>
      </c>
      <c r="Q124" s="71">
        <f>Q123/'Selection pman-p0-qN'!$P$24</f>
        <v>5700.4833984374991</v>
      </c>
      <c r="R124" s="71">
        <f>R123/'Selection pman-p0-qN'!$P$24</f>
        <v>4876.01171875</v>
      </c>
      <c r="S124" s="71">
        <f>S123/'Selection pman-p0-qN'!$P$24</f>
        <v>4051.5400390624995</v>
      </c>
      <c r="T124" s="71">
        <f>T123/'Selection pman-p0-qN'!$P$24</f>
        <v>3227.068359375</v>
      </c>
      <c r="U124" s="71">
        <f>U123/'Selection pman-p0-qN'!$P$24</f>
        <v>2402.5966796875005</v>
      </c>
      <c r="V124" s="71">
        <f>V123/'Selection pman-p0-qN'!$P$24</f>
        <v>1578.125</v>
      </c>
      <c r="W124" s="71">
        <f>W123/'Selection pman-p0-qN'!$P$24</f>
        <v>1578.125</v>
      </c>
      <c r="X124" s="71">
        <f>X123/'Selection pman-p0-qN'!$P$24</f>
        <v>0</v>
      </c>
      <c r="Y124" s="369"/>
      <c r="Z124" s="91"/>
      <c r="AA124" s="91"/>
      <c r="AB124" s="91"/>
      <c r="AC124" s="91"/>
      <c r="AD124" s="91"/>
    </row>
    <row r="125" spans="1:33">
      <c r="B125" s="95" t="s">
        <v>879</v>
      </c>
      <c r="C125" s="450">
        <f>-1*10^(-7)*C122^2.04-0.0004*C122+6.2067-(C122/1000)^2/$AF125^2+0.5</f>
        <v>6.7066999999999997</v>
      </c>
      <c r="D125" s="450">
        <f t="shared" ref="D125:W125" si="73">-1*10^(-7)*D122^2.04-0.0004*D122+6.2067-(D122/1000)^2/$AF125^2+0.5</f>
        <v>6.3408532772159605</v>
      </c>
      <c r="E125" s="450">
        <f t="shared" si="73"/>
        <v>6.3408532772159605</v>
      </c>
      <c r="F125" s="450">
        <f t="shared" si="73"/>
        <v>6.0476672822266213</v>
      </c>
      <c r="G125" s="450">
        <f t="shared" si="73"/>
        <v>5.6837381341853357</v>
      </c>
      <c r="H125" s="450">
        <f t="shared" si="73"/>
        <v>5.248735743411137</v>
      </c>
      <c r="I125" s="450">
        <f t="shared" si="73"/>
        <v>4.742404422833749</v>
      </c>
      <c r="J125" s="450">
        <f t="shared" si="73"/>
        <v>4.1645348972911496</v>
      </c>
      <c r="K125" s="450">
        <f t="shared" si="73"/>
        <v>3.5149497438738386</v>
      </c>
      <c r="L125" s="450">
        <f t="shared" si="73"/>
        <v>2.7934948073395689</v>
      </c>
      <c r="M125" s="450">
        <f t="shared" si="73"/>
        <v>2.0000336987044594</v>
      </c>
      <c r="N125" s="450">
        <f t="shared" si="73"/>
        <v>2.0026785458309466</v>
      </c>
      <c r="O125" s="450">
        <f t="shared" si="73"/>
        <v>2.0026785458309466</v>
      </c>
      <c r="P125" s="450">
        <f t="shared" si="73"/>
        <v>3.5165890232641179</v>
      </c>
      <c r="Q125" s="450">
        <f t="shared" si="73"/>
        <v>4.1657578981704262</v>
      </c>
      <c r="R125" s="450">
        <f t="shared" si="73"/>
        <v>4.7432686338124146</v>
      </c>
      <c r="S125" s="450">
        <f t="shared" si="73"/>
        <v>5.2492984883624523</v>
      </c>
      <c r="T125" s="450">
        <f t="shared" si="73"/>
        <v>5.6840565380614647</v>
      </c>
      <c r="U125" s="450">
        <f t="shared" si="73"/>
        <v>6.0477982185848749</v>
      </c>
      <c r="V125" s="450">
        <f t="shared" si="73"/>
        <v>6.3408532772159605</v>
      </c>
      <c r="W125" s="450">
        <f t="shared" si="73"/>
        <v>6.3408532772159605</v>
      </c>
      <c r="X125" s="451"/>
      <c r="Y125" s="383"/>
      <c r="Z125" s="373"/>
      <c r="AA125" s="89"/>
      <c r="AB125" s="89"/>
      <c r="AF125" s="452">
        <v>2.13</v>
      </c>
      <c r="AG125" s="85" t="s">
        <v>892</v>
      </c>
    </row>
    <row r="126" spans="1:33">
      <c r="B126" s="95" t="s">
        <v>881</v>
      </c>
      <c r="C126" s="451">
        <f>(C122/1000)^2/$AE126^2</f>
        <v>0</v>
      </c>
      <c r="D126" s="451">
        <f t="shared" ref="D126:W126" si="74">(D122/1000)^2/$AE126^2</f>
        <v>2.7777777777777776E-2</v>
      </c>
      <c r="E126" s="451">
        <f t="shared" si="74"/>
        <v>2.7777777777777776E-2</v>
      </c>
      <c r="F126" s="451">
        <f t="shared" si="74"/>
        <v>6.4401398160204473E-2</v>
      </c>
      <c r="G126" s="451">
        <f t="shared" si="74"/>
        <v>0.11620050004822528</v>
      </c>
      <c r="H126" s="451">
        <f t="shared" si="74"/>
        <v>0.18317508344184022</v>
      </c>
      <c r="I126" s="451">
        <f t="shared" si="74"/>
        <v>0.26532514834104931</v>
      </c>
      <c r="J126" s="451">
        <f t="shared" si="74"/>
        <v>0.36265069474585254</v>
      </c>
      <c r="K126" s="451">
        <f t="shared" si="74"/>
        <v>0.47515172265624983</v>
      </c>
      <c r="L126" s="451">
        <f t="shared" si="74"/>
        <v>0.60282823207224134</v>
      </c>
      <c r="M126" s="451">
        <f t="shared" si="74"/>
        <v>0.74568022299382708</v>
      </c>
      <c r="N126" s="451">
        <f t="shared" si="74"/>
        <v>0.74520056249999989</v>
      </c>
      <c r="O126" s="451">
        <f t="shared" si="74"/>
        <v>0.74520056249999989</v>
      </c>
      <c r="P126" s="451">
        <f t="shared" si="74"/>
        <v>0.47486455251736087</v>
      </c>
      <c r="Q126" s="451">
        <f t="shared" si="74"/>
        <v>0.36244162597656243</v>
      </c>
      <c r="R126" s="451">
        <f t="shared" si="74"/>
        <v>0.26518208506944441</v>
      </c>
      <c r="S126" s="451">
        <f t="shared" si="74"/>
        <v>0.18308592979600688</v>
      </c>
      <c r="T126" s="451">
        <f t="shared" si="74"/>
        <v>0.11615316015624999</v>
      </c>
      <c r="U126" s="451">
        <f t="shared" si="74"/>
        <v>6.4383776150173613E-2</v>
      </c>
      <c r="V126" s="451">
        <f t="shared" si="74"/>
        <v>2.7777777777777776E-2</v>
      </c>
      <c r="W126" s="451">
        <f t="shared" si="74"/>
        <v>2.7777777777777776E-2</v>
      </c>
      <c r="X126" s="451"/>
      <c r="Y126" s="383"/>
      <c r="Z126" s="373"/>
      <c r="AA126" s="89"/>
      <c r="AB126" s="89"/>
      <c r="AC126" s="453">
        <v>2</v>
      </c>
      <c r="AD126" s="380"/>
      <c r="AE126" s="452">
        <v>3.6</v>
      </c>
      <c r="AG126" s="85" t="s">
        <v>882</v>
      </c>
    </row>
    <row r="127" spans="1:33">
      <c r="B127" s="95" t="s">
        <v>883</v>
      </c>
      <c r="C127" s="451">
        <f t="shared" ref="C127:W127" si="75">$AC126</f>
        <v>2</v>
      </c>
      <c r="D127" s="451">
        <f t="shared" si="75"/>
        <v>2</v>
      </c>
      <c r="E127" s="451">
        <f t="shared" si="75"/>
        <v>2</v>
      </c>
      <c r="F127" s="451">
        <f t="shared" si="75"/>
        <v>2</v>
      </c>
      <c r="G127" s="451">
        <f t="shared" si="75"/>
        <v>2</v>
      </c>
      <c r="H127" s="451">
        <f t="shared" si="75"/>
        <v>2</v>
      </c>
      <c r="I127" s="451">
        <f t="shared" si="75"/>
        <v>2</v>
      </c>
      <c r="J127" s="451">
        <f t="shared" si="75"/>
        <v>2</v>
      </c>
      <c r="K127" s="451">
        <f t="shared" si="75"/>
        <v>2</v>
      </c>
      <c r="L127" s="451">
        <f t="shared" si="75"/>
        <v>2</v>
      </c>
      <c r="M127" s="451">
        <f t="shared" si="75"/>
        <v>2</v>
      </c>
      <c r="N127" s="451">
        <f t="shared" si="75"/>
        <v>2</v>
      </c>
      <c r="O127" s="451">
        <f t="shared" si="75"/>
        <v>2</v>
      </c>
      <c r="P127" s="451">
        <f t="shared" si="75"/>
        <v>2</v>
      </c>
      <c r="Q127" s="451">
        <f t="shared" si="75"/>
        <v>2</v>
      </c>
      <c r="R127" s="451">
        <f t="shared" si="75"/>
        <v>2</v>
      </c>
      <c r="S127" s="451">
        <f t="shared" si="75"/>
        <v>2</v>
      </c>
      <c r="T127" s="451">
        <f t="shared" si="75"/>
        <v>2</v>
      </c>
      <c r="U127" s="451">
        <f t="shared" si="75"/>
        <v>2</v>
      </c>
      <c r="V127" s="451">
        <f t="shared" si="75"/>
        <v>2</v>
      </c>
      <c r="W127" s="451">
        <f t="shared" si="75"/>
        <v>2</v>
      </c>
      <c r="X127" s="451"/>
      <c r="Y127" s="383"/>
      <c r="Z127" s="373"/>
      <c r="AA127" s="89"/>
      <c r="AB127" s="89"/>
      <c r="AD127" s="453">
        <v>4.5</v>
      </c>
    </row>
    <row r="128" spans="1:33">
      <c r="B128" s="95" t="s">
        <v>884</v>
      </c>
      <c r="C128" s="451">
        <f t="shared" ref="C128:W128" si="76">$AD127</f>
        <v>4.5</v>
      </c>
      <c r="D128" s="451">
        <f t="shared" si="76"/>
        <v>4.5</v>
      </c>
      <c r="E128" s="451">
        <f t="shared" si="76"/>
        <v>4.5</v>
      </c>
      <c r="F128" s="451">
        <f t="shared" si="76"/>
        <v>4.5</v>
      </c>
      <c r="G128" s="451">
        <f t="shared" si="76"/>
        <v>4.5</v>
      </c>
      <c r="H128" s="451">
        <f t="shared" si="76"/>
        <v>4.5</v>
      </c>
      <c r="I128" s="451">
        <f t="shared" si="76"/>
        <v>4.5</v>
      </c>
      <c r="J128" s="451">
        <f t="shared" si="76"/>
        <v>4.5</v>
      </c>
      <c r="K128" s="451">
        <f t="shared" si="76"/>
        <v>4.5</v>
      </c>
      <c r="L128" s="451">
        <f t="shared" si="76"/>
        <v>4.5</v>
      </c>
      <c r="M128" s="451">
        <f t="shared" si="76"/>
        <v>4.5</v>
      </c>
      <c r="N128" s="451">
        <f t="shared" si="76"/>
        <v>4.5</v>
      </c>
      <c r="O128" s="451">
        <f t="shared" si="76"/>
        <v>4.5</v>
      </c>
      <c r="P128" s="451">
        <f t="shared" si="76"/>
        <v>4.5</v>
      </c>
      <c r="Q128" s="451">
        <f t="shared" si="76"/>
        <v>4.5</v>
      </c>
      <c r="R128" s="451">
        <f t="shared" si="76"/>
        <v>4.5</v>
      </c>
      <c r="S128" s="451">
        <f t="shared" si="76"/>
        <v>4.5</v>
      </c>
      <c r="T128" s="451">
        <f t="shared" si="76"/>
        <v>4.5</v>
      </c>
      <c r="U128" s="451">
        <f t="shared" si="76"/>
        <v>4.5</v>
      </c>
      <c r="V128" s="451">
        <f t="shared" si="76"/>
        <v>4.5</v>
      </c>
      <c r="W128" s="451">
        <f t="shared" si="76"/>
        <v>4.5</v>
      </c>
      <c r="X128" s="451"/>
      <c r="Y128" s="383"/>
      <c r="Z128" s="373"/>
      <c r="AA128" s="89"/>
      <c r="AB128" s="89"/>
    </row>
    <row r="129" spans="1:33" s="67" customFormat="1" ht="12" customHeight="1">
      <c r="B129" s="454" t="s">
        <v>885</v>
      </c>
      <c r="C129" s="67">
        <f t="shared" ref="C129:M129" si="77">IF(AND(C126&gt;10000-2,C125&lt;C128),C125,IF(C125&gt;C128,C128,IF(C128&gt;C126,C125,IF(C125&gt;C126,C125,IF(C126&gt;C127,C126,C127)))))</f>
        <v>4.5</v>
      </c>
      <c r="D129" s="67">
        <f t="shared" si="77"/>
        <v>4.5</v>
      </c>
      <c r="E129" s="67">
        <f t="shared" si="77"/>
        <v>4.5</v>
      </c>
      <c r="F129" s="67">
        <f t="shared" si="77"/>
        <v>4.5</v>
      </c>
      <c r="G129" s="67">
        <f t="shared" si="77"/>
        <v>4.5</v>
      </c>
      <c r="H129" s="67">
        <f t="shared" si="77"/>
        <v>4.5</v>
      </c>
      <c r="I129" s="67">
        <f t="shared" si="77"/>
        <v>4.5</v>
      </c>
      <c r="J129" s="67">
        <f t="shared" si="77"/>
        <v>4.1645348972911496</v>
      </c>
      <c r="K129" s="67">
        <f t="shared" si="77"/>
        <v>3.5149497438738386</v>
      </c>
      <c r="L129" s="67">
        <f t="shared" si="77"/>
        <v>2.7934948073395689</v>
      </c>
      <c r="M129" s="67">
        <f t="shared" si="77"/>
        <v>2.0000336987044594</v>
      </c>
      <c r="N129" s="455">
        <f t="shared" ref="N129:V129" si="78">IF(AND(N126&gt;10000-2,N125&lt;N128),M125,IF(AND(N126&lt;N128,N126&gt;N127),N126,IF(N126&gt;N128,N128,N127)))</f>
        <v>2</v>
      </c>
      <c r="O129" s="455">
        <f t="shared" si="78"/>
        <v>2</v>
      </c>
      <c r="P129" s="455">
        <f t="shared" si="78"/>
        <v>2</v>
      </c>
      <c r="Q129" s="455">
        <f t="shared" si="78"/>
        <v>2</v>
      </c>
      <c r="R129" s="455">
        <f t="shared" si="78"/>
        <v>2</v>
      </c>
      <c r="S129" s="455">
        <f t="shared" si="78"/>
        <v>2</v>
      </c>
      <c r="T129" s="455">
        <f t="shared" si="78"/>
        <v>2</v>
      </c>
      <c r="U129" s="455">
        <f t="shared" si="78"/>
        <v>2</v>
      </c>
      <c r="V129" s="455">
        <f t="shared" si="78"/>
        <v>2</v>
      </c>
      <c r="W129" s="132">
        <f>V129</f>
        <v>2</v>
      </c>
      <c r="X129" s="132">
        <f>W129</f>
        <v>2</v>
      </c>
      <c r="Y129" s="379"/>
      <c r="Z129" s="132"/>
      <c r="AA129" s="132"/>
      <c r="AB129" s="132"/>
      <c r="AC129" s="380"/>
      <c r="AD129" s="380"/>
    </row>
    <row r="130" spans="1:33">
      <c r="B130" s="449" t="s">
        <v>886</v>
      </c>
      <c r="C130" s="67">
        <f t="shared" ref="C130:X130" si="79">C129-0.5</f>
        <v>4</v>
      </c>
      <c r="D130" s="67">
        <f t="shared" si="79"/>
        <v>4</v>
      </c>
      <c r="E130" s="67">
        <f t="shared" si="79"/>
        <v>4</v>
      </c>
      <c r="F130" s="67">
        <f t="shared" si="79"/>
        <v>4</v>
      </c>
      <c r="G130" s="67">
        <f t="shared" si="79"/>
        <v>4</v>
      </c>
      <c r="H130" s="67">
        <f t="shared" si="79"/>
        <v>4</v>
      </c>
      <c r="I130" s="67">
        <f t="shared" si="79"/>
        <v>4</v>
      </c>
      <c r="J130" s="67">
        <f t="shared" si="79"/>
        <v>3.6645348972911496</v>
      </c>
      <c r="K130" s="67">
        <f t="shared" si="79"/>
        <v>3.0149497438738386</v>
      </c>
      <c r="L130" s="67">
        <f t="shared" si="79"/>
        <v>2.2934948073395689</v>
      </c>
      <c r="M130" s="67">
        <f t="shared" si="79"/>
        <v>1.5000336987044594</v>
      </c>
      <c r="N130" s="67">
        <f t="shared" si="79"/>
        <v>1.5</v>
      </c>
      <c r="O130" s="67">
        <f t="shared" si="79"/>
        <v>1.5</v>
      </c>
      <c r="P130" s="67">
        <f t="shared" si="79"/>
        <v>1.5</v>
      </c>
      <c r="Q130" s="67">
        <f t="shared" si="79"/>
        <v>1.5</v>
      </c>
      <c r="R130" s="67">
        <f t="shared" si="79"/>
        <v>1.5</v>
      </c>
      <c r="S130" s="67">
        <f t="shared" si="79"/>
        <v>1.5</v>
      </c>
      <c r="T130" s="67">
        <f t="shared" si="79"/>
        <v>1.5</v>
      </c>
      <c r="U130" s="67">
        <f t="shared" si="79"/>
        <v>1.5</v>
      </c>
      <c r="V130" s="67">
        <f t="shared" si="79"/>
        <v>1.5</v>
      </c>
      <c r="W130" s="67">
        <f t="shared" si="79"/>
        <v>1.5</v>
      </c>
      <c r="X130" s="67">
        <f t="shared" si="79"/>
        <v>1.5</v>
      </c>
      <c r="Y130" s="369"/>
      <c r="Z130" s="91"/>
      <c r="AA130" s="91"/>
      <c r="AB130" s="91"/>
      <c r="AC130" s="91"/>
      <c r="AD130" s="91"/>
    </row>
    <row r="131" spans="1:33">
      <c r="B131" s="85"/>
      <c r="C131" s="85"/>
      <c r="M131" s="89"/>
      <c r="N131" s="89"/>
      <c r="O131" s="89"/>
      <c r="P131" s="89"/>
      <c r="Q131" s="89"/>
      <c r="R131" s="89"/>
      <c r="S131" s="89"/>
      <c r="T131" s="89"/>
      <c r="U131" s="89"/>
      <c r="V131" s="89"/>
      <c r="W131" s="89"/>
      <c r="X131" s="89"/>
      <c r="Y131" s="369"/>
      <c r="Z131" s="91"/>
      <c r="AA131" s="91"/>
      <c r="AB131" s="91"/>
      <c r="AC131" s="91"/>
      <c r="AD131" s="91"/>
    </row>
    <row r="132" spans="1:33">
      <c r="A132" s="95" t="s">
        <v>898</v>
      </c>
      <c r="B132" s="95" t="s">
        <v>787</v>
      </c>
      <c r="C132" s="39">
        <v>0</v>
      </c>
      <c r="D132" s="444">
        <v>600</v>
      </c>
      <c r="E132" s="89">
        <f>D132</f>
        <v>600</v>
      </c>
      <c r="F132" s="89">
        <f t="shared" ref="F132:L132" si="80">$E132+($M132-$E132)/8*F$232</f>
        <v>1142.5</v>
      </c>
      <c r="G132" s="89">
        <f t="shared" si="80"/>
        <v>1685</v>
      </c>
      <c r="H132" s="89">
        <f t="shared" si="80"/>
        <v>2227.5</v>
      </c>
      <c r="I132" s="89">
        <f t="shared" si="80"/>
        <v>2770</v>
      </c>
      <c r="J132" s="89">
        <f t="shared" si="80"/>
        <v>3312.5</v>
      </c>
      <c r="K132" s="89">
        <f t="shared" si="80"/>
        <v>3855</v>
      </c>
      <c r="L132" s="89">
        <f t="shared" si="80"/>
        <v>4397.5</v>
      </c>
      <c r="M132" s="445">
        <v>4940</v>
      </c>
      <c r="N132" s="446">
        <f>M132-1</f>
        <v>4939</v>
      </c>
      <c r="O132" s="373">
        <f>N132</f>
        <v>4939</v>
      </c>
      <c r="P132" s="89">
        <f t="shared" ref="P132:V132" si="81">$O132+($W132-$O132)/8*P$232</f>
        <v>3854.25</v>
      </c>
      <c r="Q132" s="89">
        <f t="shared" si="81"/>
        <v>3311.875</v>
      </c>
      <c r="R132" s="89">
        <f t="shared" si="81"/>
        <v>2769.5</v>
      </c>
      <c r="S132" s="89">
        <f t="shared" si="81"/>
        <v>2227.125</v>
      </c>
      <c r="T132" s="89">
        <f t="shared" si="81"/>
        <v>1684.75</v>
      </c>
      <c r="U132" s="89">
        <f t="shared" si="81"/>
        <v>1142.375</v>
      </c>
      <c r="V132" s="89">
        <f t="shared" si="81"/>
        <v>600</v>
      </c>
      <c r="W132" s="446">
        <f>D132</f>
        <v>600</v>
      </c>
      <c r="X132" s="89">
        <v>0</v>
      </c>
      <c r="Y132" s="383">
        <f>D132</f>
        <v>600</v>
      </c>
      <c r="Z132" s="373">
        <f>M132</f>
        <v>4940</v>
      </c>
      <c r="AA132" s="447">
        <f>AC136-0.5</f>
        <v>1.5</v>
      </c>
      <c r="AB132" s="447">
        <f>AD137-0.5</f>
        <v>4</v>
      </c>
    </row>
    <row r="133" spans="1:33">
      <c r="A133" s="95"/>
      <c r="B133" s="370" t="s">
        <v>877</v>
      </c>
      <c r="C133" s="39">
        <f>IF(C136&gt;C138,$AE$56*1000*$AD$57^0.5,C132)</f>
        <v>0</v>
      </c>
      <c r="D133" s="39">
        <f t="shared" ref="D133:W133" si="82">IF(D136&gt;D138,$AE$56*1000*$AD$57^0.5*$AG133,D132*$AG133)</f>
        <v>600</v>
      </c>
      <c r="E133" s="39">
        <f t="shared" si="82"/>
        <v>600</v>
      </c>
      <c r="F133" s="39">
        <f t="shared" si="82"/>
        <v>1142.5</v>
      </c>
      <c r="G133" s="39">
        <f t="shared" si="82"/>
        <v>1685</v>
      </c>
      <c r="H133" s="39">
        <f t="shared" si="82"/>
        <v>2227.5</v>
      </c>
      <c r="I133" s="39">
        <f t="shared" si="82"/>
        <v>2770</v>
      </c>
      <c r="J133" s="39">
        <f t="shared" si="82"/>
        <v>3312.5</v>
      </c>
      <c r="K133" s="39">
        <f t="shared" si="82"/>
        <v>3855</v>
      </c>
      <c r="L133" s="39">
        <f t="shared" si="82"/>
        <v>4397.5</v>
      </c>
      <c r="M133" s="39">
        <f t="shared" si="82"/>
        <v>4940</v>
      </c>
      <c r="N133" s="39">
        <f t="shared" si="82"/>
        <v>4939</v>
      </c>
      <c r="O133" s="39">
        <f t="shared" si="82"/>
        <v>4939</v>
      </c>
      <c r="P133" s="39">
        <f t="shared" si="82"/>
        <v>3854.25</v>
      </c>
      <c r="Q133" s="39">
        <f t="shared" si="82"/>
        <v>3311.875</v>
      </c>
      <c r="R133" s="39">
        <f t="shared" si="82"/>
        <v>2769.5</v>
      </c>
      <c r="S133" s="39">
        <f t="shared" si="82"/>
        <v>2227.125</v>
      </c>
      <c r="T133" s="39">
        <f t="shared" si="82"/>
        <v>1684.75</v>
      </c>
      <c r="U133" s="39">
        <f t="shared" si="82"/>
        <v>1142.375</v>
      </c>
      <c r="V133" s="39">
        <f t="shared" si="82"/>
        <v>600</v>
      </c>
      <c r="W133" s="39">
        <f t="shared" si="82"/>
        <v>600</v>
      </c>
      <c r="X133" s="89">
        <v>0</v>
      </c>
      <c r="Y133" s="383"/>
      <c r="Z133" s="373"/>
      <c r="AA133" s="89"/>
      <c r="AB133" s="89"/>
      <c r="AG133" s="448">
        <v>1</v>
      </c>
    </row>
    <row r="134" spans="1:33">
      <c r="B134" s="449" t="s">
        <v>878</v>
      </c>
      <c r="C134" s="71">
        <f>C133/'Selection pman-p0-qN'!$P$24</f>
        <v>0</v>
      </c>
      <c r="D134" s="71">
        <f>D133/'Selection pman-p0-qN'!$P$24</f>
        <v>1562.5</v>
      </c>
      <c r="E134" s="71">
        <f>E133/'Selection pman-p0-qN'!$P$24</f>
        <v>1562.5</v>
      </c>
      <c r="F134" s="71">
        <f>F133/'Selection pman-p0-qN'!$P$24</f>
        <v>2975.2604166666665</v>
      </c>
      <c r="G134" s="71">
        <f>G133/'Selection pman-p0-qN'!$P$24</f>
        <v>4388.020833333333</v>
      </c>
      <c r="H134" s="71">
        <f>H133/'Selection pman-p0-qN'!$P$24</f>
        <v>5800.78125</v>
      </c>
      <c r="I134" s="71">
        <f>I133/'Selection pman-p0-qN'!$P$24</f>
        <v>7213.541666666667</v>
      </c>
      <c r="J134" s="71">
        <f>J133/'Selection pman-p0-qN'!$P$24</f>
        <v>8626.3020833333339</v>
      </c>
      <c r="K134" s="71">
        <f>K133/'Selection pman-p0-qN'!$P$24</f>
        <v>10039.0625</v>
      </c>
      <c r="L134" s="71">
        <f>L133/'Selection pman-p0-qN'!$P$24</f>
        <v>11451.822916666666</v>
      </c>
      <c r="M134" s="71">
        <f>M133/'Selection pman-p0-qN'!$P$24</f>
        <v>12864.583333333334</v>
      </c>
      <c r="N134" s="71">
        <f>N133/'Selection pman-p0-qN'!$P$24</f>
        <v>12861.979166666666</v>
      </c>
      <c r="O134" s="71">
        <f>O133/'Selection pman-p0-qN'!$P$24</f>
        <v>12861.979166666666</v>
      </c>
      <c r="P134" s="71">
        <f>P133/'Selection pman-p0-qN'!$P$24</f>
        <v>10037.109375</v>
      </c>
      <c r="Q134" s="71">
        <f>Q133/'Selection pman-p0-qN'!$P$24</f>
        <v>8624.6744791666661</v>
      </c>
      <c r="R134" s="71">
        <f>R133/'Selection pman-p0-qN'!$P$24</f>
        <v>7212.239583333333</v>
      </c>
      <c r="S134" s="71">
        <f>S133/'Selection pman-p0-qN'!$P$24</f>
        <v>5799.8046875</v>
      </c>
      <c r="T134" s="71">
        <f>T133/'Selection pman-p0-qN'!$P$24</f>
        <v>4387.369791666667</v>
      </c>
      <c r="U134" s="71">
        <f>U133/'Selection pman-p0-qN'!$P$24</f>
        <v>2974.9348958333335</v>
      </c>
      <c r="V134" s="71">
        <f>V133/'Selection pman-p0-qN'!$P$24</f>
        <v>1562.5</v>
      </c>
      <c r="W134" s="71">
        <f>W133/'Selection pman-p0-qN'!$P$24</f>
        <v>1562.5</v>
      </c>
      <c r="X134" s="71">
        <f>X133/'Selection pman-p0-qN'!$P$24</f>
        <v>0</v>
      </c>
      <c r="Y134" s="369"/>
      <c r="Z134" s="91"/>
      <c r="AA134" s="91"/>
      <c r="AB134" s="91"/>
      <c r="AC134" s="91"/>
      <c r="AD134" s="91"/>
    </row>
    <row r="135" spans="1:33">
      <c r="B135" s="95" t="s">
        <v>879</v>
      </c>
      <c r="C135" s="450">
        <f>-4*10^(-8)*C132^1.981-0.0002*C132+6.2067-(C132/1000)^2/$AF135^2+0.5</f>
        <v>6.7066999999999997</v>
      </c>
      <c r="D135" s="450">
        <f t="shared" ref="D135:W135" si="83">-4*10^(-8)*D132^1.981-0.0002*D132+6.2067-(D132/1000)^2/$AF135^2+0.5</f>
        <v>6.5313477417414889</v>
      </c>
      <c r="E135" s="450">
        <f t="shared" si="83"/>
        <v>6.5313477417414889</v>
      </c>
      <c r="F135" s="450">
        <f t="shared" si="83"/>
        <v>6.278063320519796</v>
      </c>
      <c r="G135" s="450">
        <f t="shared" si="83"/>
        <v>5.9351052518700342</v>
      </c>
      <c r="H135" s="450">
        <f t="shared" si="83"/>
        <v>5.5026249850214031</v>
      </c>
      <c r="I135" s="450">
        <f t="shared" si="83"/>
        <v>4.9807290739768089</v>
      </c>
      <c r="J135" s="450">
        <f t="shared" si="83"/>
        <v>4.3694998734242736</v>
      </c>
      <c r="K135" s="450">
        <f t="shared" si="83"/>
        <v>3.669004518766616</v>
      </c>
      <c r="L135" s="450">
        <f t="shared" si="83"/>
        <v>2.8792996713885581</v>
      </c>
      <c r="M135" s="450">
        <f t="shared" si="83"/>
        <v>2.0004343389239909</v>
      </c>
      <c r="N135" s="450">
        <f t="shared" si="83"/>
        <v>2.002136364052709</v>
      </c>
      <c r="O135" s="450">
        <f t="shared" si="83"/>
        <v>2.002136364052709</v>
      </c>
      <c r="P135" s="450">
        <f t="shared" si="83"/>
        <v>3.670034537893601</v>
      </c>
      <c r="Q135" s="450">
        <f t="shared" si="83"/>
        <v>4.3702554276374812</v>
      </c>
      <c r="R135" s="450">
        <f t="shared" si="83"/>
        <v>4.9812512247992684</v>
      </c>
      <c r="S135" s="450">
        <f t="shared" si="83"/>
        <v>5.5029548277773959</v>
      </c>
      <c r="T135" s="450">
        <f t="shared" si="83"/>
        <v>5.9352839242285489</v>
      </c>
      <c r="U135" s="450">
        <f t="shared" si="83"/>
        <v>6.2781320167768531</v>
      </c>
      <c r="V135" s="450">
        <f t="shared" si="83"/>
        <v>6.5313477417414889</v>
      </c>
      <c r="W135" s="450">
        <f t="shared" si="83"/>
        <v>6.5313477417414889</v>
      </c>
      <c r="X135" s="451"/>
      <c r="Y135" s="383"/>
      <c r="Z135" s="373"/>
      <c r="AA135" s="89"/>
      <c r="AB135" s="89"/>
      <c r="AF135" s="452">
        <v>2.907</v>
      </c>
      <c r="AG135" s="85" t="s">
        <v>899</v>
      </c>
    </row>
    <row r="136" spans="1:33">
      <c r="B136" s="95" t="s">
        <v>881</v>
      </c>
      <c r="C136" s="451">
        <f>(C132/1000)^2/$AE136^2</f>
        <v>0</v>
      </c>
      <c r="D136" s="451">
        <f t="shared" ref="D136:W136" si="84">(D132/1000)^2/$AE136^2</f>
        <v>2.7777777777777776E-2</v>
      </c>
      <c r="E136" s="451">
        <f t="shared" si="84"/>
        <v>2.7777777777777776E-2</v>
      </c>
      <c r="F136" s="451">
        <f t="shared" si="84"/>
        <v>0.10071807484567902</v>
      </c>
      <c r="G136" s="451">
        <f t="shared" si="84"/>
        <v>0.21907600308641975</v>
      </c>
      <c r="H136" s="451">
        <f t="shared" si="84"/>
        <v>0.38285156250000002</v>
      </c>
      <c r="I136" s="451">
        <f t="shared" si="84"/>
        <v>0.59204475308641968</v>
      </c>
      <c r="J136" s="451">
        <f t="shared" si="84"/>
        <v>0.84665557484567899</v>
      </c>
      <c r="K136" s="451">
        <f t="shared" si="84"/>
        <v>1.1466840277777777</v>
      </c>
      <c r="L136" s="451">
        <f t="shared" si="84"/>
        <v>1.4921301118827159</v>
      </c>
      <c r="M136" s="451">
        <f t="shared" si="84"/>
        <v>1.882993827160494</v>
      </c>
      <c r="N136" s="451">
        <f t="shared" si="84"/>
        <v>1.8822315586419751</v>
      </c>
      <c r="O136" s="451">
        <f t="shared" si="84"/>
        <v>1.8822315586419751</v>
      </c>
      <c r="P136" s="451">
        <f t="shared" si="84"/>
        <v>1.1462378906249999</v>
      </c>
      <c r="Q136" s="451">
        <f t="shared" si="84"/>
        <v>0.84633611231674388</v>
      </c>
      <c r="R136" s="451">
        <f t="shared" si="84"/>
        <v>0.59183103780864188</v>
      </c>
      <c r="S136" s="451">
        <f t="shared" si="84"/>
        <v>0.38272266710069441</v>
      </c>
      <c r="T136" s="451">
        <f t="shared" si="84"/>
        <v>0.21901100019290123</v>
      </c>
      <c r="U136" s="451">
        <f t="shared" si="84"/>
        <v>0.10069603708526233</v>
      </c>
      <c r="V136" s="451">
        <f t="shared" si="84"/>
        <v>2.7777777777777776E-2</v>
      </c>
      <c r="W136" s="451">
        <f t="shared" si="84"/>
        <v>2.7777777777777776E-2</v>
      </c>
      <c r="X136" s="451"/>
      <c r="Y136" s="383"/>
      <c r="Z136" s="373"/>
      <c r="AA136" s="89"/>
      <c r="AB136" s="89"/>
      <c r="AC136" s="453">
        <v>2</v>
      </c>
      <c r="AD136" s="380"/>
      <c r="AE136" s="452">
        <v>3.6</v>
      </c>
      <c r="AG136" s="85" t="s">
        <v>882</v>
      </c>
    </row>
    <row r="137" spans="1:33">
      <c r="B137" s="95" t="s">
        <v>883</v>
      </c>
      <c r="C137" s="451">
        <f t="shared" ref="C137:W137" si="85">$AC136</f>
        <v>2</v>
      </c>
      <c r="D137" s="451">
        <f t="shared" si="85"/>
        <v>2</v>
      </c>
      <c r="E137" s="451">
        <f t="shared" si="85"/>
        <v>2</v>
      </c>
      <c r="F137" s="451">
        <f t="shared" si="85"/>
        <v>2</v>
      </c>
      <c r="G137" s="451">
        <f t="shared" si="85"/>
        <v>2</v>
      </c>
      <c r="H137" s="451">
        <f t="shared" si="85"/>
        <v>2</v>
      </c>
      <c r="I137" s="451">
        <f t="shared" si="85"/>
        <v>2</v>
      </c>
      <c r="J137" s="451">
        <f t="shared" si="85"/>
        <v>2</v>
      </c>
      <c r="K137" s="451">
        <f t="shared" si="85"/>
        <v>2</v>
      </c>
      <c r="L137" s="451">
        <f t="shared" si="85"/>
        <v>2</v>
      </c>
      <c r="M137" s="451">
        <f t="shared" si="85"/>
        <v>2</v>
      </c>
      <c r="N137" s="451">
        <f t="shared" si="85"/>
        <v>2</v>
      </c>
      <c r="O137" s="451">
        <f t="shared" si="85"/>
        <v>2</v>
      </c>
      <c r="P137" s="451">
        <f t="shared" si="85"/>
        <v>2</v>
      </c>
      <c r="Q137" s="451">
        <f t="shared" si="85"/>
        <v>2</v>
      </c>
      <c r="R137" s="451">
        <f t="shared" si="85"/>
        <v>2</v>
      </c>
      <c r="S137" s="451">
        <f t="shared" si="85"/>
        <v>2</v>
      </c>
      <c r="T137" s="451">
        <f t="shared" si="85"/>
        <v>2</v>
      </c>
      <c r="U137" s="451">
        <f t="shared" si="85"/>
        <v>2</v>
      </c>
      <c r="V137" s="451">
        <f t="shared" si="85"/>
        <v>2</v>
      </c>
      <c r="W137" s="451">
        <f t="shared" si="85"/>
        <v>2</v>
      </c>
      <c r="X137" s="451"/>
      <c r="Y137" s="383"/>
      <c r="Z137" s="373"/>
      <c r="AA137" s="89"/>
      <c r="AB137" s="89"/>
      <c r="AD137" s="453">
        <v>4.5</v>
      </c>
    </row>
    <row r="138" spans="1:33">
      <c r="B138" s="95" t="s">
        <v>884</v>
      </c>
      <c r="C138" s="451">
        <f t="shared" ref="C138:W138" si="86">$AD137</f>
        <v>4.5</v>
      </c>
      <c r="D138" s="451">
        <f t="shared" si="86"/>
        <v>4.5</v>
      </c>
      <c r="E138" s="451">
        <f t="shared" si="86"/>
        <v>4.5</v>
      </c>
      <c r="F138" s="451">
        <f t="shared" si="86"/>
        <v>4.5</v>
      </c>
      <c r="G138" s="451">
        <f t="shared" si="86"/>
        <v>4.5</v>
      </c>
      <c r="H138" s="451">
        <f t="shared" si="86"/>
        <v>4.5</v>
      </c>
      <c r="I138" s="451">
        <f t="shared" si="86"/>
        <v>4.5</v>
      </c>
      <c r="J138" s="451">
        <f t="shared" si="86"/>
        <v>4.5</v>
      </c>
      <c r="K138" s="451">
        <f t="shared" si="86"/>
        <v>4.5</v>
      </c>
      <c r="L138" s="451">
        <f t="shared" si="86"/>
        <v>4.5</v>
      </c>
      <c r="M138" s="451">
        <f t="shared" si="86"/>
        <v>4.5</v>
      </c>
      <c r="N138" s="451">
        <f t="shared" si="86"/>
        <v>4.5</v>
      </c>
      <c r="O138" s="451">
        <f t="shared" si="86"/>
        <v>4.5</v>
      </c>
      <c r="P138" s="451">
        <f t="shared" si="86"/>
        <v>4.5</v>
      </c>
      <c r="Q138" s="451">
        <f t="shared" si="86"/>
        <v>4.5</v>
      </c>
      <c r="R138" s="451">
        <f t="shared" si="86"/>
        <v>4.5</v>
      </c>
      <c r="S138" s="451">
        <f t="shared" si="86"/>
        <v>4.5</v>
      </c>
      <c r="T138" s="451">
        <f t="shared" si="86"/>
        <v>4.5</v>
      </c>
      <c r="U138" s="451">
        <f t="shared" si="86"/>
        <v>4.5</v>
      </c>
      <c r="V138" s="451">
        <f t="shared" si="86"/>
        <v>4.5</v>
      </c>
      <c r="W138" s="451">
        <f t="shared" si="86"/>
        <v>4.5</v>
      </c>
      <c r="X138" s="451"/>
      <c r="Y138" s="383"/>
      <c r="Z138" s="373"/>
      <c r="AA138" s="89"/>
      <c r="AB138" s="89"/>
    </row>
    <row r="139" spans="1:33" s="67" customFormat="1" ht="12" customHeight="1">
      <c r="B139" s="454" t="s">
        <v>885</v>
      </c>
      <c r="C139" s="67">
        <f t="shared" ref="C139:M139" si="87">IF(AND(C136&gt;10000-2,C135&lt;C138),C135,IF(C135&gt;C138,C138,IF(C138&gt;C136,C135,IF(C135&gt;C136,C135,IF(C136&gt;C137,C136,C137)))))</f>
        <v>4.5</v>
      </c>
      <c r="D139" s="67">
        <f t="shared" si="87"/>
        <v>4.5</v>
      </c>
      <c r="E139" s="67">
        <f t="shared" si="87"/>
        <v>4.5</v>
      </c>
      <c r="F139" s="67">
        <f t="shared" si="87"/>
        <v>4.5</v>
      </c>
      <c r="G139" s="67">
        <f t="shared" si="87"/>
        <v>4.5</v>
      </c>
      <c r="H139" s="67">
        <f t="shared" si="87"/>
        <v>4.5</v>
      </c>
      <c r="I139" s="67">
        <f t="shared" si="87"/>
        <v>4.5</v>
      </c>
      <c r="J139" s="67">
        <f t="shared" si="87"/>
        <v>4.3694998734242736</v>
      </c>
      <c r="K139" s="67">
        <f t="shared" si="87"/>
        <v>3.669004518766616</v>
      </c>
      <c r="L139" s="67">
        <f t="shared" si="87"/>
        <v>2.8792996713885581</v>
      </c>
      <c r="M139" s="67">
        <f t="shared" si="87"/>
        <v>2.0004343389239909</v>
      </c>
      <c r="N139" s="455">
        <f t="shared" ref="N139:V139" si="88">IF(AND(N136&gt;10000-2,N135&lt;N138),M135,IF(AND(N136&lt;N138,N136&gt;N137),N136,IF(N136&gt;N138,N138,N137)))</f>
        <v>2</v>
      </c>
      <c r="O139" s="455">
        <f t="shared" si="88"/>
        <v>2</v>
      </c>
      <c r="P139" s="455">
        <f t="shared" si="88"/>
        <v>2</v>
      </c>
      <c r="Q139" s="455">
        <f t="shared" si="88"/>
        <v>2</v>
      </c>
      <c r="R139" s="455">
        <f t="shared" si="88"/>
        <v>2</v>
      </c>
      <c r="S139" s="455">
        <f t="shared" si="88"/>
        <v>2</v>
      </c>
      <c r="T139" s="455">
        <f t="shared" si="88"/>
        <v>2</v>
      </c>
      <c r="U139" s="455">
        <f t="shared" si="88"/>
        <v>2</v>
      </c>
      <c r="V139" s="455">
        <f t="shared" si="88"/>
        <v>2</v>
      </c>
      <c r="W139" s="132">
        <f>V139</f>
        <v>2</v>
      </c>
      <c r="X139" s="132">
        <f>W139</f>
        <v>2</v>
      </c>
      <c r="Y139" s="379"/>
      <c r="Z139" s="132"/>
      <c r="AA139" s="132"/>
      <c r="AB139" s="132"/>
      <c r="AC139" s="380"/>
      <c r="AD139" s="380"/>
    </row>
    <row r="140" spans="1:33">
      <c r="B140" s="449" t="s">
        <v>886</v>
      </c>
      <c r="C140" s="67">
        <f t="shared" ref="C140:X140" si="89">C139-0.5</f>
        <v>4</v>
      </c>
      <c r="D140" s="67">
        <f t="shared" si="89"/>
        <v>4</v>
      </c>
      <c r="E140" s="67">
        <f t="shared" si="89"/>
        <v>4</v>
      </c>
      <c r="F140" s="67">
        <f t="shared" si="89"/>
        <v>4</v>
      </c>
      <c r="G140" s="67">
        <f t="shared" si="89"/>
        <v>4</v>
      </c>
      <c r="H140" s="67">
        <f t="shared" si="89"/>
        <v>4</v>
      </c>
      <c r="I140" s="67">
        <f t="shared" si="89"/>
        <v>4</v>
      </c>
      <c r="J140" s="67">
        <f t="shared" si="89"/>
        <v>3.8694998734242736</v>
      </c>
      <c r="K140" s="67">
        <f t="shared" si="89"/>
        <v>3.169004518766616</v>
      </c>
      <c r="L140" s="67">
        <f t="shared" si="89"/>
        <v>2.3792996713885581</v>
      </c>
      <c r="M140" s="67">
        <f t="shared" si="89"/>
        <v>1.5004343389239909</v>
      </c>
      <c r="N140" s="67">
        <f t="shared" si="89"/>
        <v>1.5</v>
      </c>
      <c r="O140" s="67">
        <f t="shared" si="89"/>
        <v>1.5</v>
      </c>
      <c r="P140" s="67">
        <f t="shared" si="89"/>
        <v>1.5</v>
      </c>
      <c r="Q140" s="67">
        <f t="shared" si="89"/>
        <v>1.5</v>
      </c>
      <c r="R140" s="67">
        <f t="shared" si="89"/>
        <v>1.5</v>
      </c>
      <c r="S140" s="67">
        <f t="shared" si="89"/>
        <v>1.5</v>
      </c>
      <c r="T140" s="67">
        <f t="shared" si="89"/>
        <v>1.5</v>
      </c>
      <c r="U140" s="67">
        <f t="shared" si="89"/>
        <v>1.5</v>
      </c>
      <c r="V140" s="67">
        <f t="shared" si="89"/>
        <v>1.5</v>
      </c>
      <c r="W140" s="67">
        <f t="shared" si="89"/>
        <v>1.5</v>
      </c>
      <c r="X140" s="67">
        <f t="shared" si="89"/>
        <v>1.5</v>
      </c>
      <c r="Y140" s="369"/>
      <c r="Z140" s="91"/>
      <c r="AA140" s="91"/>
      <c r="AB140" s="91"/>
      <c r="AC140" s="91"/>
      <c r="AD140" s="91"/>
    </row>
    <row r="141" spans="1:33">
      <c r="B141" s="85"/>
      <c r="C141" s="85"/>
      <c r="M141" s="89"/>
      <c r="N141" s="89"/>
      <c r="O141" s="89"/>
      <c r="P141" s="89"/>
      <c r="Q141" s="89"/>
      <c r="R141" s="89"/>
      <c r="S141" s="89"/>
      <c r="T141" s="89"/>
      <c r="U141" s="89"/>
      <c r="V141" s="89"/>
      <c r="W141" s="89"/>
      <c r="X141" s="89"/>
      <c r="Y141" s="369"/>
      <c r="Z141" s="91"/>
      <c r="AA141" s="91"/>
      <c r="AB141" s="91"/>
      <c r="AC141" s="91"/>
      <c r="AD141" s="91"/>
    </row>
    <row r="142" spans="1:33">
      <c r="A142" s="95" t="s">
        <v>900</v>
      </c>
      <c r="B142" s="95" t="s">
        <v>787</v>
      </c>
      <c r="C142" s="39">
        <v>0</v>
      </c>
      <c r="D142" s="444">
        <v>600</v>
      </c>
      <c r="E142" s="89">
        <f>D142</f>
        <v>600</v>
      </c>
      <c r="F142" s="89">
        <f t="shared" ref="F142:L142" si="90">$E142+($M142-$E142)/8*F$232</f>
        <v>662.625</v>
      </c>
      <c r="G142" s="89">
        <f t="shared" si="90"/>
        <v>725.25</v>
      </c>
      <c r="H142" s="89">
        <f t="shared" si="90"/>
        <v>787.875</v>
      </c>
      <c r="I142" s="89">
        <f t="shared" si="90"/>
        <v>850.5</v>
      </c>
      <c r="J142" s="89">
        <f t="shared" si="90"/>
        <v>913.125</v>
      </c>
      <c r="K142" s="89">
        <f t="shared" si="90"/>
        <v>975.75</v>
      </c>
      <c r="L142" s="89">
        <f t="shared" si="90"/>
        <v>1038.375</v>
      </c>
      <c r="M142" s="445">
        <v>1101</v>
      </c>
      <c r="N142" s="446">
        <f>M142-1</f>
        <v>1100</v>
      </c>
      <c r="O142" s="373">
        <f>N142</f>
        <v>1100</v>
      </c>
      <c r="P142" s="456">
        <f>O142*0.995</f>
        <v>1094.5</v>
      </c>
      <c r="Q142" s="89">
        <f t="shared" ref="Q142:V142" si="91">$O142+($W142-$O142)/8*Q$232</f>
        <v>912.5</v>
      </c>
      <c r="R142" s="89">
        <f t="shared" si="91"/>
        <v>850</v>
      </c>
      <c r="S142" s="89">
        <f t="shared" si="91"/>
        <v>787.5</v>
      </c>
      <c r="T142" s="89">
        <f t="shared" si="91"/>
        <v>725</v>
      </c>
      <c r="U142" s="89">
        <f t="shared" si="91"/>
        <v>662.5</v>
      </c>
      <c r="V142" s="89">
        <f t="shared" si="91"/>
        <v>600</v>
      </c>
      <c r="W142" s="446">
        <f>D142</f>
        <v>600</v>
      </c>
      <c r="X142" s="89">
        <v>0</v>
      </c>
      <c r="Y142" s="383">
        <f>D142</f>
        <v>600</v>
      </c>
      <c r="Z142" s="373">
        <f>M142</f>
        <v>1101</v>
      </c>
      <c r="AA142" s="447">
        <f>AC146-0.5</f>
        <v>3</v>
      </c>
      <c r="AB142" s="447">
        <f>AD147-0.5</f>
        <v>6</v>
      </c>
    </row>
    <row r="143" spans="1:33">
      <c r="A143" s="95"/>
      <c r="B143" s="370" t="s">
        <v>877</v>
      </c>
      <c r="C143" s="39">
        <f>IF(C142&gt;$AG147-1,$AG147,IF(C146&gt;C148,$AE$56*1000*$AD$57^0.5,C142))</f>
        <v>0</v>
      </c>
      <c r="D143" s="39">
        <f t="shared" ref="D143:X143" si="92">IF(D142&gt;$AG147-1,$AG147,IF(D146&gt;D148,$AE$56*1000*$AD$57^0.5,D142))</f>
        <v>600</v>
      </c>
      <c r="E143" s="39">
        <f t="shared" si="92"/>
        <v>600</v>
      </c>
      <c r="F143" s="39">
        <f t="shared" si="92"/>
        <v>662.625</v>
      </c>
      <c r="G143" s="39">
        <f t="shared" si="92"/>
        <v>725.25</v>
      </c>
      <c r="H143" s="39">
        <f t="shared" si="92"/>
        <v>787.875</v>
      </c>
      <c r="I143" s="39">
        <f t="shared" si="92"/>
        <v>850.5</v>
      </c>
      <c r="J143" s="39">
        <f t="shared" si="92"/>
        <v>913.125</v>
      </c>
      <c r="K143" s="39">
        <f t="shared" si="92"/>
        <v>975.75</v>
      </c>
      <c r="L143" s="39">
        <f t="shared" si="92"/>
        <v>1038.375</v>
      </c>
      <c r="M143" s="39">
        <f t="shared" si="92"/>
        <v>1100</v>
      </c>
      <c r="N143" s="39">
        <f t="shared" si="92"/>
        <v>1100</v>
      </c>
      <c r="O143" s="39">
        <f t="shared" si="92"/>
        <v>1100</v>
      </c>
      <c r="P143" s="39">
        <f t="shared" si="92"/>
        <v>1094.5</v>
      </c>
      <c r="Q143" s="39">
        <f t="shared" si="92"/>
        <v>912.5</v>
      </c>
      <c r="R143" s="39">
        <f t="shared" si="92"/>
        <v>850</v>
      </c>
      <c r="S143" s="39">
        <f t="shared" si="92"/>
        <v>787.5</v>
      </c>
      <c r="T143" s="39">
        <f t="shared" si="92"/>
        <v>725</v>
      </c>
      <c r="U143" s="39">
        <f t="shared" si="92"/>
        <v>662.5</v>
      </c>
      <c r="V143" s="39">
        <f t="shared" si="92"/>
        <v>600</v>
      </c>
      <c r="W143" s="39">
        <f t="shared" si="92"/>
        <v>600</v>
      </c>
      <c r="X143" s="39">
        <f t="shared" si="92"/>
        <v>0</v>
      </c>
      <c r="Y143" s="383"/>
      <c r="Z143" s="373"/>
      <c r="AA143" s="89"/>
      <c r="AB143" s="89"/>
      <c r="AG143" s="448">
        <v>1</v>
      </c>
    </row>
    <row r="144" spans="1:33">
      <c r="B144" s="449" t="s">
        <v>878</v>
      </c>
      <c r="C144" s="71">
        <f>C143/'Selection pman-p0-qN'!$P$24</f>
        <v>0</v>
      </c>
      <c r="D144" s="71">
        <f>D143/'Selection pman-p0-qN'!$P$24</f>
        <v>1562.5</v>
      </c>
      <c r="E144" s="71">
        <f>E143/'Selection pman-p0-qN'!$P$24</f>
        <v>1562.5</v>
      </c>
      <c r="F144" s="71">
        <f>F143/'Selection pman-p0-qN'!$P$24</f>
        <v>1725.5859375</v>
      </c>
      <c r="G144" s="71">
        <f>G143/'Selection pman-p0-qN'!$P$24</f>
        <v>1888.671875</v>
      </c>
      <c r="H144" s="71">
        <f>H143/'Selection pman-p0-qN'!$P$24</f>
        <v>2051.7578125</v>
      </c>
      <c r="I144" s="71">
        <f>I143/'Selection pman-p0-qN'!$P$24</f>
        <v>2214.84375</v>
      </c>
      <c r="J144" s="71">
        <f>J143/'Selection pman-p0-qN'!$P$24</f>
        <v>2377.9296875</v>
      </c>
      <c r="K144" s="71">
        <f>K143/'Selection pman-p0-qN'!$P$24</f>
        <v>2541.015625</v>
      </c>
      <c r="L144" s="71">
        <f>L143/'Selection pman-p0-qN'!$P$24</f>
        <v>2704.1015625</v>
      </c>
      <c r="M144" s="71">
        <f>M143/'Selection pman-p0-qN'!$P$24</f>
        <v>2864.5833333333335</v>
      </c>
      <c r="N144" s="71">
        <f>N143/'Selection pman-p0-qN'!$P$24</f>
        <v>2864.5833333333335</v>
      </c>
      <c r="O144" s="71">
        <f>O143/'Selection pman-p0-qN'!$P$24</f>
        <v>2864.5833333333335</v>
      </c>
      <c r="P144" s="71">
        <f>P143/'Selection pman-p0-qN'!$P$24</f>
        <v>2850.2604166666665</v>
      </c>
      <c r="Q144" s="71">
        <f>Q143/'Selection pman-p0-qN'!$P$24</f>
        <v>2376.3020833333335</v>
      </c>
      <c r="R144" s="71">
        <f>R143/'Selection pman-p0-qN'!$P$24</f>
        <v>2213.5416666666665</v>
      </c>
      <c r="S144" s="71">
        <f>S143/'Selection pman-p0-qN'!$P$24</f>
        <v>2050.78125</v>
      </c>
      <c r="T144" s="71">
        <f>T143/'Selection pman-p0-qN'!$P$24</f>
        <v>1888.0208333333333</v>
      </c>
      <c r="U144" s="71">
        <f>U143/'Selection pman-p0-qN'!$P$24</f>
        <v>1725.2604166666667</v>
      </c>
      <c r="V144" s="71">
        <f>V143/'Selection pman-p0-qN'!$P$24</f>
        <v>1562.5</v>
      </c>
      <c r="W144" s="71">
        <f>W143/'Selection pman-p0-qN'!$P$24</f>
        <v>1562.5</v>
      </c>
      <c r="X144" s="71">
        <f>X143/'Selection pman-p0-qN'!$P$24</f>
        <v>0</v>
      </c>
      <c r="Y144" s="369"/>
      <c r="Z144" s="91"/>
      <c r="AA144" s="91"/>
      <c r="AB144" s="91"/>
      <c r="AC144" s="91"/>
      <c r="AD144" s="91"/>
    </row>
    <row r="145" spans="1:33">
      <c r="B145" s="95" t="s">
        <v>879</v>
      </c>
      <c r="C145" s="450">
        <f>-2*10^(-7)*C142^2-0.0004*C142+8.3981-(C142/1000)^2/$AF145^2+0.5</f>
        <v>8.8980999999999995</v>
      </c>
      <c r="D145" s="450">
        <f t="shared" ref="D145:W145" si="93">-2*10^(-7)*D142^2-0.0004*D142+8.3981-(D142/1000)^2/$AF145^2+0.5</f>
        <v>8.5004367043426541</v>
      </c>
      <c r="E145" s="450">
        <f t="shared" si="93"/>
        <v>8.5004367043426541</v>
      </c>
      <c r="F145" s="450">
        <f t="shared" si="93"/>
        <v>8.4407568852598907</v>
      </c>
      <c r="G145" s="450">
        <f t="shared" si="93"/>
        <v>8.3776418539485409</v>
      </c>
      <c r="H145" s="450">
        <f t="shared" si="93"/>
        <v>8.3110916104086101</v>
      </c>
      <c r="I145" s="450">
        <f t="shared" si="93"/>
        <v>8.2411061546400948</v>
      </c>
      <c r="J145" s="450">
        <f t="shared" si="93"/>
        <v>8.1676854866429949</v>
      </c>
      <c r="K145" s="450">
        <f t="shared" si="93"/>
        <v>8.0908296064173104</v>
      </c>
      <c r="L145" s="450">
        <f t="shared" si="93"/>
        <v>8.0105385139630414</v>
      </c>
      <c r="M145" s="450">
        <f t="shared" si="93"/>
        <v>7.9268122092801896</v>
      </c>
      <c r="N145" s="450">
        <f t="shared" si="93"/>
        <v>7.9281761451516948</v>
      </c>
      <c r="O145" s="450">
        <f t="shared" si="93"/>
        <v>7.9281761451516948</v>
      </c>
      <c r="P145" s="450">
        <f t="shared" si="93"/>
        <v>7.9356621356038071</v>
      </c>
      <c r="Q145" s="450">
        <f t="shared" si="93"/>
        <v>8.1684351985425323</v>
      </c>
      <c r="R145" s="450">
        <f t="shared" si="93"/>
        <v>8.2416785246876856</v>
      </c>
      <c r="S145" s="450">
        <f t="shared" si="93"/>
        <v>8.3115003383402737</v>
      </c>
      <c r="T145" s="450">
        <f t="shared" si="93"/>
        <v>8.3779006395002966</v>
      </c>
      <c r="U145" s="450">
        <f t="shared" si="93"/>
        <v>8.4408794281677579</v>
      </c>
      <c r="V145" s="450">
        <f t="shared" si="93"/>
        <v>8.5004367043426541</v>
      </c>
      <c r="W145" s="450">
        <f t="shared" si="93"/>
        <v>8.5004367043426541</v>
      </c>
      <c r="X145" s="451"/>
      <c r="Y145" s="383"/>
      <c r="Z145" s="373"/>
      <c r="AA145" s="89"/>
      <c r="AB145" s="89"/>
      <c r="AF145" s="452">
        <v>2.0499999999999998</v>
      </c>
      <c r="AG145" s="85" t="s">
        <v>901</v>
      </c>
    </row>
    <row r="146" spans="1:33">
      <c r="B146" s="95" t="s">
        <v>881</v>
      </c>
      <c r="C146" s="451">
        <f>IF(C142&lt;$AG147,(C142/1000)^2/$AE146^2,10000)</f>
        <v>0</v>
      </c>
      <c r="D146" s="451">
        <f t="shared" ref="D146:W146" si="94">IF(D142&lt;$AG147,(D142/1000)^2/$AE146^2,10000)</f>
        <v>0.85207100591715967</v>
      </c>
      <c r="E146" s="451">
        <f t="shared" si="94"/>
        <v>0.85207100591715967</v>
      </c>
      <c r="F146" s="451">
        <f t="shared" si="94"/>
        <v>1.0392234097633135</v>
      </c>
      <c r="G146" s="451">
        <f t="shared" si="94"/>
        <v>1.2449409763313606</v>
      </c>
      <c r="H146" s="451">
        <f t="shared" si="94"/>
        <v>1.4692237056213016</v>
      </c>
      <c r="I146" s="451">
        <f t="shared" si="94"/>
        <v>1.7120715976331362</v>
      </c>
      <c r="J146" s="451">
        <f t="shared" si="94"/>
        <v>1.9734846523668634</v>
      </c>
      <c r="K146" s="451">
        <f t="shared" si="94"/>
        <v>2.253462869822485</v>
      </c>
      <c r="L146" s="451">
        <f t="shared" si="94"/>
        <v>2.5520062500000003</v>
      </c>
      <c r="M146" s="451">
        <f t="shared" si="94"/>
        <v>10000</v>
      </c>
      <c r="N146" s="451">
        <f t="shared" si="94"/>
        <v>10000</v>
      </c>
      <c r="O146" s="451">
        <f t="shared" si="94"/>
        <v>10000</v>
      </c>
      <c r="P146" s="451">
        <f t="shared" si="94"/>
        <v>2.8353378698224847</v>
      </c>
      <c r="Q146" s="451">
        <f t="shared" si="94"/>
        <v>1.9707840236686389</v>
      </c>
      <c r="R146" s="451">
        <f t="shared" si="94"/>
        <v>1.7100591715976328</v>
      </c>
      <c r="S146" s="451">
        <f t="shared" si="94"/>
        <v>1.467825443786982</v>
      </c>
      <c r="T146" s="451">
        <f t="shared" si="94"/>
        <v>1.2440828402366864</v>
      </c>
      <c r="U146" s="451">
        <f t="shared" si="94"/>
        <v>1.0388313609467454</v>
      </c>
      <c r="V146" s="451">
        <f t="shared" si="94"/>
        <v>0.85207100591715967</v>
      </c>
      <c r="W146" s="451">
        <f t="shared" si="94"/>
        <v>0.85207100591715967</v>
      </c>
      <c r="X146" s="451"/>
      <c r="Y146" s="383"/>
      <c r="Z146" s="373"/>
      <c r="AA146" s="89"/>
      <c r="AB146" s="89"/>
      <c r="AC146" s="453">
        <v>3.5</v>
      </c>
      <c r="AD146" s="380"/>
      <c r="AE146" s="452">
        <v>0.65</v>
      </c>
      <c r="AG146" s="85" t="s">
        <v>902</v>
      </c>
    </row>
    <row r="147" spans="1:33">
      <c r="B147" s="95" t="s">
        <v>883</v>
      </c>
      <c r="C147" s="451">
        <f t="shared" ref="C147:W147" si="95">$AC146</f>
        <v>3.5</v>
      </c>
      <c r="D147" s="451">
        <f t="shared" si="95"/>
        <v>3.5</v>
      </c>
      <c r="E147" s="451">
        <f t="shared" si="95"/>
        <v>3.5</v>
      </c>
      <c r="F147" s="451">
        <f t="shared" si="95"/>
        <v>3.5</v>
      </c>
      <c r="G147" s="451">
        <f t="shared" si="95"/>
        <v>3.5</v>
      </c>
      <c r="H147" s="451">
        <f t="shared" si="95"/>
        <v>3.5</v>
      </c>
      <c r="I147" s="451">
        <f t="shared" si="95"/>
        <v>3.5</v>
      </c>
      <c r="J147" s="451">
        <f t="shared" si="95"/>
        <v>3.5</v>
      </c>
      <c r="K147" s="451">
        <f t="shared" si="95"/>
        <v>3.5</v>
      </c>
      <c r="L147" s="451">
        <f t="shared" si="95"/>
        <v>3.5</v>
      </c>
      <c r="M147" s="451">
        <f t="shared" si="95"/>
        <v>3.5</v>
      </c>
      <c r="N147" s="451">
        <f t="shared" si="95"/>
        <v>3.5</v>
      </c>
      <c r="O147" s="451">
        <f t="shared" si="95"/>
        <v>3.5</v>
      </c>
      <c r="P147" s="451">
        <f t="shared" si="95"/>
        <v>3.5</v>
      </c>
      <c r="Q147" s="451">
        <f t="shared" si="95"/>
        <v>3.5</v>
      </c>
      <c r="R147" s="451">
        <f t="shared" si="95"/>
        <v>3.5</v>
      </c>
      <c r="S147" s="451">
        <f t="shared" si="95"/>
        <v>3.5</v>
      </c>
      <c r="T147" s="451">
        <f t="shared" si="95"/>
        <v>3.5</v>
      </c>
      <c r="U147" s="451">
        <f t="shared" si="95"/>
        <v>3.5</v>
      </c>
      <c r="V147" s="451">
        <f t="shared" si="95"/>
        <v>3.5</v>
      </c>
      <c r="W147" s="451">
        <f t="shared" si="95"/>
        <v>3.5</v>
      </c>
      <c r="X147" s="451"/>
      <c r="Y147" s="383"/>
      <c r="Z147" s="373"/>
      <c r="AA147" s="89"/>
      <c r="AB147" s="89"/>
      <c r="AD147" s="453">
        <v>6.5</v>
      </c>
      <c r="AG147" s="452">
        <v>1100</v>
      </c>
    </row>
    <row r="148" spans="1:33">
      <c r="B148" s="95" t="s">
        <v>884</v>
      </c>
      <c r="C148" s="451">
        <f t="shared" ref="C148:W148" si="96">$AD147</f>
        <v>6.5</v>
      </c>
      <c r="D148" s="451">
        <f t="shared" si="96"/>
        <v>6.5</v>
      </c>
      <c r="E148" s="451">
        <f t="shared" si="96"/>
        <v>6.5</v>
      </c>
      <c r="F148" s="451">
        <f t="shared" si="96"/>
        <v>6.5</v>
      </c>
      <c r="G148" s="451">
        <f t="shared" si="96"/>
        <v>6.5</v>
      </c>
      <c r="H148" s="451">
        <f t="shared" si="96"/>
        <v>6.5</v>
      </c>
      <c r="I148" s="451">
        <f t="shared" si="96"/>
        <v>6.5</v>
      </c>
      <c r="J148" s="451">
        <f t="shared" si="96"/>
        <v>6.5</v>
      </c>
      <c r="K148" s="451">
        <f t="shared" si="96"/>
        <v>6.5</v>
      </c>
      <c r="L148" s="451">
        <f t="shared" si="96"/>
        <v>6.5</v>
      </c>
      <c r="M148" s="451">
        <f t="shared" si="96"/>
        <v>6.5</v>
      </c>
      <c r="N148" s="451">
        <f t="shared" si="96"/>
        <v>6.5</v>
      </c>
      <c r="O148" s="451">
        <f t="shared" si="96"/>
        <v>6.5</v>
      </c>
      <c r="P148" s="451">
        <f t="shared" si="96"/>
        <v>6.5</v>
      </c>
      <c r="Q148" s="451">
        <f t="shared" si="96"/>
        <v>6.5</v>
      </c>
      <c r="R148" s="451">
        <f t="shared" si="96"/>
        <v>6.5</v>
      </c>
      <c r="S148" s="451">
        <f t="shared" si="96"/>
        <v>6.5</v>
      </c>
      <c r="T148" s="451">
        <f t="shared" si="96"/>
        <v>6.5</v>
      </c>
      <c r="U148" s="451">
        <f t="shared" si="96"/>
        <v>6.5</v>
      </c>
      <c r="V148" s="451">
        <f t="shared" si="96"/>
        <v>6.5</v>
      </c>
      <c r="W148" s="451">
        <f t="shared" si="96"/>
        <v>6.5</v>
      </c>
      <c r="X148" s="451"/>
      <c r="Y148" s="383"/>
      <c r="Z148" s="373"/>
      <c r="AA148" s="89"/>
      <c r="AB148" s="89"/>
    </row>
    <row r="149" spans="1:33" s="67" customFormat="1" ht="12" customHeight="1">
      <c r="B149" s="454" t="s">
        <v>885</v>
      </c>
      <c r="C149" s="67">
        <f t="shared" ref="C149:M149" si="97">IF(AND(C146&gt;10000-2,C145&lt;C148),C145,IF(C145&gt;C148,C148,IF(C148&gt;C146,C145,IF(C145&gt;C146,C145,IF(C146&gt;C147,C146,C147)))))</f>
        <v>6.5</v>
      </c>
      <c r="D149" s="67">
        <f t="shared" si="97"/>
        <v>6.5</v>
      </c>
      <c r="E149" s="67">
        <f t="shared" si="97"/>
        <v>6.5</v>
      </c>
      <c r="F149" s="67">
        <f t="shared" si="97"/>
        <v>6.5</v>
      </c>
      <c r="G149" s="67">
        <f t="shared" si="97"/>
        <v>6.5</v>
      </c>
      <c r="H149" s="67">
        <f t="shared" si="97"/>
        <v>6.5</v>
      </c>
      <c r="I149" s="67">
        <f t="shared" si="97"/>
        <v>6.5</v>
      </c>
      <c r="J149" s="67">
        <f t="shared" si="97"/>
        <v>6.5</v>
      </c>
      <c r="K149" s="67">
        <f t="shared" si="97"/>
        <v>6.5</v>
      </c>
      <c r="L149" s="67">
        <f t="shared" si="97"/>
        <v>6.5</v>
      </c>
      <c r="M149" s="67">
        <f t="shared" si="97"/>
        <v>6.5</v>
      </c>
      <c r="N149" s="455">
        <f t="shared" ref="N149:V149" si="98">IF(AND(N146&gt;10000-2,N145&lt;N148),M145,IF(AND(N146&lt;N148,N146&gt;N147),N146,IF(N146&gt;N148,N148,N147)))</f>
        <v>6.5</v>
      </c>
      <c r="O149" s="455">
        <f t="shared" si="98"/>
        <v>6.5</v>
      </c>
      <c r="P149" s="455">
        <f t="shared" si="98"/>
        <v>3.5</v>
      </c>
      <c r="Q149" s="455">
        <f t="shared" si="98"/>
        <v>3.5</v>
      </c>
      <c r="R149" s="455">
        <f t="shared" si="98"/>
        <v>3.5</v>
      </c>
      <c r="S149" s="455">
        <f t="shared" si="98"/>
        <v>3.5</v>
      </c>
      <c r="T149" s="455">
        <f t="shared" si="98"/>
        <v>3.5</v>
      </c>
      <c r="U149" s="455">
        <f t="shared" si="98"/>
        <v>3.5</v>
      </c>
      <c r="V149" s="455">
        <f t="shared" si="98"/>
        <v>3.5</v>
      </c>
      <c r="W149" s="132">
        <f>V149</f>
        <v>3.5</v>
      </c>
      <c r="X149" s="132">
        <f>W149</f>
        <v>3.5</v>
      </c>
      <c r="Y149" s="379"/>
      <c r="Z149" s="132"/>
      <c r="AA149" s="132"/>
      <c r="AB149" s="132"/>
      <c r="AC149" s="380"/>
      <c r="AD149" s="380"/>
      <c r="AG149" s="39"/>
    </row>
    <row r="150" spans="1:33">
      <c r="B150" s="449" t="s">
        <v>886</v>
      </c>
      <c r="C150" s="67">
        <f t="shared" ref="C150:X150" si="99">C149-0.5</f>
        <v>6</v>
      </c>
      <c r="D150" s="67">
        <f t="shared" si="99"/>
        <v>6</v>
      </c>
      <c r="E150" s="67">
        <f t="shared" si="99"/>
        <v>6</v>
      </c>
      <c r="F150" s="67">
        <f t="shared" si="99"/>
        <v>6</v>
      </c>
      <c r="G150" s="67">
        <f t="shared" si="99"/>
        <v>6</v>
      </c>
      <c r="H150" s="67">
        <f t="shared" si="99"/>
        <v>6</v>
      </c>
      <c r="I150" s="67">
        <f t="shared" si="99"/>
        <v>6</v>
      </c>
      <c r="J150" s="67">
        <f t="shared" si="99"/>
        <v>6</v>
      </c>
      <c r="K150" s="67">
        <f t="shared" si="99"/>
        <v>6</v>
      </c>
      <c r="L150" s="67">
        <f t="shared" si="99"/>
        <v>6</v>
      </c>
      <c r="M150" s="67">
        <f t="shared" si="99"/>
        <v>6</v>
      </c>
      <c r="N150" s="67">
        <f t="shared" si="99"/>
        <v>6</v>
      </c>
      <c r="O150" s="67">
        <f t="shared" si="99"/>
        <v>6</v>
      </c>
      <c r="P150" s="67">
        <f t="shared" si="99"/>
        <v>3</v>
      </c>
      <c r="Q150" s="67">
        <f t="shared" si="99"/>
        <v>3</v>
      </c>
      <c r="R150" s="67">
        <f t="shared" si="99"/>
        <v>3</v>
      </c>
      <c r="S150" s="67">
        <f t="shared" si="99"/>
        <v>3</v>
      </c>
      <c r="T150" s="67">
        <f t="shared" si="99"/>
        <v>3</v>
      </c>
      <c r="U150" s="67">
        <f t="shared" si="99"/>
        <v>3</v>
      </c>
      <c r="V150" s="67">
        <f t="shared" si="99"/>
        <v>3</v>
      </c>
      <c r="W150" s="67">
        <f t="shared" si="99"/>
        <v>3</v>
      </c>
      <c r="X150" s="67">
        <f t="shared" si="99"/>
        <v>3</v>
      </c>
      <c r="Y150" s="369"/>
      <c r="Z150" s="91"/>
      <c r="AA150" s="91"/>
      <c r="AB150" s="91"/>
      <c r="AC150" s="91"/>
      <c r="AD150" s="91"/>
    </row>
    <row r="151" spans="1:33">
      <c r="B151" s="85"/>
      <c r="C151" s="85"/>
      <c r="M151" s="89"/>
      <c r="N151" s="89"/>
      <c r="O151" s="89"/>
      <c r="P151" s="89"/>
      <c r="Q151" s="89"/>
      <c r="R151" s="89"/>
      <c r="S151" s="89"/>
      <c r="T151" s="89"/>
      <c r="U151" s="89"/>
      <c r="V151" s="89"/>
      <c r="W151" s="89"/>
      <c r="X151" s="89"/>
      <c r="Y151" s="369"/>
      <c r="Z151" s="91"/>
      <c r="AA151" s="91"/>
      <c r="AB151" s="91"/>
      <c r="AC151" s="91"/>
      <c r="AD151" s="91"/>
    </row>
    <row r="152" spans="1:33">
      <c r="A152" s="95" t="s">
        <v>903</v>
      </c>
      <c r="B152" s="95" t="s">
        <v>787</v>
      </c>
      <c r="C152" s="39">
        <v>0</v>
      </c>
      <c r="D152" s="444">
        <v>600</v>
      </c>
      <c r="E152" s="89">
        <f>D152</f>
        <v>600</v>
      </c>
      <c r="F152" s="89">
        <f t="shared" ref="F152:L152" si="100">$E152+($M152-$E152)/8*F$232</f>
        <v>910.5</v>
      </c>
      <c r="G152" s="89">
        <f t="shared" si="100"/>
        <v>1221</v>
      </c>
      <c r="H152" s="89">
        <f t="shared" si="100"/>
        <v>1531.5</v>
      </c>
      <c r="I152" s="89">
        <f t="shared" si="100"/>
        <v>1842</v>
      </c>
      <c r="J152" s="89">
        <f t="shared" si="100"/>
        <v>2152.5</v>
      </c>
      <c r="K152" s="89">
        <f t="shared" si="100"/>
        <v>2463</v>
      </c>
      <c r="L152" s="89">
        <f t="shared" si="100"/>
        <v>2773.5</v>
      </c>
      <c r="M152" s="445">
        <v>3084</v>
      </c>
      <c r="N152" s="446">
        <f>M152-1</f>
        <v>3083</v>
      </c>
      <c r="O152" s="373">
        <f>N152</f>
        <v>3083</v>
      </c>
      <c r="P152" s="89">
        <f t="shared" ref="P152:V152" si="101">$O152+($W152-$O152)/8*P$232</f>
        <v>2462.25</v>
      </c>
      <c r="Q152" s="89">
        <f t="shared" si="101"/>
        <v>2151.875</v>
      </c>
      <c r="R152" s="89">
        <f t="shared" si="101"/>
        <v>1841.5</v>
      </c>
      <c r="S152" s="89">
        <f t="shared" si="101"/>
        <v>1531.125</v>
      </c>
      <c r="T152" s="89">
        <f t="shared" si="101"/>
        <v>1220.75</v>
      </c>
      <c r="U152" s="89">
        <f t="shared" si="101"/>
        <v>910.375</v>
      </c>
      <c r="V152" s="89">
        <f t="shared" si="101"/>
        <v>600</v>
      </c>
      <c r="W152" s="446">
        <f>D152</f>
        <v>600</v>
      </c>
      <c r="X152" s="89">
        <v>0</v>
      </c>
      <c r="Y152" s="383">
        <f>D152</f>
        <v>600</v>
      </c>
      <c r="Z152" s="373">
        <f>M152</f>
        <v>3084</v>
      </c>
      <c r="AA152" s="447">
        <f>AC156-0.5</f>
        <v>3</v>
      </c>
      <c r="AB152" s="447">
        <f>AD157-0.5</f>
        <v>6</v>
      </c>
    </row>
    <row r="153" spans="1:33">
      <c r="A153" s="95"/>
      <c r="B153" s="370" t="s">
        <v>877</v>
      </c>
      <c r="C153" s="39">
        <f>IF(C156&gt;C158,$AE$56*1000*$AD$57^0.5,C152)</f>
        <v>0</v>
      </c>
      <c r="D153" s="39">
        <f t="shared" ref="D153:W153" si="102">IF(D156&gt;D158,$AE$56*1000*$AD$57^0.5*$AG153,D152*$AG153)</f>
        <v>600</v>
      </c>
      <c r="E153" s="39">
        <f t="shared" si="102"/>
        <v>600</v>
      </c>
      <c r="F153" s="39">
        <f t="shared" si="102"/>
        <v>910.5</v>
      </c>
      <c r="G153" s="39">
        <f t="shared" si="102"/>
        <v>1221</v>
      </c>
      <c r="H153" s="39">
        <f t="shared" si="102"/>
        <v>1531.5</v>
      </c>
      <c r="I153" s="39">
        <f t="shared" si="102"/>
        <v>1842</v>
      </c>
      <c r="J153" s="39">
        <f t="shared" si="102"/>
        <v>2152.5</v>
      </c>
      <c r="K153" s="39">
        <f t="shared" si="102"/>
        <v>2463</v>
      </c>
      <c r="L153" s="39">
        <f t="shared" si="102"/>
        <v>2773.5</v>
      </c>
      <c r="M153" s="39">
        <f t="shared" si="102"/>
        <v>3084</v>
      </c>
      <c r="N153" s="39">
        <f t="shared" si="102"/>
        <v>3083</v>
      </c>
      <c r="O153" s="39">
        <f t="shared" si="102"/>
        <v>3083</v>
      </c>
      <c r="P153" s="39">
        <f t="shared" si="102"/>
        <v>2462.25</v>
      </c>
      <c r="Q153" s="39">
        <f t="shared" si="102"/>
        <v>2151.875</v>
      </c>
      <c r="R153" s="39">
        <f t="shared" si="102"/>
        <v>1841.5</v>
      </c>
      <c r="S153" s="39">
        <f t="shared" si="102"/>
        <v>1531.125</v>
      </c>
      <c r="T153" s="39">
        <f t="shared" si="102"/>
        <v>1220.75</v>
      </c>
      <c r="U153" s="39">
        <f t="shared" si="102"/>
        <v>910.375</v>
      </c>
      <c r="V153" s="39">
        <f t="shared" si="102"/>
        <v>600</v>
      </c>
      <c r="W153" s="39">
        <f t="shared" si="102"/>
        <v>600</v>
      </c>
      <c r="X153" s="89">
        <v>0</v>
      </c>
      <c r="Y153" s="383"/>
      <c r="Z153" s="373"/>
      <c r="AA153" s="89"/>
      <c r="AB153" s="89"/>
      <c r="AG153" s="448">
        <v>1</v>
      </c>
    </row>
    <row r="154" spans="1:33">
      <c r="B154" s="449" t="s">
        <v>878</v>
      </c>
      <c r="C154" s="71">
        <f>C153/'Selection pman-p0-qN'!$P$24</f>
        <v>0</v>
      </c>
      <c r="D154" s="71">
        <f>D153/'Selection pman-p0-qN'!$P$24</f>
        <v>1562.5</v>
      </c>
      <c r="E154" s="71">
        <f>E153/'Selection pman-p0-qN'!$P$24</f>
        <v>1562.5</v>
      </c>
      <c r="F154" s="71">
        <f>F153/'Selection pman-p0-qN'!$P$24</f>
        <v>2371.09375</v>
      </c>
      <c r="G154" s="71">
        <f>G153/'Selection pman-p0-qN'!$P$24</f>
        <v>3179.6875</v>
      </c>
      <c r="H154" s="71">
        <f>H153/'Selection pman-p0-qN'!$P$24</f>
        <v>3988.28125</v>
      </c>
      <c r="I154" s="71">
        <f>I153/'Selection pman-p0-qN'!$P$24</f>
        <v>4796.875</v>
      </c>
      <c r="J154" s="71">
        <f>J153/'Selection pman-p0-qN'!$P$24</f>
        <v>5605.46875</v>
      </c>
      <c r="K154" s="71">
        <f>K153/'Selection pman-p0-qN'!$P$24</f>
        <v>6414.0625</v>
      </c>
      <c r="L154" s="71">
        <f>L153/'Selection pman-p0-qN'!$P$24</f>
        <v>7222.65625</v>
      </c>
      <c r="M154" s="71">
        <f>M153/'Selection pman-p0-qN'!$P$24</f>
        <v>8031.25</v>
      </c>
      <c r="N154" s="71">
        <f>N153/'Selection pman-p0-qN'!$P$24</f>
        <v>8028.645833333333</v>
      </c>
      <c r="O154" s="71">
        <f>O153/'Selection pman-p0-qN'!$P$24</f>
        <v>8028.645833333333</v>
      </c>
      <c r="P154" s="71">
        <f>P153/'Selection pman-p0-qN'!$P$24</f>
        <v>6412.109375</v>
      </c>
      <c r="Q154" s="71">
        <f>Q153/'Selection pman-p0-qN'!$P$24</f>
        <v>5603.841145833333</v>
      </c>
      <c r="R154" s="71">
        <f>R153/'Selection pman-p0-qN'!$P$24</f>
        <v>4795.572916666667</v>
      </c>
      <c r="S154" s="71">
        <f>S153/'Selection pman-p0-qN'!$P$24</f>
        <v>3987.3046875</v>
      </c>
      <c r="T154" s="71">
        <f>T153/'Selection pman-p0-qN'!$P$24</f>
        <v>3179.0364583333335</v>
      </c>
      <c r="U154" s="71">
        <f>U153/'Selection pman-p0-qN'!$P$24</f>
        <v>2370.7682291666665</v>
      </c>
      <c r="V154" s="71">
        <f>V153/'Selection pman-p0-qN'!$P$24</f>
        <v>1562.5</v>
      </c>
      <c r="W154" s="71">
        <f>W153/'Selection pman-p0-qN'!$P$24</f>
        <v>1562.5</v>
      </c>
      <c r="X154" s="71">
        <f>X153/'Selection pman-p0-qN'!$P$24</f>
        <v>0</v>
      </c>
      <c r="Y154" s="369"/>
      <c r="Z154" s="91"/>
      <c r="AA154" s="91"/>
      <c r="AB154" s="91"/>
      <c r="AC154" s="91"/>
      <c r="AD154" s="91"/>
    </row>
    <row r="155" spans="1:33">
      <c r="B155" s="95" t="s">
        <v>879</v>
      </c>
      <c r="C155" s="450">
        <f>-2*10^(-7)*C152^2-0.0004*C152+8.3981-(C152/1000)^2/$AF155^2+0.5</f>
        <v>8.8980999999999995</v>
      </c>
      <c r="D155" s="450">
        <f t="shared" ref="D155:W155" si="103">-2*10^(-7)*D152^2-0.0004*D152+8.3981-(D152/1000)^2/$AF155^2+0.5</f>
        <v>8.5004367043426541</v>
      </c>
      <c r="E155" s="450">
        <f t="shared" si="103"/>
        <v>8.5004367043426541</v>
      </c>
      <c r="F155" s="450">
        <f t="shared" si="103"/>
        <v>8.1708319773646636</v>
      </c>
      <c r="G155" s="450">
        <f t="shared" si="103"/>
        <v>7.7567808184414035</v>
      </c>
      <c r="H155" s="450">
        <f t="shared" si="103"/>
        <v>7.2582832275728721</v>
      </c>
      <c r="I155" s="450">
        <f t="shared" si="103"/>
        <v>6.6753392047590712</v>
      </c>
      <c r="J155" s="450">
        <f t="shared" si="103"/>
        <v>6.0079487499999997</v>
      </c>
      <c r="K155" s="450">
        <f t="shared" si="103"/>
        <v>5.2561118632956561</v>
      </c>
      <c r="L155" s="450">
        <f t="shared" si="103"/>
        <v>4.4198285446460437</v>
      </c>
      <c r="M155" s="450">
        <f t="shared" si="103"/>
        <v>3.4990987940511591</v>
      </c>
      <c r="N155" s="450">
        <f t="shared" si="103"/>
        <v>3.5021996538964895</v>
      </c>
      <c r="O155" s="450">
        <f t="shared" si="103"/>
        <v>3.5021996538964895</v>
      </c>
      <c r="P155" s="450">
        <f t="shared" si="103"/>
        <v>5.2580296365184411</v>
      </c>
      <c r="Q155" s="450">
        <f t="shared" si="103"/>
        <v>6.009376947826814</v>
      </c>
      <c r="R155" s="450">
        <f t="shared" si="103"/>
        <v>6.6763458058001186</v>
      </c>
      <c r="S155" s="450">
        <f t="shared" si="103"/>
        <v>7.2589362104383541</v>
      </c>
      <c r="T155" s="450">
        <f t="shared" si="103"/>
        <v>7.7571481617415223</v>
      </c>
      <c r="U155" s="450">
        <f t="shared" si="103"/>
        <v>8.1709816597096214</v>
      </c>
      <c r="V155" s="450">
        <f t="shared" si="103"/>
        <v>8.5004367043426541</v>
      </c>
      <c r="W155" s="450">
        <f t="shared" si="103"/>
        <v>8.5004367043426541</v>
      </c>
      <c r="X155" s="451"/>
      <c r="Y155" s="383"/>
      <c r="Z155" s="373"/>
      <c r="AA155" s="89"/>
      <c r="AB155" s="89"/>
      <c r="AF155" s="452">
        <v>2.0499999999999998</v>
      </c>
      <c r="AG155" s="85">
        <v>7</v>
      </c>
    </row>
    <row r="156" spans="1:33">
      <c r="B156" s="95" t="s">
        <v>881</v>
      </c>
      <c r="C156" s="451">
        <f>(C152/1000)^2/$AE156^2</f>
        <v>0</v>
      </c>
      <c r="D156" s="451">
        <f t="shared" ref="D156:W156" si="104">(D152/1000)^2/$AE156^2</f>
        <v>2.7777777777777776E-2</v>
      </c>
      <c r="E156" s="451">
        <f t="shared" si="104"/>
        <v>2.7777777777777776E-2</v>
      </c>
      <c r="F156" s="451">
        <f t="shared" si="104"/>
        <v>6.396684027777777E-2</v>
      </c>
      <c r="G156" s="451">
        <f t="shared" si="104"/>
        <v>0.1150340277777778</v>
      </c>
      <c r="H156" s="451">
        <f t="shared" si="104"/>
        <v>0.18097934027777779</v>
      </c>
      <c r="I156" s="451">
        <f t="shared" si="104"/>
        <v>0.26180277777777777</v>
      </c>
      <c r="J156" s="451">
        <f t="shared" si="104"/>
        <v>0.35750434027777772</v>
      </c>
      <c r="K156" s="451">
        <f t="shared" si="104"/>
        <v>0.4680840277777778</v>
      </c>
      <c r="L156" s="451">
        <f t="shared" si="104"/>
        <v>0.59354184027777768</v>
      </c>
      <c r="M156" s="451">
        <f t="shared" si="104"/>
        <v>0.73387777777777774</v>
      </c>
      <c r="N156" s="451">
        <f t="shared" si="104"/>
        <v>0.73340192901234569</v>
      </c>
      <c r="O156" s="451">
        <f t="shared" si="104"/>
        <v>0.73340192901234569</v>
      </c>
      <c r="P156" s="451">
        <f t="shared" si="104"/>
        <v>0.46779900173611111</v>
      </c>
      <c r="Q156" s="451">
        <f t="shared" si="104"/>
        <v>0.35729676046489195</v>
      </c>
      <c r="R156" s="451">
        <f t="shared" si="104"/>
        <v>0.26166066743827154</v>
      </c>
      <c r="S156" s="451">
        <f t="shared" si="104"/>
        <v>0.18089072265625</v>
      </c>
      <c r="T156" s="451">
        <f t="shared" si="104"/>
        <v>0.11498692611882716</v>
      </c>
      <c r="U156" s="451">
        <f t="shared" si="104"/>
        <v>6.3949277826003084E-2</v>
      </c>
      <c r="V156" s="451">
        <f t="shared" si="104"/>
        <v>2.7777777777777776E-2</v>
      </c>
      <c r="W156" s="451">
        <f t="shared" si="104"/>
        <v>2.7777777777777776E-2</v>
      </c>
      <c r="X156" s="451"/>
      <c r="Y156" s="383"/>
      <c r="Z156" s="373"/>
      <c r="AA156" s="89"/>
      <c r="AB156" s="89"/>
      <c r="AC156" s="453">
        <v>3.5</v>
      </c>
      <c r="AD156" s="380"/>
      <c r="AE156" s="452">
        <v>3.6</v>
      </c>
      <c r="AG156" s="85" t="s">
        <v>901</v>
      </c>
    </row>
    <row r="157" spans="1:33">
      <c r="B157" s="95" t="s">
        <v>883</v>
      </c>
      <c r="C157" s="451">
        <f t="shared" ref="C157:W157" si="105">$AC156</f>
        <v>3.5</v>
      </c>
      <c r="D157" s="451">
        <f t="shared" si="105"/>
        <v>3.5</v>
      </c>
      <c r="E157" s="451">
        <f t="shared" si="105"/>
        <v>3.5</v>
      </c>
      <c r="F157" s="451">
        <f t="shared" si="105"/>
        <v>3.5</v>
      </c>
      <c r="G157" s="451">
        <f t="shared" si="105"/>
        <v>3.5</v>
      </c>
      <c r="H157" s="451">
        <f t="shared" si="105"/>
        <v>3.5</v>
      </c>
      <c r="I157" s="451">
        <f t="shared" si="105"/>
        <v>3.5</v>
      </c>
      <c r="J157" s="451">
        <f t="shared" si="105"/>
        <v>3.5</v>
      </c>
      <c r="K157" s="451">
        <f t="shared" si="105"/>
        <v>3.5</v>
      </c>
      <c r="L157" s="451">
        <f t="shared" si="105"/>
        <v>3.5</v>
      </c>
      <c r="M157" s="451">
        <f t="shared" si="105"/>
        <v>3.5</v>
      </c>
      <c r="N157" s="451">
        <f t="shared" si="105"/>
        <v>3.5</v>
      </c>
      <c r="O157" s="451">
        <f t="shared" si="105"/>
        <v>3.5</v>
      </c>
      <c r="P157" s="451">
        <f t="shared" si="105"/>
        <v>3.5</v>
      </c>
      <c r="Q157" s="451">
        <f t="shared" si="105"/>
        <v>3.5</v>
      </c>
      <c r="R157" s="451">
        <f t="shared" si="105"/>
        <v>3.5</v>
      </c>
      <c r="S157" s="451">
        <f t="shared" si="105"/>
        <v>3.5</v>
      </c>
      <c r="T157" s="451">
        <f t="shared" si="105"/>
        <v>3.5</v>
      </c>
      <c r="U157" s="451">
        <f t="shared" si="105"/>
        <v>3.5</v>
      </c>
      <c r="V157" s="451">
        <f t="shared" si="105"/>
        <v>3.5</v>
      </c>
      <c r="W157" s="451">
        <f t="shared" si="105"/>
        <v>3.5</v>
      </c>
      <c r="X157" s="451"/>
      <c r="Y157" s="383"/>
      <c r="Z157" s="373"/>
      <c r="AA157" s="89"/>
      <c r="AB157" s="89"/>
      <c r="AD157" s="453">
        <v>6.5</v>
      </c>
      <c r="AG157" s="95" t="s">
        <v>888</v>
      </c>
    </row>
    <row r="158" spans="1:33">
      <c r="B158" s="95" t="s">
        <v>884</v>
      </c>
      <c r="C158" s="451">
        <f t="shared" ref="C158:W158" si="106">$AD157</f>
        <v>6.5</v>
      </c>
      <c r="D158" s="451">
        <f t="shared" si="106"/>
        <v>6.5</v>
      </c>
      <c r="E158" s="451">
        <f t="shared" si="106"/>
        <v>6.5</v>
      </c>
      <c r="F158" s="451">
        <f t="shared" si="106"/>
        <v>6.5</v>
      </c>
      <c r="G158" s="451">
        <f t="shared" si="106"/>
        <v>6.5</v>
      </c>
      <c r="H158" s="451">
        <f t="shared" si="106"/>
        <v>6.5</v>
      </c>
      <c r="I158" s="451">
        <f t="shared" si="106"/>
        <v>6.5</v>
      </c>
      <c r="J158" s="451">
        <f t="shared" si="106"/>
        <v>6.5</v>
      </c>
      <c r="K158" s="451">
        <f t="shared" si="106"/>
        <v>6.5</v>
      </c>
      <c r="L158" s="451">
        <f t="shared" si="106"/>
        <v>6.5</v>
      </c>
      <c r="M158" s="451">
        <f t="shared" si="106"/>
        <v>6.5</v>
      </c>
      <c r="N158" s="451">
        <f t="shared" si="106"/>
        <v>6.5</v>
      </c>
      <c r="O158" s="451">
        <f t="shared" si="106"/>
        <v>6.5</v>
      </c>
      <c r="P158" s="451">
        <f t="shared" si="106"/>
        <v>6.5</v>
      </c>
      <c r="Q158" s="451">
        <f t="shared" si="106"/>
        <v>6.5</v>
      </c>
      <c r="R158" s="451">
        <f t="shared" si="106"/>
        <v>6.5</v>
      </c>
      <c r="S158" s="451">
        <f t="shared" si="106"/>
        <v>6.5</v>
      </c>
      <c r="T158" s="451">
        <f t="shared" si="106"/>
        <v>6.5</v>
      </c>
      <c r="U158" s="451">
        <f t="shared" si="106"/>
        <v>6.5</v>
      </c>
      <c r="V158" s="451">
        <f t="shared" si="106"/>
        <v>6.5</v>
      </c>
      <c r="W158" s="451">
        <f t="shared" si="106"/>
        <v>6.5</v>
      </c>
      <c r="X158" s="451"/>
      <c r="Y158" s="383"/>
      <c r="Z158" s="373"/>
      <c r="AA158" s="89"/>
      <c r="AB158" s="89"/>
    </row>
    <row r="159" spans="1:33" s="67" customFormat="1" ht="12" customHeight="1">
      <c r="B159" s="454" t="s">
        <v>885</v>
      </c>
      <c r="C159" s="67">
        <f t="shared" ref="C159:M159" si="107">IF(AND(C156&gt;10000-2,C155&lt;C158),C155,IF(C155&gt;C158,C158,IF(C158&gt;C156,C155,IF(C155&gt;C156,C155,IF(C156&gt;C157,C156,C157)))))</f>
        <v>6.5</v>
      </c>
      <c r="D159" s="67">
        <f t="shared" si="107"/>
        <v>6.5</v>
      </c>
      <c r="E159" s="67">
        <f t="shared" si="107"/>
        <v>6.5</v>
      </c>
      <c r="F159" s="67">
        <f t="shared" si="107"/>
        <v>6.5</v>
      </c>
      <c r="G159" s="67">
        <f t="shared" si="107"/>
        <v>6.5</v>
      </c>
      <c r="H159" s="67">
        <f t="shared" si="107"/>
        <v>6.5</v>
      </c>
      <c r="I159" s="67">
        <f t="shared" si="107"/>
        <v>6.5</v>
      </c>
      <c r="J159" s="67">
        <f t="shared" si="107"/>
        <v>6.0079487499999997</v>
      </c>
      <c r="K159" s="67">
        <f t="shared" si="107"/>
        <v>5.2561118632956561</v>
      </c>
      <c r="L159" s="67">
        <f t="shared" si="107"/>
        <v>4.4198285446460437</v>
      </c>
      <c r="M159" s="67">
        <f t="shared" si="107"/>
        <v>3.4990987940511591</v>
      </c>
      <c r="N159" s="455">
        <f t="shared" ref="N159:V159" si="108">IF(AND(N156&gt;10000-2,N155&lt;N158),M155,IF(AND(N156&lt;N158,N156&gt;N157),N156,IF(N156&gt;N158,N158,N157)))</f>
        <v>3.5</v>
      </c>
      <c r="O159" s="455">
        <f t="shared" si="108"/>
        <v>3.5</v>
      </c>
      <c r="P159" s="455">
        <f t="shared" si="108"/>
        <v>3.5</v>
      </c>
      <c r="Q159" s="455">
        <f t="shared" si="108"/>
        <v>3.5</v>
      </c>
      <c r="R159" s="455">
        <f t="shared" si="108"/>
        <v>3.5</v>
      </c>
      <c r="S159" s="455">
        <f t="shared" si="108"/>
        <v>3.5</v>
      </c>
      <c r="T159" s="455">
        <f t="shared" si="108"/>
        <v>3.5</v>
      </c>
      <c r="U159" s="455">
        <f t="shared" si="108"/>
        <v>3.5</v>
      </c>
      <c r="V159" s="455">
        <f t="shared" si="108"/>
        <v>3.5</v>
      </c>
      <c r="W159" s="132">
        <f>V159</f>
        <v>3.5</v>
      </c>
      <c r="X159" s="132">
        <f>W159</f>
        <v>3.5</v>
      </c>
      <c r="Y159" s="379"/>
      <c r="Z159" s="132"/>
      <c r="AA159" s="132"/>
      <c r="AB159" s="132"/>
      <c r="AC159" s="380"/>
      <c r="AD159" s="380"/>
    </row>
    <row r="160" spans="1:33">
      <c r="B160" s="449" t="s">
        <v>886</v>
      </c>
      <c r="C160" s="67">
        <f t="shared" ref="C160:X160" si="109">C159-0.5</f>
        <v>6</v>
      </c>
      <c r="D160" s="67">
        <f t="shared" si="109"/>
        <v>6</v>
      </c>
      <c r="E160" s="67">
        <f t="shared" si="109"/>
        <v>6</v>
      </c>
      <c r="F160" s="67">
        <f t="shared" si="109"/>
        <v>6</v>
      </c>
      <c r="G160" s="67">
        <f t="shared" si="109"/>
        <v>6</v>
      </c>
      <c r="H160" s="67">
        <f t="shared" si="109"/>
        <v>6</v>
      </c>
      <c r="I160" s="67">
        <f t="shared" si="109"/>
        <v>6</v>
      </c>
      <c r="J160" s="67">
        <f t="shared" si="109"/>
        <v>5.5079487499999997</v>
      </c>
      <c r="K160" s="67">
        <f t="shared" si="109"/>
        <v>4.7561118632956561</v>
      </c>
      <c r="L160" s="67">
        <f t="shared" si="109"/>
        <v>3.9198285446460437</v>
      </c>
      <c r="M160" s="67">
        <f t="shared" si="109"/>
        <v>2.9990987940511591</v>
      </c>
      <c r="N160" s="67">
        <f t="shared" si="109"/>
        <v>3</v>
      </c>
      <c r="O160" s="67">
        <f t="shared" si="109"/>
        <v>3</v>
      </c>
      <c r="P160" s="67">
        <f t="shared" si="109"/>
        <v>3</v>
      </c>
      <c r="Q160" s="67">
        <f t="shared" si="109"/>
        <v>3</v>
      </c>
      <c r="R160" s="67">
        <f t="shared" si="109"/>
        <v>3</v>
      </c>
      <c r="S160" s="67">
        <f t="shared" si="109"/>
        <v>3</v>
      </c>
      <c r="T160" s="67">
        <f t="shared" si="109"/>
        <v>3</v>
      </c>
      <c r="U160" s="67">
        <f t="shared" si="109"/>
        <v>3</v>
      </c>
      <c r="V160" s="67">
        <f t="shared" si="109"/>
        <v>3</v>
      </c>
      <c r="W160" s="67">
        <f t="shared" si="109"/>
        <v>3</v>
      </c>
      <c r="X160" s="67">
        <f t="shared" si="109"/>
        <v>3</v>
      </c>
      <c r="Y160" s="369"/>
      <c r="Z160" s="91"/>
      <c r="AA160" s="91"/>
      <c r="AB160" s="91"/>
      <c r="AC160" s="91"/>
      <c r="AD160" s="91"/>
    </row>
    <row r="161" spans="1:33">
      <c r="B161" s="85"/>
      <c r="C161" s="85"/>
      <c r="M161" s="89"/>
      <c r="N161" s="89"/>
      <c r="O161" s="89"/>
      <c r="P161" s="89"/>
      <c r="Q161" s="89"/>
      <c r="R161" s="89"/>
      <c r="S161" s="89"/>
      <c r="T161" s="89"/>
      <c r="U161" s="89"/>
      <c r="V161" s="89"/>
      <c r="W161" s="89"/>
      <c r="X161" s="89"/>
      <c r="Y161" s="369"/>
      <c r="Z161" s="91"/>
      <c r="AA161" s="91"/>
      <c r="AB161" s="91"/>
      <c r="AC161" s="91"/>
      <c r="AD161" s="91"/>
    </row>
    <row r="162" spans="1:33">
      <c r="A162" s="95" t="s">
        <v>904</v>
      </c>
      <c r="B162" s="95" t="s">
        <v>787</v>
      </c>
      <c r="C162" s="39">
        <v>0</v>
      </c>
      <c r="D162" s="444">
        <v>600</v>
      </c>
      <c r="E162" s="89">
        <f>D162</f>
        <v>600</v>
      </c>
      <c r="F162" s="89">
        <f t="shared" ref="F162:L162" si="110">$E162+($M162-$E162)/8*F$232</f>
        <v>1142.875</v>
      </c>
      <c r="G162" s="89">
        <f t="shared" si="110"/>
        <v>1685.75</v>
      </c>
      <c r="H162" s="89">
        <f t="shared" si="110"/>
        <v>2228.625</v>
      </c>
      <c r="I162" s="89">
        <f t="shared" si="110"/>
        <v>2771.5</v>
      </c>
      <c r="J162" s="89">
        <f t="shared" si="110"/>
        <v>3314.375</v>
      </c>
      <c r="K162" s="89">
        <f t="shared" si="110"/>
        <v>3857.25</v>
      </c>
      <c r="L162" s="89">
        <f t="shared" si="110"/>
        <v>4400.125</v>
      </c>
      <c r="M162" s="445">
        <v>4943</v>
      </c>
      <c r="N162" s="446">
        <f>M162-1</f>
        <v>4942</v>
      </c>
      <c r="O162" s="373">
        <f>N162</f>
        <v>4942</v>
      </c>
      <c r="P162" s="89">
        <f t="shared" ref="P162:V162" si="111">$O162+($W162-$O162)/8*P$232</f>
        <v>3856.5</v>
      </c>
      <c r="Q162" s="89">
        <f t="shared" si="111"/>
        <v>3313.75</v>
      </c>
      <c r="R162" s="89">
        <f t="shared" si="111"/>
        <v>2771</v>
      </c>
      <c r="S162" s="89">
        <f t="shared" si="111"/>
        <v>2228.25</v>
      </c>
      <c r="T162" s="89">
        <f t="shared" si="111"/>
        <v>1685.5</v>
      </c>
      <c r="U162" s="89">
        <f t="shared" si="111"/>
        <v>1142.75</v>
      </c>
      <c r="V162" s="89">
        <f t="shared" si="111"/>
        <v>600</v>
      </c>
      <c r="W162" s="446">
        <f>D162</f>
        <v>600</v>
      </c>
      <c r="X162" s="89">
        <v>0</v>
      </c>
      <c r="Y162" s="383">
        <f>D162</f>
        <v>600</v>
      </c>
      <c r="Z162" s="373">
        <f>M162</f>
        <v>4943</v>
      </c>
      <c r="AA162" s="447">
        <f>AC166-0.5</f>
        <v>3</v>
      </c>
      <c r="AB162" s="447">
        <f>AD167-0.5</f>
        <v>6</v>
      </c>
    </row>
    <row r="163" spans="1:33">
      <c r="A163" s="95"/>
      <c r="B163" s="370" t="s">
        <v>877</v>
      </c>
      <c r="C163" s="39">
        <f>IF(C166&gt;C168,$AE$56*1000*$AD$57^0.5,C162)</f>
        <v>0</v>
      </c>
      <c r="D163" s="39">
        <f t="shared" ref="D163:W163" si="112">IF(D166&gt;D168,$AE$56*1000*$AD$57^0.5*$AG163,D162*$AG163)</f>
        <v>600</v>
      </c>
      <c r="E163" s="39">
        <f t="shared" si="112"/>
        <v>600</v>
      </c>
      <c r="F163" s="39">
        <f t="shared" si="112"/>
        <v>1142.875</v>
      </c>
      <c r="G163" s="39">
        <f t="shared" si="112"/>
        <v>1685.75</v>
      </c>
      <c r="H163" s="39">
        <f t="shared" si="112"/>
        <v>2228.625</v>
      </c>
      <c r="I163" s="39">
        <f t="shared" si="112"/>
        <v>2771.5</v>
      </c>
      <c r="J163" s="39">
        <f t="shared" si="112"/>
        <v>3314.375</v>
      </c>
      <c r="K163" s="39">
        <f t="shared" si="112"/>
        <v>3857.25</v>
      </c>
      <c r="L163" s="39">
        <f t="shared" si="112"/>
        <v>4400.125</v>
      </c>
      <c r="M163" s="39">
        <f t="shared" si="112"/>
        <v>4943</v>
      </c>
      <c r="N163" s="39">
        <f t="shared" si="112"/>
        <v>4942</v>
      </c>
      <c r="O163" s="39">
        <f t="shared" si="112"/>
        <v>4942</v>
      </c>
      <c r="P163" s="39">
        <f t="shared" si="112"/>
        <v>3856.5</v>
      </c>
      <c r="Q163" s="39">
        <f t="shared" si="112"/>
        <v>3313.75</v>
      </c>
      <c r="R163" s="39">
        <f t="shared" si="112"/>
        <v>2771</v>
      </c>
      <c r="S163" s="39">
        <f t="shared" si="112"/>
        <v>2228.25</v>
      </c>
      <c r="T163" s="39">
        <f t="shared" si="112"/>
        <v>1685.5</v>
      </c>
      <c r="U163" s="39">
        <f t="shared" si="112"/>
        <v>1142.75</v>
      </c>
      <c r="V163" s="39">
        <f t="shared" si="112"/>
        <v>600</v>
      </c>
      <c r="W163" s="39">
        <f t="shared" si="112"/>
        <v>600</v>
      </c>
      <c r="X163" s="89">
        <v>0</v>
      </c>
      <c r="Y163" s="383"/>
      <c r="Z163" s="373"/>
      <c r="AA163" s="89"/>
      <c r="AB163" s="89"/>
      <c r="AG163" s="448">
        <v>1</v>
      </c>
    </row>
    <row r="164" spans="1:33">
      <c r="B164" s="449" t="s">
        <v>878</v>
      </c>
      <c r="C164" s="71">
        <f>C163/'Selection pman-p0-qN'!$P$24</f>
        <v>0</v>
      </c>
      <c r="D164" s="71">
        <f>D163/'Selection pman-p0-qN'!$P$24</f>
        <v>1562.5</v>
      </c>
      <c r="E164" s="71">
        <f>E163/'Selection pman-p0-qN'!$P$24</f>
        <v>1562.5</v>
      </c>
      <c r="F164" s="71">
        <f>F163/'Selection pman-p0-qN'!$P$24</f>
        <v>2976.2369791666665</v>
      </c>
      <c r="G164" s="71">
        <f>G163/'Selection pman-p0-qN'!$P$24</f>
        <v>4389.973958333333</v>
      </c>
      <c r="H164" s="71">
        <f>H163/'Selection pman-p0-qN'!$P$24</f>
        <v>5803.7109375</v>
      </c>
      <c r="I164" s="71">
        <f>I163/'Selection pman-p0-qN'!$P$24</f>
        <v>7217.447916666667</v>
      </c>
      <c r="J164" s="71">
        <f>J163/'Selection pman-p0-qN'!$P$24</f>
        <v>8631.1848958333339</v>
      </c>
      <c r="K164" s="71">
        <f>K163/'Selection pman-p0-qN'!$P$24</f>
        <v>10044.921875</v>
      </c>
      <c r="L164" s="71">
        <f>L163/'Selection pman-p0-qN'!$P$24</f>
        <v>11458.658854166666</v>
      </c>
      <c r="M164" s="71">
        <f>M163/'Selection pman-p0-qN'!$P$24</f>
        <v>12872.395833333334</v>
      </c>
      <c r="N164" s="71">
        <f>N163/'Selection pman-p0-qN'!$P$24</f>
        <v>12869.791666666666</v>
      </c>
      <c r="O164" s="71">
        <f>O163/'Selection pman-p0-qN'!$P$24</f>
        <v>12869.791666666666</v>
      </c>
      <c r="P164" s="71">
        <f>P163/'Selection pman-p0-qN'!$P$24</f>
        <v>10042.96875</v>
      </c>
      <c r="Q164" s="71">
        <f>Q163/'Selection pman-p0-qN'!$P$24</f>
        <v>8629.5572916666661</v>
      </c>
      <c r="R164" s="71">
        <f>R163/'Selection pman-p0-qN'!$P$24</f>
        <v>7216.145833333333</v>
      </c>
      <c r="S164" s="71">
        <f>S163/'Selection pman-p0-qN'!$P$24</f>
        <v>5802.734375</v>
      </c>
      <c r="T164" s="71">
        <f>T163/'Selection pman-p0-qN'!$P$24</f>
        <v>4389.322916666667</v>
      </c>
      <c r="U164" s="71">
        <f>U163/'Selection pman-p0-qN'!$P$24</f>
        <v>2975.9114583333335</v>
      </c>
      <c r="V164" s="71">
        <f>V163/'Selection pman-p0-qN'!$P$24</f>
        <v>1562.5</v>
      </c>
      <c r="W164" s="71">
        <f>W163/'Selection pman-p0-qN'!$P$24</f>
        <v>1562.5</v>
      </c>
      <c r="X164" s="71">
        <f>X163/'Selection pman-p0-qN'!$P$24</f>
        <v>0</v>
      </c>
      <c r="Y164" s="369"/>
      <c r="Z164" s="91"/>
      <c r="AA164" s="91"/>
      <c r="AB164" s="91"/>
      <c r="AC164" s="91"/>
      <c r="AD164" s="91"/>
    </row>
    <row r="165" spans="1:33">
      <c r="B165" s="95" t="s">
        <v>879</v>
      </c>
      <c r="C165" s="450">
        <f>-5*10^(-8)*C162^2-0.0002*C162+8.3981-(C162/1000)^2/$AF165^2+0.5</f>
        <v>8.8980999999999995</v>
      </c>
      <c r="D165" s="450">
        <f t="shared" ref="D165:W165" si="113">-5*10^(-8)*D162^2-0.0002*D162+8.3981-(D162/1000)^2/$AF165^2+0.5</f>
        <v>8.7131816249397218</v>
      </c>
      <c r="E165" s="450">
        <f t="shared" si="113"/>
        <v>8.7131816249397218</v>
      </c>
      <c r="F165" s="450">
        <f t="shared" si="113"/>
        <v>8.4339861200894433</v>
      </c>
      <c r="G165" s="450">
        <f t="shared" si="113"/>
        <v>8.0485000246109273</v>
      </c>
      <c r="H165" s="450">
        <f t="shared" si="113"/>
        <v>7.556723338504173</v>
      </c>
      <c r="I165" s="450">
        <f t="shared" si="113"/>
        <v>6.9586560617691804</v>
      </c>
      <c r="J165" s="450">
        <f t="shared" si="113"/>
        <v>6.2542981944059504</v>
      </c>
      <c r="K165" s="450">
        <f t="shared" si="113"/>
        <v>5.4436497364144829</v>
      </c>
      <c r="L165" s="450">
        <f t="shared" si="113"/>
        <v>4.5267106877947763</v>
      </c>
      <c r="M165" s="450">
        <f t="shared" si="113"/>
        <v>3.5034810485468335</v>
      </c>
      <c r="N165" s="450">
        <f t="shared" si="113"/>
        <v>3.5054635989286966</v>
      </c>
      <c r="O165" s="450">
        <f t="shared" si="113"/>
        <v>3.5054635989286966</v>
      </c>
      <c r="P165" s="450">
        <f t="shared" si="113"/>
        <v>5.4448429949886936</v>
      </c>
      <c r="Q165" s="450">
        <f t="shared" si="113"/>
        <v>6.255170220629382</v>
      </c>
      <c r="R165" s="450">
        <f t="shared" si="113"/>
        <v>6.9592557980105294</v>
      </c>
      <c r="S165" s="450">
        <f t="shared" si="113"/>
        <v>7.5570997271321376</v>
      </c>
      <c r="T165" s="450">
        <f t="shared" si="113"/>
        <v>8.0487020079942067</v>
      </c>
      <c r="U165" s="450">
        <f t="shared" si="113"/>
        <v>8.4340626405967356</v>
      </c>
      <c r="V165" s="450">
        <f t="shared" si="113"/>
        <v>8.7131816249397218</v>
      </c>
      <c r="W165" s="450">
        <f t="shared" si="113"/>
        <v>8.7131816249397218</v>
      </c>
      <c r="X165" s="451"/>
      <c r="Y165" s="383"/>
      <c r="Z165" s="373"/>
      <c r="AA165" s="89"/>
      <c r="AB165" s="89"/>
      <c r="AF165" s="452">
        <v>2.77</v>
      </c>
      <c r="AG165" s="85">
        <v>7</v>
      </c>
    </row>
    <row r="166" spans="1:33">
      <c r="B166" s="95" t="s">
        <v>881</v>
      </c>
      <c r="C166" s="451">
        <f>(C162/1000)^2/$AE166^2</f>
        <v>0</v>
      </c>
      <c r="D166" s="451">
        <f t="shared" ref="D166:W166" si="114">(D162/1000)^2/$AE166^2</f>
        <v>2.7777777777777776E-2</v>
      </c>
      <c r="E166" s="451">
        <f t="shared" si="114"/>
        <v>2.7777777777777776E-2</v>
      </c>
      <c r="F166" s="451">
        <f t="shared" si="114"/>
        <v>0.10078420259452162</v>
      </c>
      <c r="G166" s="451">
        <f t="shared" si="114"/>
        <v>0.21927106963734569</v>
      </c>
      <c r="H166" s="451">
        <f t="shared" si="114"/>
        <v>0.38323837890625001</v>
      </c>
      <c r="I166" s="451">
        <f t="shared" si="114"/>
        <v>0.59268613040123452</v>
      </c>
      <c r="J166" s="451">
        <f t="shared" si="114"/>
        <v>0.84761432412229942</v>
      </c>
      <c r="K166" s="451">
        <f t="shared" si="114"/>
        <v>1.1480229600694445</v>
      </c>
      <c r="L166" s="451">
        <f t="shared" si="114"/>
        <v>1.4939120382426698</v>
      </c>
      <c r="M166" s="451">
        <f t="shared" si="114"/>
        <v>1.8852815586419749</v>
      </c>
      <c r="N166" s="451">
        <f t="shared" si="114"/>
        <v>1.884518827160494</v>
      </c>
      <c r="O166" s="451">
        <f t="shared" si="114"/>
        <v>1.884518827160494</v>
      </c>
      <c r="P166" s="451">
        <f t="shared" si="114"/>
        <v>1.1475765624999998</v>
      </c>
      <c r="Q166" s="451">
        <f t="shared" si="114"/>
        <v>0.84729468074845682</v>
      </c>
      <c r="R166" s="451">
        <f t="shared" si="114"/>
        <v>0.59247229938271595</v>
      </c>
      <c r="S166" s="451">
        <f t="shared" si="114"/>
        <v>0.38310941840277773</v>
      </c>
      <c r="T166" s="451">
        <f t="shared" si="114"/>
        <v>0.21920603780864195</v>
      </c>
      <c r="U166" s="451">
        <f t="shared" si="114"/>
        <v>0.10076215760030863</v>
      </c>
      <c r="V166" s="451">
        <f t="shared" si="114"/>
        <v>2.7777777777777776E-2</v>
      </c>
      <c r="W166" s="451">
        <f t="shared" si="114"/>
        <v>2.7777777777777776E-2</v>
      </c>
      <c r="X166" s="451"/>
      <c r="Y166" s="383"/>
      <c r="Z166" s="373"/>
      <c r="AA166" s="89"/>
      <c r="AB166" s="89"/>
      <c r="AC166" s="453">
        <v>3.5</v>
      </c>
      <c r="AD166" s="380"/>
      <c r="AE166" s="452">
        <v>3.6</v>
      </c>
      <c r="AG166" s="85" t="s">
        <v>905</v>
      </c>
    </row>
    <row r="167" spans="1:33">
      <c r="B167" s="95" t="s">
        <v>883</v>
      </c>
      <c r="C167" s="451">
        <f t="shared" ref="C167:W167" si="115">$AC166</f>
        <v>3.5</v>
      </c>
      <c r="D167" s="451">
        <f t="shared" si="115"/>
        <v>3.5</v>
      </c>
      <c r="E167" s="451">
        <f t="shared" si="115"/>
        <v>3.5</v>
      </c>
      <c r="F167" s="451">
        <f t="shared" si="115"/>
        <v>3.5</v>
      </c>
      <c r="G167" s="451">
        <f t="shared" si="115"/>
        <v>3.5</v>
      </c>
      <c r="H167" s="451">
        <f t="shared" si="115"/>
        <v>3.5</v>
      </c>
      <c r="I167" s="451">
        <f t="shared" si="115"/>
        <v>3.5</v>
      </c>
      <c r="J167" s="451">
        <f t="shared" si="115"/>
        <v>3.5</v>
      </c>
      <c r="K167" s="451">
        <f t="shared" si="115"/>
        <v>3.5</v>
      </c>
      <c r="L167" s="451">
        <f t="shared" si="115"/>
        <v>3.5</v>
      </c>
      <c r="M167" s="451">
        <f t="shared" si="115"/>
        <v>3.5</v>
      </c>
      <c r="N167" s="451">
        <f t="shared" si="115"/>
        <v>3.5</v>
      </c>
      <c r="O167" s="451">
        <f t="shared" si="115"/>
        <v>3.5</v>
      </c>
      <c r="P167" s="451">
        <f t="shared" si="115"/>
        <v>3.5</v>
      </c>
      <c r="Q167" s="451">
        <f t="shared" si="115"/>
        <v>3.5</v>
      </c>
      <c r="R167" s="451">
        <f t="shared" si="115"/>
        <v>3.5</v>
      </c>
      <c r="S167" s="451">
        <f t="shared" si="115"/>
        <v>3.5</v>
      </c>
      <c r="T167" s="451">
        <f t="shared" si="115"/>
        <v>3.5</v>
      </c>
      <c r="U167" s="451">
        <f t="shared" si="115"/>
        <v>3.5</v>
      </c>
      <c r="V167" s="451">
        <f t="shared" si="115"/>
        <v>3.5</v>
      </c>
      <c r="W167" s="451">
        <f t="shared" si="115"/>
        <v>3.5</v>
      </c>
      <c r="X167" s="451"/>
      <c r="Y167" s="383"/>
      <c r="Z167" s="373"/>
      <c r="AA167" s="89"/>
      <c r="AB167" s="89"/>
      <c r="AD167" s="453">
        <v>6.5</v>
      </c>
      <c r="AG167" s="95" t="s">
        <v>888</v>
      </c>
    </row>
    <row r="168" spans="1:33">
      <c r="B168" s="95" t="s">
        <v>884</v>
      </c>
      <c r="C168" s="451">
        <f t="shared" ref="C168:W168" si="116">$AD167</f>
        <v>6.5</v>
      </c>
      <c r="D168" s="451">
        <f t="shared" si="116"/>
        <v>6.5</v>
      </c>
      <c r="E168" s="451">
        <f t="shared" si="116"/>
        <v>6.5</v>
      </c>
      <c r="F168" s="451">
        <f t="shared" si="116"/>
        <v>6.5</v>
      </c>
      <c r="G168" s="451">
        <f t="shared" si="116"/>
        <v>6.5</v>
      </c>
      <c r="H168" s="451">
        <f t="shared" si="116"/>
        <v>6.5</v>
      </c>
      <c r="I168" s="451">
        <f t="shared" si="116"/>
        <v>6.5</v>
      </c>
      <c r="J168" s="451">
        <f t="shared" si="116"/>
        <v>6.5</v>
      </c>
      <c r="K168" s="451">
        <f t="shared" si="116"/>
        <v>6.5</v>
      </c>
      <c r="L168" s="451">
        <f t="shared" si="116"/>
        <v>6.5</v>
      </c>
      <c r="M168" s="451">
        <f t="shared" si="116"/>
        <v>6.5</v>
      </c>
      <c r="N168" s="451">
        <f t="shared" si="116"/>
        <v>6.5</v>
      </c>
      <c r="O168" s="451">
        <f t="shared" si="116"/>
        <v>6.5</v>
      </c>
      <c r="P168" s="451">
        <f t="shared" si="116"/>
        <v>6.5</v>
      </c>
      <c r="Q168" s="451">
        <f t="shared" si="116"/>
        <v>6.5</v>
      </c>
      <c r="R168" s="451">
        <f t="shared" si="116"/>
        <v>6.5</v>
      </c>
      <c r="S168" s="451">
        <f t="shared" si="116"/>
        <v>6.5</v>
      </c>
      <c r="T168" s="451">
        <f t="shared" si="116"/>
        <v>6.5</v>
      </c>
      <c r="U168" s="451">
        <f t="shared" si="116"/>
        <v>6.5</v>
      </c>
      <c r="V168" s="451">
        <f t="shared" si="116"/>
        <v>6.5</v>
      </c>
      <c r="W168" s="451">
        <f t="shared" si="116"/>
        <v>6.5</v>
      </c>
      <c r="X168" s="451"/>
      <c r="Y168" s="383"/>
      <c r="Z168" s="373"/>
      <c r="AA168" s="89"/>
      <c r="AB168" s="89"/>
    </row>
    <row r="169" spans="1:33" s="67" customFormat="1" ht="12" customHeight="1">
      <c r="B169" s="454" t="s">
        <v>885</v>
      </c>
      <c r="C169" s="67">
        <f t="shared" ref="C169:M169" si="117">IF(AND(C166&gt;10000-2,C165&lt;C168),C165,IF(C165&gt;C168,C168,IF(C168&gt;C166,C165,IF(C165&gt;C166,C165,IF(C166&gt;C167,C166,C167)))))</f>
        <v>6.5</v>
      </c>
      <c r="D169" s="67">
        <f t="shared" si="117"/>
        <v>6.5</v>
      </c>
      <c r="E169" s="67">
        <f t="shared" si="117"/>
        <v>6.5</v>
      </c>
      <c r="F169" s="67">
        <f t="shared" si="117"/>
        <v>6.5</v>
      </c>
      <c r="G169" s="67">
        <f t="shared" si="117"/>
        <v>6.5</v>
      </c>
      <c r="H169" s="67">
        <f t="shared" si="117"/>
        <v>6.5</v>
      </c>
      <c r="I169" s="67">
        <f t="shared" si="117"/>
        <v>6.5</v>
      </c>
      <c r="J169" s="67">
        <f t="shared" si="117"/>
        <v>6.2542981944059504</v>
      </c>
      <c r="K169" s="67">
        <f t="shared" si="117"/>
        <v>5.4436497364144829</v>
      </c>
      <c r="L169" s="67">
        <f t="shared" si="117"/>
        <v>4.5267106877947763</v>
      </c>
      <c r="M169" s="67">
        <f t="shared" si="117"/>
        <v>3.5034810485468335</v>
      </c>
      <c r="N169" s="455">
        <f t="shared" ref="N169:V169" si="118">IF(AND(N166&gt;10000-2,N165&lt;N168),M165,IF(AND(N166&lt;N168,N166&gt;N167),N166,IF(N166&gt;N168,N168,N167)))</f>
        <v>3.5</v>
      </c>
      <c r="O169" s="455">
        <f t="shared" si="118"/>
        <v>3.5</v>
      </c>
      <c r="P169" s="455">
        <f t="shared" si="118"/>
        <v>3.5</v>
      </c>
      <c r="Q169" s="455">
        <f t="shared" si="118"/>
        <v>3.5</v>
      </c>
      <c r="R169" s="455">
        <f t="shared" si="118"/>
        <v>3.5</v>
      </c>
      <c r="S169" s="455">
        <f t="shared" si="118"/>
        <v>3.5</v>
      </c>
      <c r="T169" s="455">
        <f t="shared" si="118"/>
        <v>3.5</v>
      </c>
      <c r="U169" s="455">
        <f t="shared" si="118"/>
        <v>3.5</v>
      </c>
      <c r="V169" s="455">
        <f t="shared" si="118"/>
        <v>3.5</v>
      </c>
      <c r="W169" s="132">
        <f>V169</f>
        <v>3.5</v>
      </c>
      <c r="X169" s="132">
        <f>W169</f>
        <v>3.5</v>
      </c>
      <c r="Y169" s="379"/>
      <c r="Z169" s="132"/>
      <c r="AA169" s="132"/>
      <c r="AB169" s="132"/>
      <c r="AC169" s="380"/>
      <c r="AD169" s="380"/>
    </row>
    <row r="170" spans="1:33">
      <c r="B170" s="449" t="s">
        <v>886</v>
      </c>
      <c r="C170" s="67">
        <f t="shared" ref="C170:X170" si="119">C169-0.5</f>
        <v>6</v>
      </c>
      <c r="D170" s="67">
        <f t="shared" si="119"/>
        <v>6</v>
      </c>
      <c r="E170" s="67">
        <f t="shared" si="119"/>
        <v>6</v>
      </c>
      <c r="F170" s="67">
        <f t="shared" si="119"/>
        <v>6</v>
      </c>
      <c r="G170" s="67">
        <f t="shared" si="119"/>
        <v>6</v>
      </c>
      <c r="H170" s="67">
        <f t="shared" si="119"/>
        <v>6</v>
      </c>
      <c r="I170" s="67">
        <f t="shared" si="119"/>
        <v>6</v>
      </c>
      <c r="J170" s="67">
        <f t="shared" si="119"/>
        <v>5.7542981944059504</v>
      </c>
      <c r="K170" s="67">
        <f t="shared" si="119"/>
        <v>4.9436497364144829</v>
      </c>
      <c r="L170" s="67">
        <f t="shared" si="119"/>
        <v>4.0267106877947763</v>
      </c>
      <c r="M170" s="67">
        <f t="shared" si="119"/>
        <v>3.0034810485468335</v>
      </c>
      <c r="N170" s="67">
        <f t="shared" si="119"/>
        <v>3</v>
      </c>
      <c r="O170" s="67">
        <f t="shared" si="119"/>
        <v>3</v>
      </c>
      <c r="P170" s="67">
        <f t="shared" si="119"/>
        <v>3</v>
      </c>
      <c r="Q170" s="67">
        <f t="shared" si="119"/>
        <v>3</v>
      </c>
      <c r="R170" s="67">
        <f t="shared" si="119"/>
        <v>3</v>
      </c>
      <c r="S170" s="67">
        <f t="shared" si="119"/>
        <v>3</v>
      </c>
      <c r="T170" s="67">
        <f t="shared" si="119"/>
        <v>3</v>
      </c>
      <c r="U170" s="67">
        <f t="shared" si="119"/>
        <v>3</v>
      </c>
      <c r="V170" s="67">
        <f t="shared" si="119"/>
        <v>3</v>
      </c>
      <c r="W170" s="67">
        <f t="shared" si="119"/>
        <v>3</v>
      </c>
      <c r="X170" s="67">
        <f t="shared" si="119"/>
        <v>3</v>
      </c>
      <c r="Y170" s="369"/>
      <c r="Z170" s="91"/>
      <c r="AA170" s="91"/>
      <c r="AB170" s="91"/>
      <c r="AC170" s="91"/>
      <c r="AD170" s="91"/>
    </row>
    <row r="171" spans="1:33">
      <c r="B171" s="85"/>
      <c r="C171" s="85"/>
      <c r="M171" s="89"/>
      <c r="N171" s="89"/>
      <c r="O171" s="89"/>
      <c r="P171" s="89"/>
      <c r="Q171" s="89"/>
      <c r="R171" s="89"/>
      <c r="S171" s="89"/>
      <c r="T171" s="89"/>
      <c r="U171" s="89"/>
      <c r="V171" s="89"/>
      <c r="W171" s="89"/>
      <c r="X171" s="89"/>
      <c r="Y171" s="369"/>
      <c r="Z171" s="91"/>
      <c r="AA171" s="91"/>
      <c r="AB171" s="91"/>
      <c r="AC171" s="91"/>
      <c r="AD171" s="91"/>
    </row>
    <row r="172" spans="1:33">
      <c r="A172" s="95" t="s">
        <v>906</v>
      </c>
      <c r="B172" s="95" t="s">
        <v>787</v>
      </c>
      <c r="C172" s="39">
        <v>0</v>
      </c>
      <c r="D172" s="444">
        <v>600</v>
      </c>
      <c r="E172" s="89">
        <f>D172</f>
        <v>600</v>
      </c>
      <c r="F172" s="89">
        <f t="shared" ref="F172:L172" si="120">$E172+($M172-$E172)/8*F$232</f>
        <v>662.625</v>
      </c>
      <c r="G172" s="89">
        <f t="shared" si="120"/>
        <v>725.25</v>
      </c>
      <c r="H172" s="89">
        <f t="shared" si="120"/>
        <v>787.875</v>
      </c>
      <c r="I172" s="89">
        <f t="shared" si="120"/>
        <v>850.5</v>
      </c>
      <c r="J172" s="89">
        <f t="shared" si="120"/>
        <v>913.125</v>
      </c>
      <c r="K172" s="89">
        <f t="shared" si="120"/>
        <v>975.75</v>
      </c>
      <c r="L172" s="89">
        <f t="shared" si="120"/>
        <v>1038.375</v>
      </c>
      <c r="M172" s="445">
        <v>1101</v>
      </c>
      <c r="N172" s="446">
        <f>M172-1</f>
        <v>1100</v>
      </c>
      <c r="O172" s="373">
        <f>N172</f>
        <v>1100</v>
      </c>
      <c r="P172" s="456">
        <f>O172*0.995</f>
        <v>1094.5</v>
      </c>
      <c r="Q172" s="89">
        <f t="shared" ref="Q172:V172" si="121">$O172+($W172-$O172)/8*Q$232</f>
        <v>912.5</v>
      </c>
      <c r="R172" s="89">
        <f t="shared" si="121"/>
        <v>850</v>
      </c>
      <c r="S172" s="89">
        <f t="shared" si="121"/>
        <v>787.5</v>
      </c>
      <c r="T172" s="89">
        <f t="shared" si="121"/>
        <v>725</v>
      </c>
      <c r="U172" s="89">
        <f t="shared" si="121"/>
        <v>662.5</v>
      </c>
      <c r="V172" s="89">
        <f t="shared" si="121"/>
        <v>600</v>
      </c>
      <c r="W172" s="446">
        <f>D172</f>
        <v>600</v>
      </c>
      <c r="X172" s="89">
        <v>0</v>
      </c>
      <c r="Y172" s="383">
        <f>D172</f>
        <v>600</v>
      </c>
      <c r="Z172" s="373">
        <f>M172</f>
        <v>1101</v>
      </c>
      <c r="AA172" s="447">
        <f>AC176-0.5</f>
        <v>5</v>
      </c>
      <c r="AB172" s="447">
        <f>AD177-0.5</f>
        <v>9.5</v>
      </c>
    </row>
    <row r="173" spans="1:33">
      <c r="A173" s="95"/>
      <c r="B173" s="370" t="s">
        <v>877</v>
      </c>
      <c r="C173" s="39">
        <f t="shared" ref="C173:X173" si="122">IF(C172&gt;$AG177-1,$AG177,IF(C176&gt;C178,$AE$56*1000*$AD$57^0.5,C172))</f>
        <v>0</v>
      </c>
      <c r="D173" s="39">
        <f t="shared" si="122"/>
        <v>600</v>
      </c>
      <c r="E173" s="39">
        <f t="shared" si="122"/>
        <v>600</v>
      </c>
      <c r="F173" s="39">
        <f t="shared" si="122"/>
        <v>662.625</v>
      </c>
      <c r="G173" s="39">
        <f t="shared" si="122"/>
        <v>725.25</v>
      </c>
      <c r="H173" s="39">
        <f t="shared" si="122"/>
        <v>787.875</v>
      </c>
      <c r="I173" s="39">
        <f t="shared" si="122"/>
        <v>850.5</v>
      </c>
      <c r="J173" s="39">
        <f t="shared" si="122"/>
        <v>913.125</v>
      </c>
      <c r="K173" s="39">
        <f t="shared" si="122"/>
        <v>975.75</v>
      </c>
      <c r="L173" s="39">
        <f t="shared" si="122"/>
        <v>1038.375</v>
      </c>
      <c r="M173" s="39">
        <f t="shared" si="122"/>
        <v>1100</v>
      </c>
      <c r="N173" s="39">
        <f t="shared" si="122"/>
        <v>1100</v>
      </c>
      <c r="O173" s="39">
        <f t="shared" si="122"/>
        <v>1100</v>
      </c>
      <c r="P173" s="39">
        <f t="shared" si="122"/>
        <v>1094.5</v>
      </c>
      <c r="Q173" s="39">
        <f t="shared" si="122"/>
        <v>912.5</v>
      </c>
      <c r="R173" s="39">
        <f t="shared" si="122"/>
        <v>850</v>
      </c>
      <c r="S173" s="39">
        <f t="shared" si="122"/>
        <v>787.5</v>
      </c>
      <c r="T173" s="39">
        <f t="shared" si="122"/>
        <v>725</v>
      </c>
      <c r="U173" s="39">
        <f t="shared" si="122"/>
        <v>662.5</v>
      </c>
      <c r="V173" s="39">
        <f t="shared" si="122"/>
        <v>600</v>
      </c>
      <c r="W173" s="39">
        <f t="shared" si="122"/>
        <v>600</v>
      </c>
      <c r="X173" s="39">
        <f t="shared" si="122"/>
        <v>0</v>
      </c>
      <c r="Y173" s="383"/>
      <c r="Z173" s="373"/>
      <c r="AA173" s="89"/>
      <c r="AB173" s="89"/>
      <c r="AG173" s="448">
        <v>1</v>
      </c>
    </row>
    <row r="174" spans="1:33">
      <c r="B174" s="449" t="s">
        <v>878</v>
      </c>
      <c r="C174" s="71">
        <f>C173/'Selection pman-p0-qN'!$P$24</f>
        <v>0</v>
      </c>
      <c r="D174" s="71">
        <f>D173/'Selection pman-p0-qN'!$P$24</f>
        <v>1562.5</v>
      </c>
      <c r="E174" s="71">
        <f>E173/'Selection pman-p0-qN'!$P$24</f>
        <v>1562.5</v>
      </c>
      <c r="F174" s="71">
        <f>F173/'Selection pman-p0-qN'!$P$24</f>
        <v>1725.5859375</v>
      </c>
      <c r="G174" s="71">
        <f>G173/'Selection pman-p0-qN'!$P$24</f>
        <v>1888.671875</v>
      </c>
      <c r="H174" s="71">
        <f>H173/'Selection pman-p0-qN'!$P$24</f>
        <v>2051.7578125</v>
      </c>
      <c r="I174" s="71">
        <f>I173/'Selection pman-p0-qN'!$P$24</f>
        <v>2214.84375</v>
      </c>
      <c r="J174" s="71">
        <f>J173/'Selection pman-p0-qN'!$P$24</f>
        <v>2377.9296875</v>
      </c>
      <c r="K174" s="71">
        <f>K173/'Selection pman-p0-qN'!$P$24</f>
        <v>2541.015625</v>
      </c>
      <c r="L174" s="71">
        <f>L173/'Selection pman-p0-qN'!$P$24</f>
        <v>2704.1015625</v>
      </c>
      <c r="M174" s="71">
        <f>M173/'Selection pman-p0-qN'!$P$24</f>
        <v>2864.5833333333335</v>
      </c>
      <c r="N174" s="71">
        <f>N173/'Selection pman-p0-qN'!$P$24</f>
        <v>2864.5833333333335</v>
      </c>
      <c r="O174" s="71">
        <f>O173/'Selection pman-p0-qN'!$P$24</f>
        <v>2864.5833333333335</v>
      </c>
      <c r="P174" s="71">
        <f>P173/'Selection pman-p0-qN'!$P$24</f>
        <v>2850.2604166666665</v>
      </c>
      <c r="Q174" s="71">
        <f>Q173/'Selection pman-p0-qN'!$P$24</f>
        <v>2376.3020833333335</v>
      </c>
      <c r="R174" s="71">
        <f>R173/'Selection pman-p0-qN'!$P$24</f>
        <v>2213.5416666666665</v>
      </c>
      <c r="S174" s="71">
        <f>S173/'Selection pman-p0-qN'!$P$24</f>
        <v>2050.78125</v>
      </c>
      <c r="T174" s="71">
        <f>T173/'Selection pman-p0-qN'!$P$24</f>
        <v>1888.0208333333333</v>
      </c>
      <c r="U174" s="71">
        <f>U173/'Selection pman-p0-qN'!$P$24</f>
        <v>1725.2604166666667</v>
      </c>
      <c r="V174" s="71">
        <f>V173/'Selection pman-p0-qN'!$P$24</f>
        <v>1562.5</v>
      </c>
      <c r="W174" s="71">
        <f>W173/'Selection pman-p0-qN'!$P$24</f>
        <v>1562.5</v>
      </c>
      <c r="X174" s="71">
        <f>X173/'Selection pman-p0-qN'!$P$24</f>
        <v>0</v>
      </c>
      <c r="Y174" s="369"/>
      <c r="Z174" s="91"/>
      <c r="AA174" s="91"/>
      <c r="AB174" s="91"/>
      <c r="AC174" s="91"/>
      <c r="AD174" s="91"/>
    </row>
    <row r="175" spans="1:33">
      <c r="B175" s="95" t="s">
        <v>879</v>
      </c>
      <c r="C175" s="450">
        <f>-2*10^(-6.04)*C172^2+0.0017*C172+12.2-(C172/1000)^2/$AF175^2+0.5</f>
        <v>12.7</v>
      </c>
      <c r="D175" s="450">
        <f t="shared" ref="D175:W175" si="123">-2*10^(-6.04)*D172^2+0.0017*D172+12.2-(D172/1000)^2/$AF175^2+0.5</f>
        <v>12.98400286021443</v>
      </c>
      <c r="E175" s="450">
        <f t="shared" si="123"/>
        <v>12.98400286021443</v>
      </c>
      <c r="F175" s="450">
        <f t="shared" si="123"/>
        <v>12.92880790094377</v>
      </c>
      <c r="G175" s="450">
        <f t="shared" si="123"/>
        <v>12.857576828992267</v>
      </c>
      <c r="H175" s="450">
        <f t="shared" si="123"/>
        <v>12.770309644359919</v>
      </c>
      <c r="I175" s="450">
        <f t="shared" si="123"/>
        <v>12.66700634704673</v>
      </c>
      <c r="J175" s="450">
        <f t="shared" si="123"/>
        <v>12.547666937052696</v>
      </c>
      <c r="K175" s="450">
        <f t="shared" si="123"/>
        <v>12.412291414377817</v>
      </c>
      <c r="L175" s="450">
        <f t="shared" si="123"/>
        <v>12.260879779022098</v>
      </c>
      <c r="M175" s="450">
        <f t="shared" si="123"/>
        <v>12.093432030985534</v>
      </c>
      <c r="N175" s="450">
        <f t="shared" si="123"/>
        <v>12.096231835720722</v>
      </c>
      <c r="O175" s="450">
        <f t="shared" si="123"/>
        <v>12.096231835720722</v>
      </c>
      <c r="P175" s="450">
        <f t="shared" si="123"/>
        <v>12.111557673159407</v>
      </c>
      <c r="Q175" s="450">
        <f t="shared" si="123"/>
        <v>12.548937171042835</v>
      </c>
      <c r="R175" s="450">
        <f t="shared" si="123"/>
        <v>12.667894629180349</v>
      </c>
      <c r="S175" s="450">
        <f t="shared" si="123"/>
        <v>12.770879927166263</v>
      </c>
      <c r="T175" s="450">
        <f t="shared" si="123"/>
        <v>12.857893065000582</v>
      </c>
      <c r="U175" s="450">
        <f t="shared" si="123"/>
        <v>12.928934042683304</v>
      </c>
      <c r="V175" s="450">
        <f t="shared" si="123"/>
        <v>12.98400286021443</v>
      </c>
      <c r="W175" s="450">
        <f t="shared" si="123"/>
        <v>12.98400286021443</v>
      </c>
      <c r="X175" s="451"/>
      <c r="Y175" s="383"/>
      <c r="Z175" s="373"/>
      <c r="AA175" s="89"/>
      <c r="AB175" s="89"/>
      <c r="AF175" s="452">
        <v>2.13</v>
      </c>
      <c r="AG175" s="85" t="s">
        <v>907</v>
      </c>
    </row>
    <row r="176" spans="1:33">
      <c r="B176" s="95" t="s">
        <v>881</v>
      </c>
      <c r="C176" s="451">
        <f t="shared" ref="C176:W176" si="124">IF(C172&lt;$AG177,(C172/1000)^2/$AE176^2,10000)</f>
        <v>0</v>
      </c>
      <c r="D176" s="451">
        <f t="shared" si="124"/>
        <v>0.85207100591715967</v>
      </c>
      <c r="E176" s="451">
        <f t="shared" si="124"/>
        <v>0.85207100591715967</v>
      </c>
      <c r="F176" s="451">
        <f t="shared" si="124"/>
        <v>1.0392234097633135</v>
      </c>
      <c r="G176" s="451">
        <f t="shared" si="124"/>
        <v>1.2449409763313606</v>
      </c>
      <c r="H176" s="451">
        <f t="shared" si="124"/>
        <v>1.4692237056213016</v>
      </c>
      <c r="I176" s="451">
        <f t="shared" si="124"/>
        <v>1.7120715976331362</v>
      </c>
      <c r="J176" s="451">
        <f t="shared" si="124"/>
        <v>1.9734846523668634</v>
      </c>
      <c r="K176" s="451">
        <f t="shared" si="124"/>
        <v>2.253462869822485</v>
      </c>
      <c r="L176" s="451">
        <f t="shared" si="124"/>
        <v>2.5520062500000003</v>
      </c>
      <c r="M176" s="451">
        <f t="shared" si="124"/>
        <v>10000</v>
      </c>
      <c r="N176" s="451">
        <f t="shared" si="124"/>
        <v>10000</v>
      </c>
      <c r="O176" s="451">
        <f t="shared" si="124"/>
        <v>10000</v>
      </c>
      <c r="P176" s="451">
        <f t="shared" si="124"/>
        <v>2.8353378698224847</v>
      </c>
      <c r="Q176" s="451">
        <f t="shared" si="124"/>
        <v>1.9707840236686389</v>
      </c>
      <c r="R176" s="451">
        <f t="shared" si="124"/>
        <v>1.7100591715976328</v>
      </c>
      <c r="S176" s="451">
        <f t="shared" si="124"/>
        <v>1.467825443786982</v>
      </c>
      <c r="T176" s="451">
        <f t="shared" si="124"/>
        <v>1.2440828402366864</v>
      </c>
      <c r="U176" s="451">
        <f t="shared" si="124"/>
        <v>1.0388313609467454</v>
      </c>
      <c r="V176" s="451">
        <f t="shared" si="124"/>
        <v>0.85207100591715967</v>
      </c>
      <c r="W176" s="451">
        <f t="shared" si="124"/>
        <v>0.85207100591715967</v>
      </c>
      <c r="X176" s="451"/>
      <c r="Y176" s="383"/>
      <c r="Z176" s="373"/>
      <c r="AA176" s="89"/>
      <c r="AB176" s="89"/>
      <c r="AC176" s="453">
        <v>5.5</v>
      </c>
      <c r="AD176" s="380"/>
      <c r="AE176" s="452">
        <v>0.65</v>
      </c>
      <c r="AG176" s="85" t="s">
        <v>902</v>
      </c>
    </row>
    <row r="177" spans="1:33">
      <c r="B177" s="95" t="s">
        <v>883</v>
      </c>
      <c r="C177" s="451">
        <f t="shared" ref="C177:W177" si="125">$AC176</f>
        <v>5.5</v>
      </c>
      <c r="D177" s="451">
        <f t="shared" si="125"/>
        <v>5.5</v>
      </c>
      <c r="E177" s="451">
        <f t="shared" si="125"/>
        <v>5.5</v>
      </c>
      <c r="F177" s="451">
        <f t="shared" si="125"/>
        <v>5.5</v>
      </c>
      <c r="G177" s="451">
        <f t="shared" si="125"/>
        <v>5.5</v>
      </c>
      <c r="H177" s="451">
        <f t="shared" si="125"/>
        <v>5.5</v>
      </c>
      <c r="I177" s="451">
        <f t="shared" si="125"/>
        <v>5.5</v>
      </c>
      <c r="J177" s="451">
        <f t="shared" si="125"/>
        <v>5.5</v>
      </c>
      <c r="K177" s="451">
        <f t="shared" si="125"/>
        <v>5.5</v>
      </c>
      <c r="L177" s="451">
        <f t="shared" si="125"/>
        <v>5.5</v>
      </c>
      <c r="M177" s="451">
        <f t="shared" si="125"/>
        <v>5.5</v>
      </c>
      <c r="N177" s="451">
        <f t="shared" si="125"/>
        <v>5.5</v>
      </c>
      <c r="O177" s="451">
        <f t="shared" si="125"/>
        <v>5.5</v>
      </c>
      <c r="P177" s="451">
        <f t="shared" si="125"/>
        <v>5.5</v>
      </c>
      <c r="Q177" s="451">
        <f t="shared" si="125"/>
        <v>5.5</v>
      </c>
      <c r="R177" s="451">
        <f t="shared" si="125"/>
        <v>5.5</v>
      </c>
      <c r="S177" s="451">
        <f t="shared" si="125"/>
        <v>5.5</v>
      </c>
      <c r="T177" s="451">
        <f t="shared" si="125"/>
        <v>5.5</v>
      </c>
      <c r="U177" s="451">
        <f t="shared" si="125"/>
        <v>5.5</v>
      </c>
      <c r="V177" s="451">
        <f t="shared" si="125"/>
        <v>5.5</v>
      </c>
      <c r="W177" s="451">
        <f t="shared" si="125"/>
        <v>5.5</v>
      </c>
      <c r="X177" s="451"/>
      <c r="Y177" s="383"/>
      <c r="Z177" s="373"/>
      <c r="AA177" s="89"/>
      <c r="AB177" s="89"/>
      <c r="AD177" s="453">
        <v>10</v>
      </c>
      <c r="AG177" s="452">
        <v>1100</v>
      </c>
    </row>
    <row r="178" spans="1:33">
      <c r="B178" s="95" t="s">
        <v>884</v>
      </c>
      <c r="C178" s="451">
        <f t="shared" ref="C178:W178" si="126">$AD177</f>
        <v>10</v>
      </c>
      <c r="D178" s="451">
        <f t="shared" si="126"/>
        <v>10</v>
      </c>
      <c r="E178" s="451">
        <f t="shared" si="126"/>
        <v>10</v>
      </c>
      <c r="F178" s="451">
        <f t="shared" si="126"/>
        <v>10</v>
      </c>
      <c r="G178" s="451">
        <f t="shared" si="126"/>
        <v>10</v>
      </c>
      <c r="H178" s="451">
        <f t="shared" si="126"/>
        <v>10</v>
      </c>
      <c r="I178" s="451">
        <f t="shared" si="126"/>
        <v>10</v>
      </c>
      <c r="J178" s="451">
        <f t="shared" si="126"/>
        <v>10</v>
      </c>
      <c r="K178" s="451">
        <f t="shared" si="126"/>
        <v>10</v>
      </c>
      <c r="L178" s="451">
        <f t="shared" si="126"/>
        <v>10</v>
      </c>
      <c r="M178" s="451">
        <f t="shared" si="126"/>
        <v>10</v>
      </c>
      <c r="N178" s="451">
        <f t="shared" si="126"/>
        <v>10</v>
      </c>
      <c r="O178" s="451">
        <f t="shared" si="126"/>
        <v>10</v>
      </c>
      <c r="P178" s="451">
        <f t="shared" si="126"/>
        <v>10</v>
      </c>
      <c r="Q178" s="451">
        <f t="shared" si="126"/>
        <v>10</v>
      </c>
      <c r="R178" s="451">
        <f t="shared" si="126"/>
        <v>10</v>
      </c>
      <c r="S178" s="451">
        <f t="shared" si="126"/>
        <v>10</v>
      </c>
      <c r="T178" s="451">
        <f t="shared" si="126"/>
        <v>10</v>
      </c>
      <c r="U178" s="451">
        <f t="shared" si="126"/>
        <v>10</v>
      </c>
      <c r="V178" s="451">
        <f t="shared" si="126"/>
        <v>10</v>
      </c>
      <c r="W178" s="451">
        <f t="shared" si="126"/>
        <v>10</v>
      </c>
      <c r="X178" s="451"/>
      <c r="Y178" s="383"/>
      <c r="Z178" s="373"/>
      <c r="AA178" s="89"/>
      <c r="AB178" s="89"/>
    </row>
    <row r="179" spans="1:33" s="67" customFormat="1" ht="12" customHeight="1">
      <c r="B179" s="454" t="s">
        <v>885</v>
      </c>
      <c r="C179" s="67">
        <f t="shared" ref="C179:L179" si="127">IF(AND(C176&gt;10000-2,C175&lt;C178),C175,IF(C175&gt;C178,C178,IF(C178&gt;C176,C175,IF(C175&gt;C176,C175,IF(C176&gt;C177,C176,C177)))))</f>
        <v>10</v>
      </c>
      <c r="D179" s="67">
        <f t="shared" si="127"/>
        <v>10</v>
      </c>
      <c r="E179" s="67">
        <f t="shared" si="127"/>
        <v>10</v>
      </c>
      <c r="F179" s="67">
        <f t="shared" si="127"/>
        <v>10</v>
      </c>
      <c r="G179" s="67">
        <f t="shared" si="127"/>
        <v>10</v>
      </c>
      <c r="H179" s="67">
        <f t="shared" si="127"/>
        <v>10</v>
      </c>
      <c r="I179" s="67">
        <f t="shared" si="127"/>
        <v>10</v>
      </c>
      <c r="J179" s="67">
        <f t="shared" si="127"/>
        <v>10</v>
      </c>
      <c r="K179" s="67">
        <f t="shared" si="127"/>
        <v>10</v>
      </c>
      <c r="L179" s="67">
        <f t="shared" si="127"/>
        <v>10</v>
      </c>
      <c r="M179" s="67">
        <f>IF(AND(M176&gt;10000-2,M175&lt;M178),M175,IF(M175&gt;M178,M178,IF(M178&gt;M176,M175,IF(M175&gt;M176,M175,IF(M176&gt;M177,M176,M177)))))</f>
        <v>10</v>
      </c>
      <c r="N179" s="455">
        <f>IF(AND(N176&gt;10000-2,N175&lt;N178),M175,IF(AND(N176&lt;N178,N176&gt;N177),N176,IF(N176&gt;N178,N178,N177)))</f>
        <v>10</v>
      </c>
      <c r="O179" s="455">
        <f t="shared" ref="O179:V179" si="128">IF(AND(O176&gt;10000-2,O175&lt;O178),N175,IF(AND(O176&lt;O178,O176&gt;O177),O176,IF(O176&gt;O178,O178,O177)))</f>
        <v>10</v>
      </c>
      <c r="P179" s="455">
        <f t="shared" si="128"/>
        <v>5.5</v>
      </c>
      <c r="Q179" s="455">
        <f t="shared" si="128"/>
        <v>5.5</v>
      </c>
      <c r="R179" s="455">
        <f t="shared" si="128"/>
        <v>5.5</v>
      </c>
      <c r="S179" s="455">
        <f t="shared" si="128"/>
        <v>5.5</v>
      </c>
      <c r="T179" s="455">
        <f t="shared" si="128"/>
        <v>5.5</v>
      </c>
      <c r="U179" s="455">
        <f t="shared" si="128"/>
        <v>5.5</v>
      </c>
      <c r="V179" s="455">
        <f t="shared" si="128"/>
        <v>5.5</v>
      </c>
      <c r="W179" s="132">
        <f>V179</f>
        <v>5.5</v>
      </c>
      <c r="X179" s="132">
        <f>W179</f>
        <v>5.5</v>
      </c>
      <c r="Y179" s="379"/>
      <c r="Z179" s="132"/>
      <c r="AA179" s="132"/>
      <c r="AB179" s="132"/>
      <c r="AC179" s="380"/>
      <c r="AD179" s="380"/>
      <c r="AG179" s="39"/>
    </row>
    <row r="180" spans="1:33">
      <c r="B180" s="449" t="s">
        <v>886</v>
      </c>
      <c r="C180" s="67">
        <f t="shared" ref="C180:X180" si="129">C179-0.5</f>
        <v>9.5</v>
      </c>
      <c r="D180" s="67">
        <f t="shared" si="129"/>
        <v>9.5</v>
      </c>
      <c r="E180" s="67">
        <f t="shared" si="129"/>
        <v>9.5</v>
      </c>
      <c r="F180" s="67">
        <f t="shared" si="129"/>
        <v>9.5</v>
      </c>
      <c r="G180" s="67">
        <f t="shared" si="129"/>
        <v>9.5</v>
      </c>
      <c r="H180" s="67">
        <f t="shared" si="129"/>
        <v>9.5</v>
      </c>
      <c r="I180" s="67">
        <f t="shared" si="129"/>
        <v>9.5</v>
      </c>
      <c r="J180" s="67">
        <f t="shared" si="129"/>
        <v>9.5</v>
      </c>
      <c r="K180" s="67">
        <f t="shared" si="129"/>
        <v>9.5</v>
      </c>
      <c r="L180" s="67">
        <f t="shared" si="129"/>
        <v>9.5</v>
      </c>
      <c r="M180" s="67">
        <f t="shared" si="129"/>
        <v>9.5</v>
      </c>
      <c r="N180" s="67">
        <f t="shared" si="129"/>
        <v>9.5</v>
      </c>
      <c r="O180" s="67">
        <f t="shared" si="129"/>
        <v>9.5</v>
      </c>
      <c r="P180" s="67">
        <f t="shared" si="129"/>
        <v>5</v>
      </c>
      <c r="Q180" s="67">
        <f t="shared" si="129"/>
        <v>5</v>
      </c>
      <c r="R180" s="67">
        <f t="shared" si="129"/>
        <v>5</v>
      </c>
      <c r="S180" s="67">
        <f t="shared" si="129"/>
        <v>5</v>
      </c>
      <c r="T180" s="67">
        <f t="shared" si="129"/>
        <v>5</v>
      </c>
      <c r="U180" s="67">
        <f t="shared" si="129"/>
        <v>5</v>
      </c>
      <c r="V180" s="67">
        <f t="shared" si="129"/>
        <v>5</v>
      </c>
      <c r="W180" s="67">
        <f t="shared" si="129"/>
        <v>5</v>
      </c>
      <c r="X180" s="67">
        <f t="shared" si="129"/>
        <v>5</v>
      </c>
      <c r="Y180" s="369"/>
      <c r="Z180" s="91"/>
      <c r="AA180" s="91"/>
      <c r="AB180" s="91"/>
      <c r="AC180" s="91"/>
      <c r="AD180" s="91"/>
    </row>
    <row r="181" spans="1:33">
      <c r="B181" s="85"/>
      <c r="C181" s="85"/>
      <c r="M181" s="89"/>
      <c r="N181" s="89"/>
      <c r="O181" s="89"/>
      <c r="P181" s="89"/>
      <c r="Q181" s="89"/>
      <c r="R181" s="89"/>
      <c r="S181" s="89"/>
      <c r="T181" s="89"/>
      <c r="U181" s="89"/>
      <c r="V181" s="89"/>
      <c r="W181" s="89"/>
      <c r="X181" s="89"/>
      <c r="Y181" s="369"/>
      <c r="Z181" s="91"/>
      <c r="AA181" s="91"/>
      <c r="AB181" s="91"/>
      <c r="AC181" s="91"/>
      <c r="AD181" s="91"/>
    </row>
    <row r="182" spans="1:33">
      <c r="A182" s="95" t="s">
        <v>908</v>
      </c>
      <c r="B182" s="95" t="s">
        <v>787</v>
      </c>
      <c r="C182" s="39">
        <v>0</v>
      </c>
      <c r="D182" s="444">
        <v>600</v>
      </c>
      <c r="E182" s="89">
        <f>D182</f>
        <v>600</v>
      </c>
      <c r="F182" s="89">
        <f t="shared" ref="F182:L182" si="130">$E182+($M182-$E182)/8*F$232</f>
        <v>817.25</v>
      </c>
      <c r="G182" s="89">
        <f t="shared" si="130"/>
        <v>1034.5</v>
      </c>
      <c r="H182" s="89">
        <f t="shared" si="130"/>
        <v>1251.75</v>
      </c>
      <c r="I182" s="89">
        <f t="shared" si="130"/>
        <v>1469</v>
      </c>
      <c r="J182" s="89">
        <f t="shared" si="130"/>
        <v>1686.25</v>
      </c>
      <c r="K182" s="89">
        <f t="shared" si="130"/>
        <v>1903.5</v>
      </c>
      <c r="L182" s="89">
        <f t="shared" si="130"/>
        <v>2120.75</v>
      </c>
      <c r="M182" s="445">
        <v>2338</v>
      </c>
      <c r="N182" s="446">
        <f>M182-1</f>
        <v>2337</v>
      </c>
      <c r="O182" s="373">
        <f>N182</f>
        <v>2337</v>
      </c>
      <c r="P182" s="89">
        <f t="shared" ref="P182:V182" si="131">$O182+($W182-$O182)/8*P$232</f>
        <v>1902.75</v>
      </c>
      <c r="Q182" s="89">
        <f t="shared" si="131"/>
        <v>1685.625</v>
      </c>
      <c r="R182" s="89">
        <f t="shared" si="131"/>
        <v>1468.5</v>
      </c>
      <c r="S182" s="89">
        <f t="shared" si="131"/>
        <v>1251.375</v>
      </c>
      <c r="T182" s="89">
        <f t="shared" si="131"/>
        <v>1034.25</v>
      </c>
      <c r="U182" s="89">
        <f t="shared" si="131"/>
        <v>817.125</v>
      </c>
      <c r="V182" s="89">
        <f t="shared" si="131"/>
        <v>600</v>
      </c>
      <c r="W182" s="446">
        <f>D182</f>
        <v>600</v>
      </c>
      <c r="X182" s="89">
        <v>0</v>
      </c>
      <c r="Y182" s="383">
        <f>D182</f>
        <v>600</v>
      </c>
      <c r="Z182" s="373">
        <f>M182</f>
        <v>2338</v>
      </c>
      <c r="AA182" s="447">
        <f>AC186-0.5</f>
        <v>5</v>
      </c>
      <c r="AB182" s="447">
        <f>AD187-0.5</f>
        <v>9.5</v>
      </c>
    </row>
    <row r="183" spans="1:33">
      <c r="A183" s="95"/>
      <c r="B183" s="370" t="s">
        <v>877</v>
      </c>
      <c r="C183" s="39">
        <f>IF(C186&gt;C188,$AE$56*1000*$AD$57^0.5,C182)</f>
        <v>0</v>
      </c>
      <c r="D183" s="39">
        <f t="shared" ref="D183:W183" si="132">IF(D186&gt;D188,$AE$56*1000*$AD$57^0.5*$AG183,D182*$AG183)</f>
        <v>600</v>
      </c>
      <c r="E183" s="39">
        <f t="shared" si="132"/>
        <v>600</v>
      </c>
      <c r="F183" s="39">
        <f t="shared" si="132"/>
        <v>817.25</v>
      </c>
      <c r="G183" s="39">
        <f t="shared" si="132"/>
        <v>1034.5</v>
      </c>
      <c r="H183" s="39">
        <f t="shared" si="132"/>
        <v>1251.75</v>
      </c>
      <c r="I183" s="39">
        <f t="shared" si="132"/>
        <v>1469</v>
      </c>
      <c r="J183" s="39">
        <f t="shared" si="132"/>
        <v>1686.25</v>
      </c>
      <c r="K183" s="39">
        <f t="shared" si="132"/>
        <v>1903.5</v>
      </c>
      <c r="L183" s="39">
        <f t="shared" si="132"/>
        <v>2120.75</v>
      </c>
      <c r="M183" s="39">
        <f t="shared" si="132"/>
        <v>2338</v>
      </c>
      <c r="N183" s="39">
        <f t="shared" si="132"/>
        <v>2337</v>
      </c>
      <c r="O183" s="39">
        <f t="shared" si="132"/>
        <v>2337</v>
      </c>
      <c r="P183" s="39">
        <f t="shared" si="132"/>
        <v>1902.75</v>
      </c>
      <c r="Q183" s="39">
        <f t="shared" si="132"/>
        <v>1685.625</v>
      </c>
      <c r="R183" s="39">
        <f t="shared" si="132"/>
        <v>1468.5</v>
      </c>
      <c r="S183" s="39">
        <f t="shared" si="132"/>
        <v>1251.375</v>
      </c>
      <c r="T183" s="39">
        <f t="shared" si="132"/>
        <v>1034.25</v>
      </c>
      <c r="U183" s="39">
        <f t="shared" si="132"/>
        <v>817.125</v>
      </c>
      <c r="V183" s="39">
        <f t="shared" si="132"/>
        <v>600</v>
      </c>
      <c r="W183" s="39">
        <f t="shared" si="132"/>
        <v>600</v>
      </c>
      <c r="X183" s="89">
        <v>0</v>
      </c>
      <c r="Y183" s="383"/>
      <c r="Z183" s="373"/>
      <c r="AA183" s="89"/>
      <c r="AB183" s="89"/>
      <c r="AG183" s="448">
        <v>1</v>
      </c>
    </row>
    <row r="184" spans="1:33">
      <c r="B184" s="449" t="s">
        <v>878</v>
      </c>
      <c r="C184" s="71">
        <f>C183/'Selection pman-p0-qN'!$P$24</f>
        <v>0</v>
      </c>
      <c r="D184" s="71">
        <f>D183/'Selection pman-p0-qN'!$P$24</f>
        <v>1562.5</v>
      </c>
      <c r="E184" s="71">
        <f>E183/'Selection pman-p0-qN'!$P$24</f>
        <v>1562.5</v>
      </c>
      <c r="F184" s="71">
        <f>F183/'Selection pman-p0-qN'!$P$24</f>
        <v>2128.2552083333335</v>
      </c>
      <c r="G184" s="71">
        <f>G183/'Selection pman-p0-qN'!$P$24</f>
        <v>2694.0104166666665</v>
      </c>
      <c r="H184" s="71">
        <f>H183/'Selection pman-p0-qN'!$P$24</f>
        <v>3259.765625</v>
      </c>
      <c r="I184" s="71">
        <f>I183/'Selection pman-p0-qN'!$P$24</f>
        <v>3825.520833333333</v>
      </c>
      <c r="J184" s="71">
        <f>J183/'Selection pman-p0-qN'!$P$24</f>
        <v>4391.276041666667</v>
      </c>
      <c r="K184" s="71">
        <f>K183/'Selection pman-p0-qN'!$P$24</f>
        <v>4957.03125</v>
      </c>
      <c r="L184" s="71">
        <f>L183/'Selection pman-p0-qN'!$P$24</f>
        <v>5522.786458333333</v>
      </c>
      <c r="M184" s="71">
        <f>M183/'Selection pman-p0-qN'!$P$24</f>
        <v>6088.541666666667</v>
      </c>
      <c r="N184" s="71">
        <f>N183/'Selection pman-p0-qN'!$P$24</f>
        <v>6085.9375</v>
      </c>
      <c r="O184" s="71">
        <f>O183/'Selection pman-p0-qN'!$P$24</f>
        <v>6085.9375</v>
      </c>
      <c r="P184" s="71">
        <f>P183/'Selection pman-p0-qN'!$P$24</f>
        <v>4955.078125</v>
      </c>
      <c r="Q184" s="71">
        <f>Q183/'Selection pman-p0-qN'!$P$24</f>
        <v>4389.6484375</v>
      </c>
      <c r="R184" s="71">
        <f>R183/'Selection pman-p0-qN'!$P$24</f>
        <v>3824.21875</v>
      </c>
      <c r="S184" s="71">
        <f>S183/'Selection pman-p0-qN'!$P$24</f>
        <v>3258.7890625</v>
      </c>
      <c r="T184" s="71">
        <f>T183/'Selection pman-p0-qN'!$P$24</f>
        <v>2693.359375</v>
      </c>
      <c r="U184" s="71">
        <f>U183/'Selection pman-p0-qN'!$P$24</f>
        <v>2127.9296875</v>
      </c>
      <c r="V184" s="71">
        <f>V183/'Selection pman-p0-qN'!$P$24</f>
        <v>1562.5</v>
      </c>
      <c r="W184" s="71">
        <f>W183/'Selection pman-p0-qN'!$P$24</f>
        <v>1562.5</v>
      </c>
      <c r="X184" s="71">
        <f>X183/'Selection pman-p0-qN'!$P$24</f>
        <v>0</v>
      </c>
      <c r="Y184" s="369"/>
      <c r="Z184" s="91"/>
      <c r="AA184" s="91"/>
      <c r="AB184" s="91"/>
      <c r="AC184" s="91"/>
      <c r="AD184" s="91"/>
    </row>
    <row r="185" spans="1:33">
      <c r="B185" s="95" t="s">
        <v>879</v>
      </c>
      <c r="C185" s="450">
        <f>-2*10^(-6.04)*C182^2+0.0017*C182+12.2-(C182/1000)^2/$AF185^2+0.5</f>
        <v>12.7</v>
      </c>
      <c r="D185" s="450">
        <f t="shared" ref="D185:W185" si="133">-2*10^(-6.04)*D182^2+0.0017*D182+12.2-(D182/1000)^2/$AF185^2+0.5</f>
        <v>12.98400286021443</v>
      </c>
      <c r="E185" s="450">
        <f t="shared" si="133"/>
        <v>12.98400286021443</v>
      </c>
      <c r="F185" s="450">
        <f t="shared" si="133"/>
        <v>12.723850845361794</v>
      </c>
      <c r="G185" s="450">
        <f t="shared" si="133"/>
        <v>12.27071399159332</v>
      </c>
      <c r="H185" s="450">
        <f t="shared" si="133"/>
        <v>11.624592298909011</v>
      </c>
      <c r="I185" s="450">
        <f t="shared" si="133"/>
        <v>10.785485767308863</v>
      </c>
      <c r="J185" s="450">
        <f t="shared" si="133"/>
        <v>9.7533943967928813</v>
      </c>
      <c r="K185" s="450">
        <f t="shared" si="133"/>
        <v>8.5283181873610587</v>
      </c>
      <c r="L185" s="450">
        <f t="shared" si="133"/>
        <v>7.1102571390133997</v>
      </c>
      <c r="M185" s="450">
        <f t="shared" si="133"/>
        <v>5.4992112517499034</v>
      </c>
      <c r="N185" s="450">
        <f t="shared" si="133"/>
        <v>5.5070689923846192</v>
      </c>
      <c r="O185" s="450">
        <f t="shared" si="133"/>
        <v>5.5070689923846192</v>
      </c>
      <c r="P185" s="450">
        <f t="shared" si="133"/>
        <v>8.5328794146804512</v>
      </c>
      <c r="Q185" s="450">
        <f t="shared" si="133"/>
        <v>9.756640386993773</v>
      </c>
      <c r="R185" s="450">
        <f t="shared" si="133"/>
        <v>10.787638533417365</v>
      </c>
      <c r="S185" s="450">
        <f t="shared" si="133"/>
        <v>11.625873853951225</v>
      </c>
      <c r="T185" s="450">
        <f t="shared" si="133"/>
        <v>12.271346348595356</v>
      </c>
      <c r="U185" s="450">
        <f t="shared" si="133"/>
        <v>12.724056017349758</v>
      </c>
      <c r="V185" s="450">
        <f t="shared" si="133"/>
        <v>12.98400286021443</v>
      </c>
      <c r="W185" s="450">
        <f t="shared" si="133"/>
        <v>12.98400286021443</v>
      </c>
      <c r="X185" s="451"/>
      <c r="Y185" s="383"/>
      <c r="Z185" s="373"/>
      <c r="AA185" s="89"/>
      <c r="AB185" s="89"/>
      <c r="AF185" s="452">
        <v>2.13</v>
      </c>
      <c r="AG185" s="85">
        <v>7</v>
      </c>
    </row>
    <row r="186" spans="1:33">
      <c r="B186" s="95" t="s">
        <v>881</v>
      </c>
      <c r="C186" s="451">
        <f>(C182/1000)^2/$AE186^2</f>
        <v>0</v>
      </c>
      <c r="D186" s="451">
        <f t="shared" ref="D186:W186" si="134">(D182/1000)^2/$AE186^2</f>
        <v>2.7777777777777776E-2</v>
      </c>
      <c r="E186" s="451">
        <f t="shared" si="134"/>
        <v>2.7777777777777776E-2</v>
      </c>
      <c r="F186" s="451">
        <f t="shared" si="134"/>
        <v>5.1535305748456793E-2</v>
      </c>
      <c r="G186" s="451">
        <f t="shared" si="134"/>
        <v>8.2576408179012337E-2</v>
      </c>
      <c r="H186" s="451">
        <f t="shared" si="134"/>
        <v>0.12090108506944443</v>
      </c>
      <c r="I186" s="451">
        <f t="shared" si="134"/>
        <v>0.1665093364197531</v>
      </c>
      <c r="J186" s="451">
        <f t="shared" si="134"/>
        <v>0.21940116222993825</v>
      </c>
      <c r="K186" s="451">
        <f t="shared" si="134"/>
        <v>0.27957656249999996</v>
      </c>
      <c r="L186" s="451">
        <f t="shared" si="134"/>
        <v>0.3470355372299383</v>
      </c>
      <c r="M186" s="451">
        <f t="shared" si="134"/>
        <v>0.42177808641975312</v>
      </c>
      <c r="N186" s="451">
        <f t="shared" si="134"/>
        <v>0.42141736111111117</v>
      </c>
      <c r="O186" s="451">
        <f t="shared" si="134"/>
        <v>0.42141736111111117</v>
      </c>
      <c r="P186" s="451">
        <f t="shared" si="134"/>
        <v>0.27935629340277773</v>
      </c>
      <c r="Q186" s="451">
        <f t="shared" si="134"/>
        <v>0.21923855251736107</v>
      </c>
      <c r="R186" s="451">
        <f t="shared" si="134"/>
        <v>0.16639600694444442</v>
      </c>
      <c r="S186" s="451">
        <f t="shared" si="134"/>
        <v>0.12082865668402774</v>
      </c>
      <c r="T186" s="451">
        <f t="shared" si="134"/>
        <v>8.2536501736111087E-2</v>
      </c>
      <c r="U186" s="451">
        <f t="shared" si="134"/>
        <v>5.151954210069444E-2</v>
      </c>
      <c r="V186" s="451">
        <f t="shared" si="134"/>
        <v>2.7777777777777776E-2</v>
      </c>
      <c r="W186" s="451">
        <f t="shared" si="134"/>
        <v>2.7777777777777776E-2</v>
      </c>
      <c r="X186" s="451"/>
      <c r="Y186" s="383"/>
      <c r="Z186" s="373"/>
      <c r="AA186" s="89"/>
      <c r="AB186" s="89"/>
      <c r="AC186" s="453">
        <v>5.5</v>
      </c>
      <c r="AD186" s="380"/>
      <c r="AE186" s="452">
        <v>3.6</v>
      </c>
      <c r="AG186" s="85" t="s">
        <v>907</v>
      </c>
    </row>
    <row r="187" spans="1:33">
      <c r="B187" s="95" t="s">
        <v>883</v>
      </c>
      <c r="C187" s="451">
        <f t="shared" ref="C187:W187" si="135">$AC186</f>
        <v>5.5</v>
      </c>
      <c r="D187" s="451">
        <f t="shared" si="135"/>
        <v>5.5</v>
      </c>
      <c r="E187" s="451">
        <f t="shared" si="135"/>
        <v>5.5</v>
      </c>
      <c r="F187" s="451">
        <f t="shared" si="135"/>
        <v>5.5</v>
      </c>
      <c r="G187" s="451">
        <f t="shared" si="135"/>
        <v>5.5</v>
      </c>
      <c r="H187" s="451">
        <f t="shared" si="135"/>
        <v>5.5</v>
      </c>
      <c r="I187" s="451">
        <f t="shared" si="135"/>
        <v>5.5</v>
      </c>
      <c r="J187" s="451">
        <f t="shared" si="135"/>
        <v>5.5</v>
      </c>
      <c r="K187" s="451">
        <f t="shared" si="135"/>
        <v>5.5</v>
      </c>
      <c r="L187" s="451">
        <f t="shared" si="135"/>
        <v>5.5</v>
      </c>
      <c r="M187" s="451">
        <f t="shared" si="135"/>
        <v>5.5</v>
      </c>
      <c r="N187" s="451">
        <f t="shared" si="135"/>
        <v>5.5</v>
      </c>
      <c r="O187" s="451">
        <f t="shared" si="135"/>
        <v>5.5</v>
      </c>
      <c r="P187" s="451">
        <f t="shared" si="135"/>
        <v>5.5</v>
      </c>
      <c r="Q187" s="451">
        <f t="shared" si="135"/>
        <v>5.5</v>
      </c>
      <c r="R187" s="451">
        <f t="shared" si="135"/>
        <v>5.5</v>
      </c>
      <c r="S187" s="451">
        <f t="shared" si="135"/>
        <v>5.5</v>
      </c>
      <c r="T187" s="451">
        <f t="shared" si="135"/>
        <v>5.5</v>
      </c>
      <c r="U187" s="451">
        <f t="shared" si="135"/>
        <v>5.5</v>
      </c>
      <c r="V187" s="451">
        <f t="shared" si="135"/>
        <v>5.5</v>
      </c>
      <c r="W187" s="451">
        <f t="shared" si="135"/>
        <v>5.5</v>
      </c>
      <c r="X187" s="451"/>
      <c r="Y187" s="383"/>
      <c r="Z187" s="373"/>
      <c r="AA187" s="89"/>
      <c r="AB187" s="89"/>
      <c r="AD187" s="453">
        <v>10</v>
      </c>
      <c r="AG187" s="95" t="s">
        <v>888</v>
      </c>
    </row>
    <row r="188" spans="1:33">
      <c r="B188" s="95" t="s">
        <v>884</v>
      </c>
      <c r="C188" s="451">
        <f t="shared" ref="C188:W188" si="136">$AD187</f>
        <v>10</v>
      </c>
      <c r="D188" s="451">
        <f t="shared" si="136"/>
        <v>10</v>
      </c>
      <c r="E188" s="451">
        <f t="shared" si="136"/>
        <v>10</v>
      </c>
      <c r="F188" s="451">
        <f t="shared" si="136"/>
        <v>10</v>
      </c>
      <c r="G188" s="451">
        <f t="shared" si="136"/>
        <v>10</v>
      </c>
      <c r="H188" s="451">
        <f t="shared" si="136"/>
        <v>10</v>
      </c>
      <c r="I188" s="451">
        <f t="shared" si="136"/>
        <v>10</v>
      </c>
      <c r="J188" s="451">
        <f t="shared" si="136"/>
        <v>10</v>
      </c>
      <c r="K188" s="451">
        <f t="shared" si="136"/>
        <v>10</v>
      </c>
      <c r="L188" s="451">
        <f t="shared" si="136"/>
        <v>10</v>
      </c>
      <c r="M188" s="451">
        <f t="shared" si="136"/>
        <v>10</v>
      </c>
      <c r="N188" s="451">
        <f t="shared" si="136"/>
        <v>10</v>
      </c>
      <c r="O188" s="451">
        <f t="shared" si="136"/>
        <v>10</v>
      </c>
      <c r="P188" s="451">
        <f t="shared" si="136"/>
        <v>10</v>
      </c>
      <c r="Q188" s="451">
        <f t="shared" si="136"/>
        <v>10</v>
      </c>
      <c r="R188" s="451">
        <f t="shared" si="136"/>
        <v>10</v>
      </c>
      <c r="S188" s="451">
        <f t="shared" si="136"/>
        <v>10</v>
      </c>
      <c r="T188" s="451">
        <f t="shared" si="136"/>
        <v>10</v>
      </c>
      <c r="U188" s="451">
        <f t="shared" si="136"/>
        <v>10</v>
      </c>
      <c r="V188" s="451">
        <f t="shared" si="136"/>
        <v>10</v>
      </c>
      <c r="W188" s="451">
        <f t="shared" si="136"/>
        <v>10</v>
      </c>
      <c r="X188" s="451"/>
      <c r="Y188" s="383"/>
      <c r="Z188" s="373"/>
      <c r="AA188" s="89"/>
      <c r="AB188" s="89"/>
    </row>
    <row r="189" spans="1:33" s="67" customFormat="1" ht="12" customHeight="1">
      <c r="B189" s="454" t="s">
        <v>885</v>
      </c>
      <c r="C189" s="67">
        <f t="shared" ref="C189:M189" si="137">IF(C185&lt;C186,C185,IF(C185&gt;C188,C188,IF(C188&gt;C186,C185,IF(C185&gt;C186,C185,IF(C186&gt;C187,C186,C187)))))</f>
        <v>10</v>
      </c>
      <c r="D189" s="67">
        <f t="shared" si="137"/>
        <v>10</v>
      </c>
      <c r="E189" s="67">
        <f t="shared" si="137"/>
        <v>10</v>
      </c>
      <c r="F189" s="67">
        <f t="shared" si="137"/>
        <v>10</v>
      </c>
      <c r="G189" s="67">
        <f t="shared" si="137"/>
        <v>10</v>
      </c>
      <c r="H189" s="67">
        <f t="shared" si="137"/>
        <v>10</v>
      </c>
      <c r="I189" s="67">
        <f t="shared" si="137"/>
        <v>10</v>
      </c>
      <c r="J189" s="67">
        <f t="shared" si="137"/>
        <v>9.7533943967928813</v>
      </c>
      <c r="K189" s="67">
        <f t="shared" si="137"/>
        <v>8.5283181873610587</v>
      </c>
      <c r="L189" s="67">
        <f t="shared" si="137"/>
        <v>7.1102571390133997</v>
      </c>
      <c r="M189" s="67">
        <f t="shared" si="137"/>
        <v>5.4992112517499034</v>
      </c>
      <c r="N189" s="455">
        <f t="shared" ref="N189:V189" si="138">IF(AND(N186&gt;10000-2,N185&lt;N188),M185,IF(AND(N186&lt;N188,N186&gt;N187),N186,IF(N186&gt;N188,N188,N187)))</f>
        <v>5.5</v>
      </c>
      <c r="O189" s="455">
        <f t="shared" si="138"/>
        <v>5.5</v>
      </c>
      <c r="P189" s="455">
        <f t="shared" si="138"/>
        <v>5.5</v>
      </c>
      <c r="Q189" s="455">
        <f t="shared" si="138"/>
        <v>5.5</v>
      </c>
      <c r="R189" s="455">
        <f t="shared" si="138"/>
        <v>5.5</v>
      </c>
      <c r="S189" s="455">
        <f t="shared" si="138"/>
        <v>5.5</v>
      </c>
      <c r="T189" s="455">
        <f t="shared" si="138"/>
        <v>5.5</v>
      </c>
      <c r="U189" s="455">
        <f t="shared" si="138"/>
        <v>5.5</v>
      </c>
      <c r="V189" s="455">
        <f t="shared" si="138"/>
        <v>5.5</v>
      </c>
      <c r="W189" s="132">
        <f>V189</f>
        <v>5.5</v>
      </c>
      <c r="X189" s="132">
        <f>W189</f>
        <v>5.5</v>
      </c>
      <c r="Y189" s="379"/>
      <c r="Z189" s="132"/>
      <c r="AA189" s="132"/>
      <c r="AB189" s="132"/>
      <c r="AC189" s="380"/>
      <c r="AD189" s="380"/>
    </row>
    <row r="190" spans="1:33">
      <c r="B190" s="449" t="s">
        <v>886</v>
      </c>
      <c r="C190" s="67">
        <f t="shared" ref="C190:X190" si="139">C189-0.5</f>
        <v>9.5</v>
      </c>
      <c r="D190" s="67">
        <f t="shared" si="139"/>
        <v>9.5</v>
      </c>
      <c r="E190" s="67">
        <f t="shared" si="139"/>
        <v>9.5</v>
      </c>
      <c r="F190" s="67">
        <f t="shared" si="139"/>
        <v>9.5</v>
      </c>
      <c r="G190" s="67">
        <f t="shared" si="139"/>
        <v>9.5</v>
      </c>
      <c r="H190" s="67">
        <f t="shared" si="139"/>
        <v>9.5</v>
      </c>
      <c r="I190" s="67">
        <f t="shared" si="139"/>
        <v>9.5</v>
      </c>
      <c r="J190" s="67">
        <f t="shared" si="139"/>
        <v>9.2533943967928813</v>
      </c>
      <c r="K190" s="67">
        <f t="shared" si="139"/>
        <v>8.0283181873610587</v>
      </c>
      <c r="L190" s="67">
        <f t="shared" si="139"/>
        <v>6.6102571390133997</v>
      </c>
      <c r="M190" s="67">
        <f t="shared" si="139"/>
        <v>4.9992112517499034</v>
      </c>
      <c r="N190" s="67">
        <f t="shared" si="139"/>
        <v>5</v>
      </c>
      <c r="O190" s="67">
        <f t="shared" si="139"/>
        <v>5</v>
      </c>
      <c r="P190" s="67">
        <f t="shared" si="139"/>
        <v>5</v>
      </c>
      <c r="Q190" s="67">
        <f t="shared" si="139"/>
        <v>5</v>
      </c>
      <c r="R190" s="67">
        <f t="shared" si="139"/>
        <v>5</v>
      </c>
      <c r="S190" s="67">
        <f t="shared" si="139"/>
        <v>5</v>
      </c>
      <c r="T190" s="67">
        <f t="shared" si="139"/>
        <v>5</v>
      </c>
      <c r="U190" s="67">
        <f t="shared" si="139"/>
        <v>5</v>
      </c>
      <c r="V190" s="67">
        <f t="shared" si="139"/>
        <v>5</v>
      </c>
      <c r="W190" s="67">
        <f t="shared" si="139"/>
        <v>5</v>
      </c>
      <c r="X190" s="67">
        <f t="shared" si="139"/>
        <v>5</v>
      </c>
      <c r="Y190" s="369"/>
      <c r="Z190" s="91"/>
      <c r="AA190" s="91"/>
      <c r="AB190" s="91"/>
      <c r="AC190" s="91"/>
      <c r="AD190" s="91"/>
    </row>
    <row r="191" spans="1:33">
      <c r="B191" s="449"/>
      <c r="C191" s="85"/>
      <c r="D191" s="71"/>
      <c r="E191" s="71"/>
      <c r="F191" s="71"/>
      <c r="G191" s="71"/>
      <c r="H191" s="71"/>
      <c r="I191" s="71"/>
      <c r="J191" s="71"/>
      <c r="K191" s="71"/>
      <c r="L191" s="71"/>
      <c r="M191" s="71"/>
      <c r="N191" s="71"/>
      <c r="O191" s="71"/>
      <c r="P191" s="71"/>
      <c r="Q191" s="71"/>
      <c r="R191" s="71"/>
      <c r="S191" s="71"/>
      <c r="T191" s="71"/>
      <c r="U191" s="71"/>
      <c r="V191" s="71"/>
      <c r="W191" s="71"/>
      <c r="X191" s="71"/>
      <c r="Y191" s="369"/>
      <c r="Z191" s="91"/>
      <c r="AA191" s="91"/>
      <c r="AB191" s="91"/>
      <c r="AC191" s="91"/>
      <c r="AD191" s="91"/>
    </row>
    <row r="192" spans="1:33">
      <c r="A192" s="95" t="s">
        <v>909</v>
      </c>
      <c r="B192" s="95" t="s">
        <v>787</v>
      </c>
      <c r="C192" s="39">
        <v>0</v>
      </c>
      <c r="D192" s="444">
        <v>600</v>
      </c>
      <c r="E192" s="89">
        <f>D192</f>
        <v>600</v>
      </c>
      <c r="F192" s="89">
        <f t="shared" ref="F192:L192" si="140">$E192+($M192-$E192)/8*F$232</f>
        <v>1065.25</v>
      </c>
      <c r="G192" s="89">
        <f t="shared" si="140"/>
        <v>1530.5</v>
      </c>
      <c r="H192" s="89">
        <f t="shared" si="140"/>
        <v>1995.75</v>
      </c>
      <c r="I192" s="89">
        <f t="shared" si="140"/>
        <v>2461</v>
      </c>
      <c r="J192" s="89">
        <f t="shared" si="140"/>
        <v>2926.25</v>
      </c>
      <c r="K192" s="89">
        <f t="shared" si="140"/>
        <v>3391.5</v>
      </c>
      <c r="L192" s="89">
        <f t="shared" si="140"/>
        <v>3856.75</v>
      </c>
      <c r="M192" s="445">
        <v>4322</v>
      </c>
      <c r="N192" s="446">
        <f>M192-1</f>
        <v>4321</v>
      </c>
      <c r="O192" s="373">
        <f>N192</f>
        <v>4321</v>
      </c>
      <c r="P192" s="89">
        <f t="shared" ref="P192:V192" si="141">$O192+($W192-$O192)/8*P$232</f>
        <v>3390.75</v>
      </c>
      <c r="Q192" s="89">
        <f t="shared" si="141"/>
        <v>2925.625</v>
      </c>
      <c r="R192" s="89">
        <f t="shared" si="141"/>
        <v>2460.5</v>
      </c>
      <c r="S192" s="89">
        <f t="shared" si="141"/>
        <v>1995.375</v>
      </c>
      <c r="T192" s="89">
        <f t="shared" si="141"/>
        <v>1530.25</v>
      </c>
      <c r="U192" s="89">
        <f t="shared" si="141"/>
        <v>1065.125</v>
      </c>
      <c r="V192" s="89">
        <f t="shared" si="141"/>
        <v>600</v>
      </c>
      <c r="W192" s="446">
        <f>D192</f>
        <v>600</v>
      </c>
      <c r="X192" s="89">
        <v>0</v>
      </c>
      <c r="Y192" s="383">
        <f>D192</f>
        <v>600</v>
      </c>
      <c r="Z192" s="373">
        <f>M192</f>
        <v>4322</v>
      </c>
      <c r="AA192" s="447">
        <f>AC196-0.5</f>
        <v>5</v>
      </c>
      <c r="AB192" s="447">
        <f>AD197-0.5</f>
        <v>9.5</v>
      </c>
    </row>
    <row r="193" spans="1:33">
      <c r="A193" s="95"/>
      <c r="B193" s="370" t="s">
        <v>877</v>
      </c>
      <c r="C193" s="39">
        <f>IF(C196&gt;C198,$AE$56*1000*$AD$57^0.5,C192)</f>
        <v>0</v>
      </c>
      <c r="D193" s="39">
        <f t="shared" ref="D193:W193" si="142">IF(D196&gt;D198,$AE$56*1000*$AD$57^0.5*$AG193,D192*$AG193)</f>
        <v>600</v>
      </c>
      <c r="E193" s="39">
        <f t="shared" si="142"/>
        <v>600</v>
      </c>
      <c r="F193" s="39">
        <f t="shared" si="142"/>
        <v>1065.25</v>
      </c>
      <c r="G193" s="39">
        <f t="shared" si="142"/>
        <v>1530.5</v>
      </c>
      <c r="H193" s="39">
        <f t="shared" si="142"/>
        <v>1995.75</v>
      </c>
      <c r="I193" s="39">
        <f t="shared" si="142"/>
        <v>2461</v>
      </c>
      <c r="J193" s="39">
        <f t="shared" si="142"/>
        <v>2926.25</v>
      </c>
      <c r="K193" s="39">
        <f t="shared" si="142"/>
        <v>3391.5</v>
      </c>
      <c r="L193" s="39">
        <f t="shared" si="142"/>
        <v>3856.75</v>
      </c>
      <c r="M193" s="39">
        <f t="shared" si="142"/>
        <v>4322</v>
      </c>
      <c r="N193" s="39">
        <f t="shared" si="142"/>
        <v>4321</v>
      </c>
      <c r="O193" s="39">
        <f t="shared" si="142"/>
        <v>4321</v>
      </c>
      <c r="P193" s="39">
        <f t="shared" si="142"/>
        <v>3390.75</v>
      </c>
      <c r="Q193" s="39">
        <f t="shared" si="142"/>
        <v>2925.625</v>
      </c>
      <c r="R193" s="39">
        <f t="shared" si="142"/>
        <v>2460.5</v>
      </c>
      <c r="S193" s="39">
        <f t="shared" si="142"/>
        <v>1995.375</v>
      </c>
      <c r="T193" s="39">
        <f t="shared" si="142"/>
        <v>1530.25</v>
      </c>
      <c r="U193" s="39">
        <f t="shared" si="142"/>
        <v>1065.125</v>
      </c>
      <c r="V193" s="39">
        <f t="shared" si="142"/>
        <v>600</v>
      </c>
      <c r="W193" s="39">
        <f t="shared" si="142"/>
        <v>600</v>
      </c>
      <c r="X193" s="89">
        <v>0</v>
      </c>
      <c r="Y193" s="383"/>
      <c r="Z193" s="373"/>
      <c r="AA193" s="89"/>
      <c r="AB193" s="89"/>
      <c r="AG193" s="448">
        <v>1</v>
      </c>
    </row>
    <row r="194" spans="1:33">
      <c r="B194" s="449" t="s">
        <v>878</v>
      </c>
      <c r="C194" s="71">
        <f>C193/'Selection pman-p0-qN'!$P$24</f>
        <v>0</v>
      </c>
      <c r="D194" s="71">
        <f>D193/'Selection pman-p0-qN'!$P$24</f>
        <v>1562.5</v>
      </c>
      <c r="E194" s="71">
        <f>E193/'Selection pman-p0-qN'!$P$24</f>
        <v>1562.5</v>
      </c>
      <c r="F194" s="71">
        <f>F193/'Selection pman-p0-qN'!$P$24</f>
        <v>2774.0885416666665</v>
      </c>
      <c r="G194" s="71">
        <f>G193/'Selection pman-p0-qN'!$P$24</f>
        <v>3985.677083333333</v>
      </c>
      <c r="H194" s="71">
        <f>H193/'Selection pman-p0-qN'!$P$24</f>
        <v>5197.265625</v>
      </c>
      <c r="I194" s="71">
        <f>I193/'Selection pman-p0-qN'!$P$24</f>
        <v>6408.854166666667</v>
      </c>
      <c r="J194" s="71">
        <f>J193/'Selection pman-p0-qN'!$P$24</f>
        <v>7620.442708333333</v>
      </c>
      <c r="K194" s="71">
        <f>K193/'Selection pman-p0-qN'!$P$24</f>
        <v>8832.03125</v>
      </c>
      <c r="L194" s="71">
        <f>L193/'Selection pman-p0-qN'!$P$24</f>
        <v>10043.619791666666</v>
      </c>
      <c r="M194" s="71">
        <f>M193/'Selection pman-p0-qN'!$P$24</f>
        <v>11255.208333333334</v>
      </c>
      <c r="N194" s="71">
        <f>N193/'Selection pman-p0-qN'!$P$24</f>
        <v>11252.604166666666</v>
      </c>
      <c r="O194" s="71">
        <f>O193/'Selection pman-p0-qN'!$P$24</f>
        <v>11252.604166666666</v>
      </c>
      <c r="P194" s="71">
        <f>P193/'Selection pman-p0-qN'!$P$24</f>
        <v>8830.078125</v>
      </c>
      <c r="Q194" s="71">
        <f>Q193/'Selection pman-p0-qN'!$P$24</f>
        <v>7618.8151041666661</v>
      </c>
      <c r="R194" s="71">
        <f>R193/'Selection pman-p0-qN'!$P$24</f>
        <v>6407.552083333333</v>
      </c>
      <c r="S194" s="71">
        <f>S193/'Selection pman-p0-qN'!$P$24</f>
        <v>5196.2890625</v>
      </c>
      <c r="T194" s="71">
        <f>T193/'Selection pman-p0-qN'!$P$24</f>
        <v>3985.0260416666665</v>
      </c>
      <c r="U194" s="71">
        <f>U193/'Selection pman-p0-qN'!$P$24</f>
        <v>2773.7630208333335</v>
      </c>
      <c r="V194" s="71">
        <f>V193/'Selection pman-p0-qN'!$P$24</f>
        <v>1562.5</v>
      </c>
      <c r="W194" s="71">
        <f>W193/'Selection pman-p0-qN'!$P$24</f>
        <v>1562.5</v>
      </c>
      <c r="X194" s="71">
        <f>X193/'Selection pman-p0-qN'!$P$24</f>
        <v>0</v>
      </c>
      <c r="Y194" s="369"/>
      <c r="Z194" s="91"/>
      <c r="AA194" s="91"/>
      <c r="AB194" s="91"/>
      <c r="AC194" s="91"/>
      <c r="AD194" s="91"/>
    </row>
    <row r="195" spans="1:33">
      <c r="B195" s="95" t="s">
        <v>879</v>
      </c>
      <c r="C195" s="450">
        <f>-5*10^(-7)*C192^2+0.001*C192+12.228-(C192/1000)^2/$AF195^2+0.5</f>
        <v>12.728</v>
      </c>
      <c r="D195" s="450">
        <f t="shared" ref="D195:W195" si="143">-5*10^(-7)*D192^2+0.001*D192+12.228-(D192/1000)^2/$AF195^2+0.5</f>
        <v>13.10539972160718</v>
      </c>
      <c r="E195" s="450">
        <f t="shared" si="143"/>
        <v>13.10539972160718</v>
      </c>
      <c r="F195" s="450">
        <f t="shared" si="143"/>
        <v>13.091590696330952</v>
      </c>
      <c r="G195" s="450">
        <f t="shared" si="143"/>
        <v>12.810095483983996</v>
      </c>
      <c r="H195" s="450">
        <f t="shared" si="143"/>
        <v>12.260914084566313</v>
      </c>
      <c r="I195" s="450">
        <f t="shared" si="143"/>
        <v>11.444046498077899</v>
      </c>
      <c r="J195" s="450">
        <f t="shared" si="143"/>
        <v>10.359492724518757</v>
      </c>
      <c r="K195" s="450">
        <f t="shared" si="143"/>
        <v>9.0072527638888893</v>
      </c>
      <c r="L195" s="450">
        <f t="shared" si="143"/>
        <v>7.3873266161882913</v>
      </c>
      <c r="M195" s="450">
        <f t="shared" si="143"/>
        <v>5.4997142814169662</v>
      </c>
      <c r="N195" s="450">
        <f t="shared" si="143"/>
        <v>5.5040585431007134</v>
      </c>
      <c r="O195" s="450">
        <f t="shared" si="143"/>
        <v>5.5040585431007134</v>
      </c>
      <c r="P195" s="450">
        <f t="shared" si="143"/>
        <v>9.0096480362599927</v>
      </c>
      <c r="Q195" s="450">
        <f t="shared" si="143"/>
        <v>10.361129233206468</v>
      </c>
      <c r="R195" s="450">
        <f t="shared" si="143"/>
        <v>11.44506806373083</v>
      </c>
      <c r="S195" s="450">
        <f t="shared" si="143"/>
        <v>12.261464527833084</v>
      </c>
      <c r="T195" s="450">
        <f t="shared" si="143"/>
        <v>12.810318625513228</v>
      </c>
      <c r="U195" s="450">
        <f t="shared" si="143"/>
        <v>13.091630356771258</v>
      </c>
      <c r="V195" s="450">
        <f t="shared" si="143"/>
        <v>13.10539972160718</v>
      </c>
      <c r="W195" s="450">
        <f t="shared" si="143"/>
        <v>13.10539972160718</v>
      </c>
      <c r="X195" s="451"/>
      <c r="Y195" s="383"/>
      <c r="Z195" s="373"/>
      <c r="AA195" s="89"/>
      <c r="AB195" s="89"/>
      <c r="AF195" s="452">
        <v>2.907</v>
      </c>
      <c r="AG195" s="85">
        <v>7</v>
      </c>
    </row>
    <row r="196" spans="1:33">
      <c r="B196" s="95" t="s">
        <v>881</v>
      </c>
      <c r="C196" s="451">
        <f>(C192/1000)^2/$AE196^2</f>
        <v>0</v>
      </c>
      <c r="D196" s="451">
        <f t="shared" ref="D196:W196" si="144">(D192/1000)^2/$AE196^2</f>
        <v>2.7777777777777776E-2</v>
      </c>
      <c r="E196" s="451">
        <f t="shared" si="144"/>
        <v>2.7777777777777776E-2</v>
      </c>
      <c r="F196" s="451">
        <f t="shared" si="144"/>
        <v>8.7558453896604937E-2</v>
      </c>
      <c r="G196" s="451">
        <f t="shared" si="144"/>
        <v>0.180743074845679</v>
      </c>
      <c r="H196" s="451">
        <f t="shared" si="144"/>
        <v>0.30733164062499996</v>
      </c>
      <c r="I196" s="451">
        <f t="shared" si="144"/>
        <v>0.46732415123456783</v>
      </c>
      <c r="J196" s="451">
        <f t="shared" si="144"/>
        <v>0.6607206066743827</v>
      </c>
      <c r="K196" s="451">
        <f t="shared" si="144"/>
        <v>0.88752100694444447</v>
      </c>
      <c r="L196" s="451">
        <f t="shared" si="144"/>
        <v>1.147725352044753</v>
      </c>
      <c r="M196" s="451">
        <f t="shared" si="144"/>
        <v>1.4413336419753087</v>
      </c>
      <c r="N196" s="451">
        <f t="shared" si="144"/>
        <v>1.4406667438271603</v>
      </c>
      <c r="O196" s="451">
        <f t="shared" si="144"/>
        <v>1.4406667438271603</v>
      </c>
      <c r="P196" s="451">
        <f t="shared" si="144"/>
        <v>0.88712851562499995</v>
      </c>
      <c r="Q196" s="451">
        <f t="shared" si="144"/>
        <v>0.6604383981963734</v>
      </c>
      <c r="R196" s="451">
        <f t="shared" si="144"/>
        <v>0.46713427854938278</v>
      </c>
      <c r="S196" s="451">
        <f t="shared" si="144"/>
        <v>0.30721615668402774</v>
      </c>
      <c r="T196" s="451">
        <f t="shared" si="144"/>
        <v>0.18068403260030863</v>
      </c>
      <c r="U196" s="451">
        <f t="shared" si="144"/>
        <v>8.7537906298225318E-2</v>
      </c>
      <c r="V196" s="451">
        <f t="shared" si="144"/>
        <v>2.7777777777777776E-2</v>
      </c>
      <c r="W196" s="451">
        <f t="shared" si="144"/>
        <v>2.7777777777777776E-2</v>
      </c>
      <c r="X196" s="451"/>
      <c r="Y196" s="383"/>
      <c r="Z196" s="373"/>
      <c r="AA196" s="89"/>
      <c r="AB196" s="89"/>
      <c r="AC196" s="453">
        <v>5.5</v>
      </c>
      <c r="AD196" s="380"/>
      <c r="AE196" s="452">
        <v>3.6</v>
      </c>
      <c r="AG196" s="85" t="s">
        <v>910</v>
      </c>
    </row>
    <row r="197" spans="1:33">
      <c r="B197" s="95" t="s">
        <v>883</v>
      </c>
      <c r="C197" s="451">
        <f t="shared" ref="C197:W197" si="145">$AC196</f>
        <v>5.5</v>
      </c>
      <c r="D197" s="451">
        <f t="shared" si="145"/>
        <v>5.5</v>
      </c>
      <c r="E197" s="451">
        <f t="shared" si="145"/>
        <v>5.5</v>
      </c>
      <c r="F197" s="451">
        <f t="shared" si="145"/>
        <v>5.5</v>
      </c>
      <c r="G197" s="451">
        <f t="shared" si="145"/>
        <v>5.5</v>
      </c>
      <c r="H197" s="451">
        <f t="shared" si="145"/>
        <v>5.5</v>
      </c>
      <c r="I197" s="451">
        <f t="shared" si="145"/>
        <v>5.5</v>
      </c>
      <c r="J197" s="451">
        <f t="shared" si="145"/>
        <v>5.5</v>
      </c>
      <c r="K197" s="451">
        <f t="shared" si="145"/>
        <v>5.5</v>
      </c>
      <c r="L197" s="451">
        <f t="shared" si="145"/>
        <v>5.5</v>
      </c>
      <c r="M197" s="451">
        <f t="shared" si="145"/>
        <v>5.5</v>
      </c>
      <c r="N197" s="451">
        <f t="shared" si="145"/>
        <v>5.5</v>
      </c>
      <c r="O197" s="451">
        <f t="shared" si="145"/>
        <v>5.5</v>
      </c>
      <c r="P197" s="451">
        <f t="shared" si="145"/>
        <v>5.5</v>
      </c>
      <c r="Q197" s="451">
        <f t="shared" si="145"/>
        <v>5.5</v>
      </c>
      <c r="R197" s="451">
        <f t="shared" si="145"/>
        <v>5.5</v>
      </c>
      <c r="S197" s="451">
        <f t="shared" si="145"/>
        <v>5.5</v>
      </c>
      <c r="T197" s="451">
        <f t="shared" si="145"/>
        <v>5.5</v>
      </c>
      <c r="U197" s="451">
        <f t="shared" si="145"/>
        <v>5.5</v>
      </c>
      <c r="V197" s="451">
        <f t="shared" si="145"/>
        <v>5.5</v>
      </c>
      <c r="W197" s="451">
        <f t="shared" si="145"/>
        <v>5.5</v>
      </c>
      <c r="X197" s="451"/>
      <c r="Y197" s="383"/>
      <c r="Z197" s="373"/>
      <c r="AA197" s="89"/>
      <c r="AB197" s="89"/>
      <c r="AD197" s="453">
        <v>10</v>
      </c>
      <c r="AG197" s="95" t="s">
        <v>888</v>
      </c>
    </row>
    <row r="198" spans="1:33">
      <c r="B198" s="95" t="s">
        <v>884</v>
      </c>
      <c r="C198" s="451">
        <f t="shared" ref="C198:W198" si="146">$AD197</f>
        <v>10</v>
      </c>
      <c r="D198" s="451">
        <f t="shared" si="146"/>
        <v>10</v>
      </c>
      <c r="E198" s="451">
        <f t="shared" si="146"/>
        <v>10</v>
      </c>
      <c r="F198" s="451">
        <f t="shared" si="146"/>
        <v>10</v>
      </c>
      <c r="G198" s="451">
        <f t="shared" si="146"/>
        <v>10</v>
      </c>
      <c r="H198" s="451">
        <f t="shared" si="146"/>
        <v>10</v>
      </c>
      <c r="I198" s="451">
        <f t="shared" si="146"/>
        <v>10</v>
      </c>
      <c r="J198" s="451">
        <f t="shared" si="146"/>
        <v>10</v>
      </c>
      <c r="K198" s="451">
        <f t="shared" si="146"/>
        <v>10</v>
      </c>
      <c r="L198" s="451">
        <f t="shared" si="146"/>
        <v>10</v>
      </c>
      <c r="M198" s="451">
        <f t="shared" si="146"/>
        <v>10</v>
      </c>
      <c r="N198" s="451">
        <f t="shared" si="146"/>
        <v>10</v>
      </c>
      <c r="O198" s="451">
        <f t="shared" si="146"/>
        <v>10</v>
      </c>
      <c r="P198" s="451">
        <f t="shared" si="146"/>
        <v>10</v>
      </c>
      <c r="Q198" s="451">
        <f t="shared" si="146"/>
        <v>10</v>
      </c>
      <c r="R198" s="451">
        <f t="shared" si="146"/>
        <v>10</v>
      </c>
      <c r="S198" s="451">
        <f t="shared" si="146"/>
        <v>10</v>
      </c>
      <c r="T198" s="451">
        <f t="shared" si="146"/>
        <v>10</v>
      </c>
      <c r="U198" s="451">
        <f t="shared" si="146"/>
        <v>10</v>
      </c>
      <c r="V198" s="451">
        <f t="shared" si="146"/>
        <v>10</v>
      </c>
      <c r="W198" s="451">
        <f t="shared" si="146"/>
        <v>10</v>
      </c>
      <c r="X198" s="451"/>
      <c r="Y198" s="383"/>
      <c r="Z198" s="373"/>
      <c r="AA198" s="89"/>
      <c r="AB198" s="89"/>
    </row>
    <row r="199" spans="1:33" s="67" customFormat="1" ht="12" customHeight="1">
      <c r="B199" s="454" t="s">
        <v>885</v>
      </c>
      <c r="C199" s="67">
        <f t="shared" ref="C199:M199" si="147">IF(C195&lt;C196,C195,IF(C195&gt;C198,C198,IF(C198&gt;C196,C195,IF(C195&gt;C196,C195,IF(C196&gt;C197,C196,C197)))))</f>
        <v>10</v>
      </c>
      <c r="D199" s="67">
        <f t="shared" si="147"/>
        <v>10</v>
      </c>
      <c r="E199" s="67">
        <f t="shared" si="147"/>
        <v>10</v>
      </c>
      <c r="F199" s="67">
        <f t="shared" si="147"/>
        <v>10</v>
      </c>
      <c r="G199" s="67">
        <f t="shared" si="147"/>
        <v>10</v>
      </c>
      <c r="H199" s="67">
        <f t="shared" si="147"/>
        <v>10</v>
      </c>
      <c r="I199" s="67">
        <f t="shared" si="147"/>
        <v>10</v>
      </c>
      <c r="J199" s="67">
        <f t="shared" si="147"/>
        <v>10</v>
      </c>
      <c r="K199" s="67">
        <f t="shared" si="147"/>
        <v>9.0072527638888893</v>
      </c>
      <c r="L199" s="67">
        <f t="shared" si="147"/>
        <v>7.3873266161882913</v>
      </c>
      <c r="M199" s="67">
        <f t="shared" si="147"/>
        <v>5.4997142814169662</v>
      </c>
      <c r="N199" s="455">
        <f t="shared" ref="N199:V199" si="148">IF(AND(N196&gt;10000-2,N195&lt;N198),M195,IF(AND(N196&lt;N198,N196&gt;N197),N196,IF(N196&gt;N198,N198,N197)))</f>
        <v>5.5</v>
      </c>
      <c r="O199" s="455">
        <f t="shared" si="148"/>
        <v>5.5</v>
      </c>
      <c r="P199" s="455">
        <f t="shared" si="148"/>
        <v>5.5</v>
      </c>
      <c r="Q199" s="455">
        <f t="shared" si="148"/>
        <v>5.5</v>
      </c>
      <c r="R199" s="455">
        <f t="shared" si="148"/>
        <v>5.5</v>
      </c>
      <c r="S199" s="455">
        <f t="shared" si="148"/>
        <v>5.5</v>
      </c>
      <c r="T199" s="455">
        <f t="shared" si="148"/>
        <v>5.5</v>
      </c>
      <c r="U199" s="455">
        <f t="shared" si="148"/>
        <v>5.5</v>
      </c>
      <c r="V199" s="455">
        <f t="shared" si="148"/>
        <v>5.5</v>
      </c>
      <c r="W199" s="132">
        <f>V199</f>
        <v>5.5</v>
      </c>
      <c r="X199" s="132">
        <f>W199</f>
        <v>5.5</v>
      </c>
      <c r="Y199" s="379"/>
      <c r="Z199" s="132"/>
      <c r="AA199" s="132"/>
      <c r="AB199" s="132"/>
      <c r="AC199" s="380"/>
      <c r="AD199" s="380"/>
    </row>
    <row r="200" spans="1:33">
      <c r="B200" s="449" t="s">
        <v>886</v>
      </c>
      <c r="C200" s="67">
        <f t="shared" ref="C200:X200" si="149">C199-0.5</f>
        <v>9.5</v>
      </c>
      <c r="D200" s="67">
        <f t="shared" si="149"/>
        <v>9.5</v>
      </c>
      <c r="E200" s="67">
        <f t="shared" si="149"/>
        <v>9.5</v>
      </c>
      <c r="F200" s="67">
        <f t="shared" si="149"/>
        <v>9.5</v>
      </c>
      <c r="G200" s="67">
        <f t="shared" si="149"/>
        <v>9.5</v>
      </c>
      <c r="H200" s="67">
        <f t="shared" si="149"/>
        <v>9.5</v>
      </c>
      <c r="I200" s="67">
        <f t="shared" si="149"/>
        <v>9.5</v>
      </c>
      <c r="J200" s="67">
        <f t="shared" si="149"/>
        <v>9.5</v>
      </c>
      <c r="K200" s="67">
        <f t="shared" si="149"/>
        <v>8.5072527638888893</v>
      </c>
      <c r="L200" s="67">
        <f t="shared" si="149"/>
        <v>6.8873266161882913</v>
      </c>
      <c r="M200" s="67">
        <f t="shared" si="149"/>
        <v>4.9997142814169662</v>
      </c>
      <c r="N200" s="67">
        <f t="shared" si="149"/>
        <v>5</v>
      </c>
      <c r="O200" s="67">
        <f t="shared" si="149"/>
        <v>5</v>
      </c>
      <c r="P200" s="67">
        <f t="shared" si="149"/>
        <v>5</v>
      </c>
      <c r="Q200" s="67">
        <f t="shared" si="149"/>
        <v>5</v>
      </c>
      <c r="R200" s="67">
        <f t="shared" si="149"/>
        <v>5</v>
      </c>
      <c r="S200" s="67">
        <f t="shared" si="149"/>
        <v>5</v>
      </c>
      <c r="T200" s="67">
        <f t="shared" si="149"/>
        <v>5</v>
      </c>
      <c r="U200" s="67">
        <f t="shared" si="149"/>
        <v>5</v>
      </c>
      <c r="V200" s="67">
        <f t="shared" si="149"/>
        <v>5</v>
      </c>
      <c r="W200" s="67">
        <f t="shared" si="149"/>
        <v>5</v>
      </c>
      <c r="X200" s="67">
        <f t="shared" si="149"/>
        <v>5</v>
      </c>
      <c r="Y200" s="369"/>
      <c r="Z200" s="91"/>
      <c r="AA200" s="91"/>
      <c r="AB200" s="91"/>
      <c r="AC200" s="91"/>
      <c r="AD200" s="91"/>
    </row>
    <row r="201" spans="1:33">
      <c r="B201" s="449"/>
      <c r="C201" s="67"/>
      <c r="D201" s="67"/>
      <c r="E201" s="67"/>
      <c r="F201" s="67"/>
      <c r="G201" s="67"/>
      <c r="H201" s="67"/>
      <c r="I201" s="67"/>
      <c r="J201" s="67"/>
      <c r="K201" s="67"/>
      <c r="L201" s="67"/>
      <c r="M201" s="67"/>
      <c r="N201" s="67"/>
      <c r="O201" s="67"/>
      <c r="P201" s="67"/>
      <c r="Q201" s="67"/>
      <c r="R201" s="67"/>
      <c r="S201" s="67"/>
      <c r="T201" s="67"/>
      <c r="U201" s="67"/>
      <c r="V201" s="67"/>
      <c r="W201" s="67"/>
      <c r="X201" s="67"/>
      <c r="Y201" s="369"/>
      <c r="Z201" s="91"/>
      <c r="AA201" s="91"/>
      <c r="AB201" s="91"/>
      <c r="AC201" s="91"/>
      <c r="AD201" s="91"/>
    </row>
    <row r="203" spans="1:33" s="384" customFormat="1" ht="13.8" thickBot="1">
      <c r="Y203" s="457"/>
    </row>
    <row r="204" spans="1:33" s="79" customFormat="1">
      <c r="Y204" s="353"/>
    </row>
    <row r="205" spans="1:33" s="79" customFormat="1">
      <c r="Y205" s="353"/>
    </row>
    <row r="206" spans="1:33" s="79" customFormat="1">
      <c r="Y206" s="353"/>
    </row>
    <row r="207" spans="1:33" s="79" customFormat="1">
      <c r="Y207" s="353"/>
    </row>
    <row r="208" spans="1:33" s="79" customFormat="1">
      <c r="Y208" s="353"/>
    </row>
    <row r="209" spans="25:25" s="79" customFormat="1">
      <c r="Y209" s="353"/>
    </row>
    <row r="210" spans="25:25" s="79" customFormat="1">
      <c r="Y210" s="353"/>
    </row>
    <row r="211" spans="25:25" s="79" customFormat="1">
      <c r="Y211" s="353"/>
    </row>
    <row r="212" spans="25:25" s="79" customFormat="1">
      <c r="Y212" s="353"/>
    </row>
    <row r="213" spans="25:25" s="79" customFormat="1">
      <c r="Y213" s="353"/>
    </row>
    <row r="214" spans="25:25" s="79" customFormat="1">
      <c r="Y214" s="353"/>
    </row>
    <row r="215" spans="25:25" s="79" customFormat="1">
      <c r="Y215" s="353"/>
    </row>
    <row r="216" spans="25:25" s="79" customFormat="1">
      <c r="Y216" s="353"/>
    </row>
    <row r="217" spans="25:25" s="79" customFormat="1">
      <c r="Y217" s="353"/>
    </row>
    <row r="218" spans="25:25" s="79" customFormat="1">
      <c r="Y218" s="353"/>
    </row>
    <row r="219" spans="25:25" s="79" customFormat="1">
      <c r="Y219" s="353"/>
    </row>
    <row r="220" spans="25:25" s="79" customFormat="1">
      <c r="Y220" s="353"/>
    </row>
    <row r="221" spans="25:25" s="79" customFormat="1">
      <c r="Y221" s="353"/>
    </row>
    <row r="222" spans="25:25" s="79" customFormat="1">
      <c r="Y222" s="353"/>
    </row>
    <row r="223" spans="25:25" s="79" customFormat="1">
      <c r="Y223" s="353"/>
    </row>
    <row r="224" spans="25:25" s="79" customFormat="1">
      <c r="Y224" s="353"/>
    </row>
    <row r="225" spans="1:25" s="79" customFormat="1">
      <c r="Y225" s="353"/>
    </row>
    <row r="226" spans="1:25" s="79" customFormat="1">
      <c r="Y226" s="353"/>
    </row>
    <row r="227" spans="1:25" s="79" customFormat="1">
      <c r="Y227" s="353"/>
    </row>
    <row r="228" spans="1:25" s="79" customFormat="1">
      <c r="Y228" s="353"/>
    </row>
    <row r="229" spans="1:25" s="79" customFormat="1">
      <c r="Y229" s="353"/>
    </row>
    <row r="230" spans="1:25" s="79" customFormat="1">
      <c r="Y230" s="353"/>
    </row>
    <row r="231" spans="1:25" s="452" customFormat="1">
      <c r="Y231" s="458"/>
    </row>
    <row r="232" spans="1:25">
      <c r="A232" s="39" t="s">
        <v>468</v>
      </c>
      <c r="E232" s="39">
        <v>0</v>
      </c>
      <c r="F232" s="39">
        <v>1</v>
      </c>
      <c r="G232" s="39">
        <v>2</v>
      </c>
      <c r="H232" s="39">
        <v>3</v>
      </c>
      <c r="I232" s="39">
        <v>4</v>
      </c>
      <c r="J232" s="39">
        <v>5</v>
      </c>
      <c r="K232" s="39">
        <v>6</v>
      </c>
      <c r="L232" s="39">
        <v>7</v>
      </c>
      <c r="M232" s="39">
        <v>8</v>
      </c>
      <c r="N232" s="39">
        <v>0</v>
      </c>
      <c r="O232" s="39">
        <v>1</v>
      </c>
      <c r="P232" s="39">
        <v>2</v>
      </c>
      <c r="Q232" s="39">
        <v>3</v>
      </c>
      <c r="R232" s="39">
        <v>4</v>
      </c>
      <c r="S232" s="39">
        <v>5</v>
      </c>
      <c r="T232" s="39">
        <v>6</v>
      </c>
      <c r="U232" s="39">
        <v>7</v>
      </c>
      <c r="V232" s="39">
        <v>8</v>
      </c>
    </row>
    <row r="235" spans="1:25">
      <c r="A235" s="39" t="s">
        <v>337</v>
      </c>
      <c r="B235" s="39" t="s">
        <v>338</v>
      </c>
      <c r="C235" s="39" t="s">
        <v>339</v>
      </c>
      <c r="D235" s="39" t="s">
        <v>340</v>
      </c>
      <c r="E235" s="39" t="s">
        <v>341</v>
      </c>
      <c r="F235" s="39" t="s">
        <v>342</v>
      </c>
      <c r="G235" s="39" t="s">
        <v>343</v>
      </c>
      <c r="H235" s="39" t="s">
        <v>344</v>
      </c>
      <c r="I235" s="39" t="s">
        <v>345</v>
      </c>
      <c r="J235" s="39" t="s">
        <v>346</v>
      </c>
    </row>
    <row r="236" spans="1:25">
      <c r="A236" s="39">
        <v>0</v>
      </c>
      <c r="B236" s="39">
        <v>-6.7000000000000004E-8</v>
      </c>
      <c r="C236" s="39">
        <v>-9.9999999999999995E-7</v>
      </c>
      <c r="D236" s="39">
        <v>9.0499999999999999E-4</v>
      </c>
      <c r="E236" s="39">
        <v>1.1199999999999999E-5</v>
      </c>
      <c r="F236" s="39">
        <v>1.6000000000000001E-4</v>
      </c>
      <c r="G236" s="39">
        <v>-0.1525</v>
      </c>
      <c r="H236" s="39">
        <v>-5.6999999999999998E-4</v>
      </c>
      <c r="I236" s="39">
        <v>-5.4999999999999997E-3</v>
      </c>
      <c r="J236" s="39">
        <v>7.2283999999999997</v>
      </c>
    </row>
    <row r="238" spans="1:25">
      <c r="A238" s="39" t="s">
        <v>347</v>
      </c>
      <c r="B238" s="39">
        <v>144</v>
      </c>
    </row>
    <row r="239" spans="1:25">
      <c r="A239" s="39" t="s">
        <v>469</v>
      </c>
      <c r="B239" s="39">
        <f>($B$243*POWER('Selection pman-p0-qN'!$P$17,2)+$C$243*'Selection pman-p0-qN'!$P$17+D236)*POWER('Selection pman-p0-qN'!$P$13,2)+($E$243*POWER('Selection pman-p0-qN'!$P$17,2)+$F$243*'Selection pman-p0-qN'!$P$17+$G$243)*'Selection pman-p0-qN'!$P$13+($H$243*POWER('Selection pman-p0-qN'!$P$17,2)+$I$243*'Selection pman-p0-qN'!$P$17+$J$243)-1</f>
        <v>2.8400000000000425E-2</v>
      </c>
    </row>
    <row r="242" spans="1:10">
      <c r="A242" s="93" t="s">
        <v>337</v>
      </c>
      <c r="B242" s="94" t="s">
        <v>338</v>
      </c>
      <c r="C242" s="94" t="s">
        <v>339</v>
      </c>
      <c r="D242" s="94" t="s">
        <v>340</v>
      </c>
      <c r="E242" s="94" t="s">
        <v>341</v>
      </c>
      <c r="F242" s="94" t="s">
        <v>342</v>
      </c>
      <c r="G242" s="94" t="s">
        <v>343</v>
      </c>
      <c r="H242" s="94" t="s">
        <v>344</v>
      </c>
      <c r="I242" s="94" t="s">
        <v>345</v>
      </c>
      <c r="J242" s="94" t="s">
        <v>346</v>
      </c>
    </row>
    <row r="243" spans="1:10">
      <c r="B243" s="96">
        <v>-6.7000000000000004E-8</v>
      </c>
      <c r="C243" s="97">
        <v>-9.9999999999999995E-7</v>
      </c>
      <c r="D243" s="98">
        <v>9.0499999999999999E-4</v>
      </c>
      <c r="E243" s="97">
        <v>1.1199999999999999E-5</v>
      </c>
      <c r="F243" s="98">
        <v>1.6000000000000001E-4</v>
      </c>
      <c r="G243" s="98">
        <v>-0.1525</v>
      </c>
      <c r="H243" s="98">
        <v>-5.6999999999999998E-4</v>
      </c>
      <c r="I243" s="98">
        <v>-5.4999999999999997E-3</v>
      </c>
      <c r="J243" s="98">
        <v>7.2283999999999997</v>
      </c>
    </row>
    <row r="244" spans="1:10" ht="15.6">
      <c r="A244" s="99"/>
      <c r="B244" s="100"/>
      <c r="C244" s="100"/>
      <c r="D244" s="100"/>
      <c r="E244" s="101"/>
      <c r="F244" s="100"/>
      <c r="G244" s="100"/>
      <c r="H244" s="100"/>
      <c r="I244" s="100"/>
      <c r="J244" s="100"/>
    </row>
    <row r="245" spans="1:10" ht="16.2" thickBot="1">
      <c r="A245" s="102" t="s">
        <v>347</v>
      </c>
      <c r="B245" s="104"/>
      <c r="C245" s="100"/>
      <c r="D245" s="100"/>
      <c r="E245" s="101"/>
      <c r="F245" s="100"/>
      <c r="G245" s="100"/>
      <c r="H245" s="100"/>
      <c r="I245" s="100"/>
      <c r="J245" s="100"/>
    </row>
    <row r="246" spans="1:10" ht="16.8" thickBot="1">
      <c r="A246" s="103" t="s">
        <v>348</v>
      </c>
      <c r="B246" s="104"/>
      <c r="C246" s="100"/>
      <c r="D246" s="100"/>
      <c r="E246" s="101"/>
      <c r="F246" s="100"/>
      <c r="G246" s="100"/>
      <c r="H246" s="100"/>
      <c r="I246" s="100"/>
      <c r="J246" s="100"/>
    </row>
  </sheetData>
  <pageMargins left="0.78740157499999996" right="0.78740157499999996" top="0.984251969" bottom="0.984251969" header="0.4921259845" footer="0.4921259845"/>
  <pageSetup paperSize="9"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outlinePr summaryBelow="0" summaryRight="0"/>
  </sheetPr>
  <dimension ref="A1:X244"/>
  <sheetViews>
    <sheetView view="pageBreakPreview" zoomScale="70" zoomScaleNormal="70" zoomScaleSheetLayoutView="70" workbookViewId="0">
      <pane ySplit="26" topLeftCell="A42" activePane="bottomLeft" state="frozenSplit"/>
      <selection activeCell="E5" sqref="E5"/>
      <selection pane="bottomLeft" activeCell="E5" sqref="E5"/>
    </sheetView>
  </sheetViews>
  <sheetFormatPr defaultRowHeight="13.2" outlineLevelRow="1"/>
  <cols>
    <col min="1" max="3" width="10" style="39" customWidth="1"/>
    <col min="4" max="4" width="11.19921875" style="39" customWidth="1"/>
    <col min="5" max="10" width="10" style="39" customWidth="1"/>
    <col min="11" max="11" width="2.19921875" style="39" customWidth="1"/>
    <col min="12" max="12" width="4.8984375" style="39" customWidth="1"/>
    <col min="13" max="13" width="12.59765625" style="39" customWidth="1"/>
    <col min="14" max="14" width="45.19921875" style="39" bestFit="1" customWidth="1"/>
    <col min="15" max="15" width="7.19921875" style="39" customWidth="1"/>
    <col min="16" max="16" width="11.09765625" style="39" customWidth="1"/>
    <col min="17" max="17" width="6.5" style="39" customWidth="1"/>
    <col min="18" max="18" width="46.59765625" style="39" customWidth="1"/>
    <col min="19" max="19" width="9.09765625" style="39" bestFit="1" customWidth="1"/>
    <col min="20" max="20" width="8.19921875" style="39" bestFit="1" customWidth="1"/>
    <col min="21" max="21" width="10.3984375" style="39" customWidth="1"/>
    <col min="22" max="22" width="25.3984375" style="39" hidden="1" customWidth="1"/>
    <col min="23" max="23" width="10" style="39" customWidth="1"/>
    <col min="24" max="24" width="6.09765625" style="39" customWidth="1"/>
    <col min="25" max="259" width="10" style="39" customWidth="1"/>
    <col min="260" max="260" width="11.19921875" style="39" customWidth="1"/>
    <col min="261" max="266" width="10" style="39" customWidth="1"/>
    <col min="267" max="267" width="2.19921875" style="39" customWidth="1"/>
    <col min="268" max="268" width="4.8984375" style="39" customWidth="1"/>
    <col min="269" max="269" width="12.59765625" style="39" customWidth="1"/>
    <col min="270" max="270" width="45.19921875" style="39" bestFit="1" customWidth="1"/>
    <col min="271" max="271" width="7.19921875" style="39" customWidth="1"/>
    <col min="272" max="272" width="11.09765625" style="39" customWidth="1"/>
    <col min="273" max="273" width="6.5" style="39" customWidth="1"/>
    <col min="274" max="274" width="46.59765625" style="39" customWidth="1"/>
    <col min="275" max="275" width="9.09765625" style="39" bestFit="1" customWidth="1"/>
    <col min="276" max="276" width="8.19921875" style="39" bestFit="1" customWidth="1"/>
    <col min="277" max="277" width="10.3984375" style="39" customWidth="1"/>
    <col min="278" max="278" width="0" style="39" hidden="1" customWidth="1"/>
    <col min="279" max="279" width="10" style="39" customWidth="1"/>
    <col min="280" max="280" width="6.09765625" style="39" customWidth="1"/>
    <col min="281" max="515" width="10" style="39" customWidth="1"/>
    <col min="516" max="516" width="11.19921875" style="39" customWidth="1"/>
    <col min="517" max="522" width="10" style="39" customWidth="1"/>
    <col min="523" max="523" width="2.19921875" style="39" customWidth="1"/>
    <col min="524" max="524" width="4.8984375" style="39" customWidth="1"/>
    <col min="525" max="525" width="12.59765625" style="39" customWidth="1"/>
    <col min="526" max="526" width="45.19921875" style="39" bestFit="1" customWidth="1"/>
    <col min="527" max="527" width="7.19921875" style="39" customWidth="1"/>
    <col min="528" max="528" width="11.09765625" style="39" customWidth="1"/>
    <col min="529" max="529" width="6.5" style="39" customWidth="1"/>
    <col min="530" max="530" width="46.59765625" style="39" customWidth="1"/>
    <col min="531" max="531" width="9.09765625" style="39" bestFit="1" customWidth="1"/>
    <col min="532" max="532" width="8.19921875" style="39" bestFit="1" customWidth="1"/>
    <col min="533" max="533" width="10.3984375" style="39" customWidth="1"/>
    <col min="534" max="534" width="0" style="39" hidden="1" customWidth="1"/>
    <col min="535" max="535" width="10" style="39" customWidth="1"/>
    <col min="536" max="536" width="6.09765625" style="39" customWidth="1"/>
    <col min="537" max="771" width="10" style="39" customWidth="1"/>
    <col min="772" max="772" width="11.19921875" style="39" customWidth="1"/>
    <col min="773" max="778" width="10" style="39" customWidth="1"/>
    <col min="779" max="779" width="2.19921875" style="39" customWidth="1"/>
    <col min="780" max="780" width="4.8984375" style="39" customWidth="1"/>
    <col min="781" max="781" width="12.59765625" style="39" customWidth="1"/>
    <col min="782" max="782" width="45.19921875" style="39" bestFit="1" customWidth="1"/>
    <col min="783" max="783" width="7.19921875" style="39" customWidth="1"/>
    <col min="784" max="784" width="11.09765625" style="39" customWidth="1"/>
    <col min="785" max="785" width="6.5" style="39" customWidth="1"/>
    <col min="786" max="786" width="46.59765625" style="39" customWidth="1"/>
    <col min="787" max="787" width="9.09765625" style="39" bestFit="1" customWidth="1"/>
    <col min="788" max="788" width="8.19921875" style="39" bestFit="1" customWidth="1"/>
    <col min="789" max="789" width="10.3984375" style="39" customWidth="1"/>
    <col min="790" max="790" width="0" style="39" hidden="1" customWidth="1"/>
    <col min="791" max="791" width="10" style="39" customWidth="1"/>
    <col min="792" max="792" width="6.09765625" style="39" customWidth="1"/>
    <col min="793" max="1027" width="10" style="39" customWidth="1"/>
    <col min="1028" max="1028" width="11.19921875" style="39" customWidth="1"/>
    <col min="1029" max="1034" width="10" style="39" customWidth="1"/>
    <col min="1035" max="1035" width="2.19921875" style="39" customWidth="1"/>
    <col min="1036" max="1036" width="4.8984375" style="39" customWidth="1"/>
    <col min="1037" max="1037" width="12.59765625" style="39" customWidth="1"/>
    <col min="1038" max="1038" width="45.19921875" style="39" bestFit="1" customWidth="1"/>
    <col min="1039" max="1039" width="7.19921875" style="39" customWidth="1"/>
    <col min="1040" max="1040" width="11.09765625" style="39" customWidth="1"/>
    <col min="1041" max="1041" width="6.5" style="39" customWidth="1"/>
    <col min="1042" max="1042" width="46.59765625" style="39" customWidth="1"/>
    <col min="1043" max="1043" width="9.09765625" style="39" bestFit="1" customWidth="1"/>
    <col min="1044" max="1044" width="8.19921875" style="39" bestFit="1" customWidth="1"/>
    <col min="1045" max="1045" width="10.3984375" style="39" customWidth="1"/>
    <col min="1046" max="1046" width="0" style="39" hidden="1" customWidth="1"/>
    <col min="1047" max="1047" width="10" style="39" customWidth="1"/>
    <col min="1048" max="1048" width="6.09765625" style="39" customWidth="1"/>
    <col min="1049" max="1283" width="10" style="39" customWidth="1"/>
    <col min="1284" max="1284" width="11.19921875" style="39" customWidth="1"/>
    <col min="1285" max="1290" width="10" style="39" customWidth="1"/>
    <col min="1291" max="1291" width="2.19921875" style="39" customWidth="1"/>
    <col min="1292" max="1292" width="4.8984375" style="39" customWidth="1"/>
    <col min="1293" max="1293" width="12.59765625" style="39" customWidth="1"/>
    <col min="1294" max="1294" width="45.19921875" style="39" bestFit="1" customWidth="1"/>
    <col min="1295" max="1295" width="7.19921875" style="39" customWidth="1"/>
    <col min="1296" max="1296" width="11.09765625" style="39" customWidth="1"/>
    <col min="1297" max="1297" width="6.5" style="39" customWidth="1"/>
    <col min="1298" max="1298" width="46.59765625" style="39" customWidth="1"/>
    <col min="1299" max="1299" width="9.09765625" style="39" bestFit="1" customWidth="1"/>
    <col min="1300" max="1300" width="8.19921875" style="39" bestFit="1" customWidth="1"/>
    <col min="1301" max="1301" width="10.3984375" style="39" customWidth="1"/>
    <col min="1302" max="1302" width="0" style="39" hidden="1" customWidth="1"/>
    <col min="1303" max="1303" width="10" style="39" customWidth="1"/>
    <col min="1304" max="1304" width="6.09765625" style="39" customWidth="1"/>
    <col min="1305" max="1539" width="10" style="39" customWidth="1"/>
    <col min="1540" max="1540" width="11.19921875" style="39" customWidth="1"/>
    <col min="1541" max="1546" width="10" style="39" customWidth="1"/>
    <col min="1547" max="1547" width="2.19921875" style="39" customWidth="1"/>
    <col min="1548" max="1548" width="4.8984375" style="39" customWidth="1"/>
    <col min="1549" max="1549" width="12.59765625" style="39" customWidth="1"/>
    <col min="1550" max="1550" width="45.19921875" style="39" bestFit="1" customWidth="1"/>
    <col min="1551" max="1551" width="7.19921875" style="39" customWidth="1"/>
    <col min="1552" max="1552" width="11.09765625" style="39" customWidth="1"/>
    <col min="1553" max="1553" width="6.5" style="39" customWidth="1"/>
    <col min="1554" max="1554" width="46.59765625" style="39" customWidth="1"/>
    <col min="1555" max="1555" width="9.09765625" style="39" bestFit="1" customWidth="1"/>
    <col min="1556" max="1556" width="8.19921875" style="39" bestFit="1" customWidth="1"/>
    <col min="1557" max="1557" width="10.3984375" style="39" customWidth="1"/>
    <col min="1558" max="1558" width="0" style="39" hidden="1" customWidth="1"/>
    <col min="1559" max="1559" width="10" style="39" customWidth="1"/>
    <col min="1560" max="1560" width="6.09765625" style="39" customWidth="1"/>
    <col min="1561" max="1795" width="10" style="39" customWidth="1"/>
    <col min="1796" max="1796" width="11.19921875" style="39" customWidth="1"/>
    <col min="1797" max="1802" width="10" style="39" customWidth="1"/>
    <col min="1803" max="1803" width="2.19921875" style="39" customWidth="1"/>
    <col min="1804" max="1804" width="4.8984375" style="39" customWidth="1"/>
    <col min="1805" max="1805" width="12.59765625" style="39" customWidth="1"/>
    <col min="1806" max="1806" width="45.19921875" style="39" bestFit="1" customWidth="1"/>
    <col min="1807" max="1807" width="7.19921875" style="39" customWidth="1"/>
    <col min="1808" max="1808" width="11.09765625" style="39" customWidth="1"/>
    <col min="1809" max="1809" width="6.5" style="39" customWidth="1"/>
    <col min="1810" max="1810" width="46.59765625" style="39" customWidth="1"/>
    <col min="1811" max="1811" width="9.09765625" style="39" bestFit="1" customWidth="1"/>
    <col min="1812" max="1812" width="8.19921875" style="39" bestFit="1" customWidth="1"/>
    <col min="1813" max="1813" width="10.3984375" style="39" customWidth="1"/>
    <col min="1814" max="1814" width="0" style="39" hidden="1" customWidth="1"/>
    <col min="1815" max="1815" width="10" style="39" customWidth="1"/>
    <col min="1816" max="1816" width="6.09765625" style="39" customWidth="1"/>
    <col min="1817" max="2051" width="10" style="39" customWidth="1"/>
    <col min="2052" max="2052" width="11.19921875" style="39" customWidth="1"/>
    <col min="2053" max="2058" width="10" style="39" customWidth="1"/>
    <col min="2059" max="2059" width="2.19921875" style="39" customWidth="1"/>
    <col min="2060" max="2060" width="4.8984375" style="39" customWidth="1"/>
    <col min="2061" max="2061" width="12.59765625" style="39" customWidth="1"/>
    <col min="2062" max="2062" width="45.19921875" style="39" bestFit="1" customWidth="1"/>
    <col min="2063" max="2063" width="7.19921875" style="39" customWidth="1"/>
    <col min="2064" max="2064" width="11.09765625" style="39" customWidth="1"/>
    <col min="2065" max="2065" width="6.5" style="39" customWidth="1"/>
    <col min="2066" max="2066" width="46.59765625" style="39" customWidth="1"/>
    <col min="2067" max="2067" width="9.09765625" style="39" bestFit="1" customWidth="1"/>
    <col min="2068" max="2068" width="8.19921875" style="39" bestFit="1" customWidth="1"/>
    <col min="2069" max="2069" width="10.3984375" style="39" customWidth="1"/>
    <col min="2070" max="2070" width="0" style="39" hidden="1" customWidth="1"/>
    <col min="2071" max="2071" width="10" style="39" customWidth="1"/>
    <col min="2072" max="2072" width="6.09765625" style="39" customWidth="1"/>
    <col min="2073" max="2307" width="10" style="39" customWidth="1"/>
    <col min="2308" max="2308" width="11.19921875" style="39" customWidth="1"/>
    <col min="2309" max="2314" width="10" style="39" customWidth="1"/>
    <col min="2315" max="2315" width="2.19921875" style="39" customWidth="1"/>
    <col min="2316" max="2316" width="4.8984375" style="39" customWidth="1"/>
    <col min="2317" max="2317" width="12.59765625" style="39" customWidth="1"/>
    <col min="2318" max="2318" width="45.19921875" style="39" bestFit="1" customWidth="1"/>
    <col min="2319" max="2319" width="7.19921875" style="39" customWidth="1"/>
    <col min="2320" max="2320" width="11.09765625" style="39" customWidth="1"/>
    <col min="2321" max="2321" width="6.5" style="39" customWidth="1"/>
    <col min="2322" max="2322" width="46.59765625" style="39" customWidth="1"/>
    <col min="2323" max="2323" width="9.09765625" style="39" bestFit="1" customWidth="1"/>
    <col min="2324" max="2324" width="8.19921875" style="39" bestFit="1" customWidth="1"/>
    <col min="2325" max="2325" width="10.3984375" style="39" customWidth="1"/>
    <col min="2326" max="2326" width="0" style="39" hidden="1" customWidth="1"/>
    <col min="2327" max="2327" width="10" style="39" customWidth="1"/>
    <col min="2328" max="2328" width="6.09765625" style="39" customWidth="1"/>
    <col min="2329" max="2563" width="10" style="39" customWidth="1"/>
    <col min="2564" max="2564" width="11.19921875" style="39" customWidth="1"/>
    <col min="2565" max="2570" width="10" style="39" customWidth="1"/>
    <col min="2571" max="2571" width="2.19921875" style="39" customWidth="1"/>
    <col min="2572" max="2572" width="4.8984375" style="39" customWidth="1"/>
    <col min="2573" max="2573" width="12.59765625" style="39" customWidth="1"/>
    <col min="2574" max="2574" width="45.19921875" style="39" bestFit="1" customWidth="1"/>
    <col min="2575" max="2575" width="7.19921875" style="39" customWidth="1"/>
    <col min="2576" max="2576" width="11.09765625" style="39" customWidth="1"/>
    <col min="2577" max="2577" width="6.5" style="39" customWidth="1"/>
    <col min="2578" max="2578" width="46.59765625" style="39" customWidth="1"/>
    <col min="2579" max="2579" width="9.09765625" style="39" bestFit="1" customWidth="1"/>
    <col min="2580" max="2580" width="8.19921875" style="39" bestFit="1" customWidth="1"/>
    <col min="2581" max="2581" width="10.3984375" style="39" customWidth="1"/>
    <col min="2582" max="2582" width="0" style="39" hidden="1" customWidth="1"/>
    <col min="2583" max="2583" width="10" style="39" customWidth="1"/>
    <col min="2584" max="2584" width="6.09765625" style="39" customWidth="1"/>
    <col min="2585" max="2819" width="10" style="39" customWidth="1"/>
    <col min="2820" max="2820" width="11.19921875" style="39" customWidth="1"/>
    <col min="2821" max="2826" width="10" style="39" customWidth="1"/>
    <col min="2827" max="2827" width="2.19921875" style="39" customWidth="1"/>
    <col min="2828" max="2828" width="4.8984375" style="39" customWidth="1"/>
    <col min="2829" max="2829" width="12.59765625" style="39" customWidth="1"/>
    <col min="2830" max="2830" width="45.19921875" style="39" bestFit="1" customWidth="1"/>
    <col min="2831" max="2831" width="7.19921875" style="39" customWidth="1"/>
    <col min="2832" max="2832" width="11.09765625" style="39" customWidth="1"/>
    <col min="2833" max="2833" width="6.5" style="39" customWidth="1"/>
    <col min="2834" max="2834" width="46.59765625" style="39" customWidth="1"/>
    <col min="2835" max="2835" width="9.09765625" style="39" bestFit="1" customWidth="1"/>
    <col min="2836" max="2836" width="8.19921875" style="39" bestFit="1" customWidth="1"/>
    <col min="2837" max="2837" width="10.3984375" style="39" customWidth="1"/>
    <col min="2838" max="2838" width="0" style="39" hidden="1" customWidth="1"/>
    <col min="2839" max="2839" width="10" style="39" customWidth="1"/>
    <col min="2840" max="2840" width="6.09765625" style="39" customWidth="1"/>
    <col min="2841" max="3075" width="10" style="39" customWidth="1"/>
    <col min="3076" max="3076" width="11.19921875" style="39" customWidth="1"/>
    <col min="3077" max="3082" width="10" style="39" customWidth="1"/>
    <col min="3083" max="3083" width="2.19921875" style="39" customWidth="1"/>
    <col min="3084" max="3084" width="4.8984375" style="39" customWidth="1"/>
    <col min="3085" max="3085" width="12.59765625" style="39" customWidth="1"/>
    <col min="3086" max="3086" width="45.19921875" style="39" bestFit="1" customWidth="1"/>
    <col min="3087" max="3087" width="7.19921875" style="39" customWidth="1"/>
    <col min="3088" max="3088" width="11.09765625" style="39" customWidth="1"/>
    <col min="3089" max="3089" width="6.5" style="39" customWidth="1"/>
    <col min="3090" max="3090" width="46.59765625" style="39" customWidth="1"/>
    <col min="3091" max="3091" width="9.09765625" style="39" bestFit="1" customWidth="1"/>
    <col min="3092" max="3092" width="8.19921875" style="39" bestFit="1" customWidth="1"/>
    <col min="3093" max="3093" width="10.3984375" style="39" customWidth="1"/>
    <col min="3094" max="3094" width="0" style="39" hidden="1" customWidth="1"/>
    <col min="3095" max="3095" width="10" style="39" customWidth="1"/>
    <col min="3096" max="3096" width="6.09765625" style="39" customWidth="1"/>
    <col min="3097" max="3331" width="10" style="39" customWidth="1"/>
    <col min="3332" max="3332" width="11.19921875" style="39" customWidth="1"/>
    <col min="3333" max="3338" width="10" style="39" customWidth="1"/>
    <col min="3339" max="3339" width="2.19921875" style="39" customWidth="1"/>
    <col min="3340" max="3340" width="4.8984375" style="39" customWidth="1"/>
    <col min="3341" max="3341" width="12.59765625" style="39" customWidth="1"/>
    <col min="3342" max="3342" width="45.19921875" style="39" bestFit="1" customWidth="1"/>
    <col min="3343" max="3343" width="7.19921875" style="39" customWidth="1"/>
    <col min="3344" max="3344" width="11.09765625" style="39" customWidth="1"/>
    <col min="3345" max="3345" width="6.5" style="39" customWidth="1"/>
    <col min="3346" max="3346" width="46.59765625" style="39" customWidth="1"/>
    <col min="3347" max="3347" width="9.09765625" style="39" bestFit="1" customWidth="1"/>
    <col min="3348" max="3348" width="8.19921875" style="39" bestFit="1" customWidth="1"/>
    <col min="3349" max="3349" width="10.3984375" style="39" customWidth="1"/>
    <col min="3350" max="3350" width="0" style="39" hidden="1" customWidth="1"/>
    <col min="3351" max="3351" width="10" style="39" customWidth="1"/>
    <col min="3352" max="3352" width="6.09765625" style="39" customWidth="1"/>
    <col min="3353" max="3587" width="10" style="39" customWidth="1"/>
    <col min="3588" max="3588" width="11.19921875" style="39" customWidth="1"/>
    <col min="3589" max="3594" width="10" style="39" customWidth="1"/>
    <col min="3595" max="3595" width="2.19921875" style="39" customWidth="1"/>
    <col min="3596" max="3596" width="4.8984375" style="39" customWidth="1"/>
    <col min="3597" max="3597" width="12.59765625" style="39" customWidth="1"/>
    <col min="3598" max="3598" width="45.19921875" style="39" bestFit="1" customWidth="1"/>
    <col min="3599" max="3599" width="7.19921875" style="39" customWidth="1"/>
    <col min="3600" max="3600" width="11.09765625" style="39" customWidth="1"/>
    <col min="3601" max="3601" width="6.5" style="39" customWidth="1"/>
    <col min="3602" max="3602" width="46.59765625" style="39" customWidth="1"/>
    <col min="3603" max="3603" width="9.09765625" style="39" bestFit="1" customWidth="1"/>
    <col min="3604" max="3604" width="8.19921875" style="39" bestFit="1" customWidth="1"/>
    <col min="3605" max="3605" width="10.3984375" style="39" customWidth="1"/>
    <col min="3606" max="3606" width="0" style="39" hidden="1" customWidth="1"/>
    <col min="3607" max="3607" width="10" style="39" customWidth="1"/>
    <col min="3608" max="3608" width="6.09765625" style="39" customWidth="1"/>
    <col min="3609" max="3843" width="10" style="39" customWidth="1"/>
    <col min="3844" max="3844" width="11.19921875" style="39" customWidth="1"/>
    <col min="3845" max="3850" width="10" style="39" customWidth="1"/>
    <col min="3851" max="3851" width="2.19921875" style="39" customWidth="1"/>
    <col min="3852" max="3852" width="4.8984375" style="39" customWidth="1"/>
    <col min="3853" max="3853" width="12.59765625" style="39" customWidth="1"/>
    <col min="3854" max="3854" width="45.19921875" style="39" bestFit="1" customWidth="1"/>
    <col min="3855" max="3855" width="7.19921875" style="39" customWidth="1"/>
    <col min="3856" max="3856" width="11.09765625" style="39" customWidth="1"/>
    <col min="3857" max="3857" width="6.5" style="39" customWidth="1"/>
    <col min="3858" max="3858" width="46.59765625" style="39" customWidth="1"/>
    <col min="3859" max="3859" width="9.09765625" style="39" bestFit="1" customWidth="1"/>
    <col min="3860" max="3860" width="8.19921875" style="39" bestFit="1" customWidth="1"/>
    <col min="3861" max="3861" width="10.3984375" style="39" customWidth="1"/>
    <col min="3862" max="3862" width="0" style="39" hidden="1" customWidth="1"/>
    <col min="3863" max="3863" width="10" style="39" customWidth="1"/>
    <col min="3864" max="3864" width="6.09765625" style="39" customWidth="1"/>
    <col min="3865" max="4099" width="10" style="39" customWidth="1"/>
    <col min="4100" max="4100" width="11.19921875" style="39" customWidth="1"/>
    <col min="4101" max="4106" width="10" style="39" customWidth="1"/>
    <col min="4107" max="4107" width="2.19921875" style="39" customWidth="1"/>
    <col min="4108" max="4108" width="4.8984375" style="39" customWidth="1"/>
    <col min="4109" max="4109" width="12.59765625" style="39" customWidth="1"/>
    <col min="4110" max="4110" width="45.19921875" style="39" bestFit="1" customWidth="1"/>
    <col min="4111" max="4111" width="7.19921875" style="39" customWidth="1"/>
    <col min="4112" max="4112" width="11.09765625" style="39" customWidth="1"/>
    <col min="4113" max="4113" width="6.5" style="39" customWidth="1"/>
    <col min="4114" max="4114" width="46.59765625" style="39" customWidth="1"/>
    <col min="4115" max="4115" width="9.09765625" style="39" bestFit="1" customWidth="1"/>
    <col min="4116" max="4116" width="8.19921875" style="39" bestFit="1" customWidth="1"/>
    <col min="4117" max="4117" width="10.3984375" style="39" customWidth="1"/>
    <col min="4118" max="4118" width="0" style="39" hidden="1" customWidth="1"/>
    <col min="4119" max="4119" width="10" style="39" customWidth="1"/>
    <col min="4120" max="4120" width="6.09765625" style="39" customWidth="1"/>
    <col min="4121" max="4355" width="10" style="39" customWidth="1"/>
    <col min="4356" max="4356" width="11.19921875" style="39" customWidth="1"/>
    <col min="4357" max="4362" width="10" style="39" customWidth="1"/>
    <col min="4363" max="4363" width="2.19921875" style="39" customWidth="1"/>
    <col min="4364" max="4364" width="4.8984375" style="39" customWidth="1"/>
    <col min="4365" max="4365" width="12.59765625" style="39" customWidth="1"/>
    <col min="4366" max="4366" width="45.19921875" style="39" bestFit="1" customWidth="1"/>
    <col min="4367" max="4367" width="7.19921875" style="39" customWidth="1"/>
    <col min="4368" max="4368" width="11.09765625" style="39" customWidth="1"/>
    <col min="4369" max="4369" width="6.5" style="39" customWidth="1"/>
    <col min="4370" max="4370" width="46.59765625" style="39" customWidth="1"/>
    <col min="4371" max="4371" width="9.09765625" style="39" bestFit="1" customWidth="1"/>
    <col min="4372" max="4372" width="8.19921875" style="39" bestFit="1" customWidth="1"/>
    <col min="4373" max="4373" width="10.3984375" style="39" customWidth="1"/>
    <col min="4374" max="4374" width="0" style="39" hidden="1" customWidth="1"/>
    <col min="4375" max="4375" width="10" style="39" customWidth="1"/>
    <col min="4376" max="4376" width="6.09765625" style="39" customWidth="1"/>
    <col min="4377" max="4611" width="10" style="39" customWidth="1"/>
    <col min="4612" max="4612" width="11.19921875" style="39" customWidth="1"/>
    <col min="4613" max="4618" width="10" style="39" customWidth="1"/>
    <col min="4619" max="4619" width="2.19921875" style="39" customWidth="1"/>
    <col min="4620" max="4620" width="4.8984375" style="39" customWidth="1"/>
    <col min="4621" max="4621" width="12.59765625" style="39" customWidth="1"/>
    <col min="4622" max="4622" width="45.19921875" style="39" bestFit="1" customWidth="1"/>
    <col min="4623" max="4623" width="7.19921875" style="39" customWidth="1"/>
    <col min="4624" max="4624" width="11.09765625" style="39" customWidth="1"/>
    <col min="4625" max="4625" width="6.5" style="39" customWidth="1"/>
    <col min="4626" max="4626" width="46.59765625" style="39" customWidth="1"/>
    <col min="4627" max="4627" width="9.09765625" style="39" bestFit="1" customWidth="1"/>
    <col min="4628" max="4628" width="8.19921875" style="39" bestFit="1" customWidth="1"/>
    <col min="4629" max="4629" width="10.3984375" style="39" customWidth="1"/>
    <col min="4630" max="4630" width="0" style="39" hidden="1" customWidth="1"/>
    <col min="4631" max="4631" width="10" style="39" customWidth="1"/>
    <col min="4632" max="4632" width="6.09765625" style="39" customWidth="1"/>
    <col min="4633" max="4867" width="10" style="39" customWidth="1"/>
    <col min="4868" max="4868" width="11.19921875" style="39" customWidth="1"/>
    <col min="4869" max="4874" width="10" style="39" customWidth="1"/>
    <col min="4875" max="4875" width="2.19921875" style="39" customWidth="1"/>
    <col min="4876" max="4876" width="4.8984375" style="39" customWidth="1"/>
    <col min="4877" max="4877" width="12.59765625" style="39" customWidth="1"/>
    <col min="4878" max="4878" width="45.19921875" style="39" bestFit="1" customWidth="1"/>
    <col min="4879" max="4879" width="7.19921875" style="39" customWidth="1"/>
    <col min="4880" max="4880" width="11.09765625" style="39" customWidth="1"/>
    <col min="4881" max="4881" width="6.5" style="39" customWidth="1"/>
    <col min="4882" max="4882" width="46.59765625" style="39" customWidth="1"/>
    <col min="4883" max="4883" width="9.09765625" style="39" bestFit="1" customWidth="1"/>
    <col min="4884" max="4884" width="8.19921875" style="39" bestFit="1" customWidth="1"/>
    <col min="4885" max="4885" width="10.3984375" style="39" customWidth="1"/>
    <col min="4886" max="4886" width="0" style="39" hidden="1" customWidth="1"/>
    <col min="4887" max="4887" width="10" style="39" customWidth="1"/>
    <col min="4888" max="4888" width="6.09765625" style="39" customWidth="1"/>
    <col min="4889" max="5123" width="10" style="39" customWidth="1"/>
    <col min="5124" max="5124" width="11.19921875" style="39" customWidth="1"/>
    <col min="5125" max="5130" width="10" style="39" customWidth="1"/>
    <col min="5131" max="5131" width="2.19921875" style="39" customWidth="1"/>
    <col min="5132" max="5132" width="4.8984375" style="39" customWidth="1"/>
    <col min="5133" max="5133" width="12.59765625" style="39" customWidth="1"/>
    <col min="5134" max="5134" width="45.19921875" style="39" bestFit="1" customWidth="1"/>
    <col min="5135" max="5135" width="7.19921875" style="39" customWidth="1"/>
    <col min="5136" max="5136" width="11.09765625" style="39" customWidth="1"/>
    <col min="5137" max="5137" width="6.5" style="39" customWidth="1"/>
    <col min="5138" max="5138" width="46.59765625" style="39" customWidth="1"/>
    <col min="5139" max="5139" width="9.09765625" style="39" bestFit="1" customWidth="1"/>
    <col min="5140" max="5140" width="8.19921875" style="39" bestFit="1" customWidth="1"/>
    <col min="5141" max="5141" width="10.3984375" style="39" customWidth="1"/>
    <col min="5142" max="5142" width="0" style="39" hidden="1" customWidth="1"/>
    <col min="5143" max="5143" width="10" style="39" customWidth="1"/>
    <col min="5144" max="5144" width="6.09765625" style="39" customWidth="1"/>
    <col min="5145" max="5379" width="10" style="39" customWidth="1"/>
    <col min="5380" max="5380" width="11.19921875" style="39" customWidth="1"/>
    <col min="5381" max="5386" width="10" style="39" customWidth="1"/>
    <col min="5387" max="5387" width="2.19921875" style="39" customWidth="1"/>
    <col min="5388" max="5388" width="4.8984375" style="39" customWidth="1"/>
    <col min="5389" max="5389" width="12.59765625" style="39" customWidth="1"/>
    <col min="5390" max="5390" width="45.19921875" style="39" bestFit="1" customWidth="1"/>
    <col min="5391" max="5391" width="7.19921875" style="39" customWidth="1"/>
    <col min="5392" max="5392" width="11.09765625" style="39" customWidth="1"/>
    <col min="5393" max="5393" width="6.5" style="39" customWidth="1"/>
    <col min="5394" max="5394" width="46.59765625" style="39" customWidth="1"/>
    <col min="5395" max="5395" width="9.09765625" style="39" bestFit="1" customWidth="1"/>
    <col min="5396" max="5396" width="8.19921875" style="39" bestFit="1" customWidth="1"/>
    <col min="5397" max="5397" width="10.3984375" style="39" customWidth="1"/>
    <col min="5398" max="5398" width="0" style="39" hidden="1" customWidth="1"/>
    <col min="5399" max="5399" width="10" style="39" customWidth="1"/>
    <col min="5400" max="5400" width="6.09765625" style="39" customWidth="1"/>
    <col min="5401" max="5635" width="10" style="39" customWidth="1"/>
    <col min="5636" max="5636" width="11.19921875" style="39" customWidth="1"/>
    <col min="5637" max="5642" width="10" style="39" customWidth="1"/>
    <col min="5643" max="5643" width="2.19921875" style="39" customWidth="1"/>
    <col min="5644" max="5644" width="4.8984375" style="39" customWidth="1"/>
    <col min="5645" max="5645" width="12.59765625" style="39" customWidth="1"/>
    <col min="5646" max="5646" width="45.19921875" style="39" bestFit="1" customWidth="1"/>
    <col min="5647" max="5647" width="7.19921875" style="39" customWidth="1"/>
    <col min="5648" max="5648" width="11.09765625" style="39" customWidth="1"/>
    <col min="5649" max="5649" width="6.5" style="39" customWidth="1"/>
    <col min="5650" max="5650" width="46.59765625" style="39" customWidth="1"/>
    <col min="5651" max="5651" width="9.09765625" style="39" bestFit="1" customWidth="1"/>
    <col min="5652" max="5652" width="8.19921875" style="39" bestFit="1" customWidth="1"/>
    <col min="5653" max="5653" width="10.3984375" style="39" customWidth="1"/>
    <col min="5654" max="5654" width="0" style="39" hidden="1" customWidth="1"/>
    <col min="5655" max="5655" width="10" style="39" customWidth="1"/>
    <col min="5656" max="5656" width="6.09765625" style="39" customWidth="1"/>
    <col min="5657" max="5891" width="10" style="39" customWidth="1"/>
    <col min="5892" max="5892" width="11.19921875" style="39" customWidth="1"/>
    <col min="5893" max="5898" width="10" style="39" customWidth="1"/>
    <col min="5899" max="5899" width="2.19921875" style="39" customWidth="1"/>
    <col min="5900" max="5900" width="4.8984375" style="39" customWidth="1"/>
    <col min="5901" max="5901" width="12.59765625" style="39" customWidth="1"/>
    <col min="5902" max="5902" width="45.19921875" style="39" bestFit="1" customWidth="1"/>
    <col min="5903" max="5903" width="7.19921875" style="39" customWidth="1"/>
    <col min="5904" max="5904" width="11.09765625" style="39" customWidth="1"/>
    <col min="5905" max="5905" width="6.5" style="39" customWidth="1"/>
    <col min="5906" max="5906" width="46.59765625" style="39" customWidth="1"/>
    <col min="5907" max="5907" width="9.09765625" style="39" bestFit="1" customWidth="1"/>
    <col min="5908" max="5908" width="8.19921875" style="39" bestFit="1" customWidth="1"/>
    <col min="5909" max="5909" width="10.3984375" style="39" customWidth="1"/>
    <col min="5910" max="5910" width="0" style="39" hidden="1" customWidth="1"/>
    <col min="5911" max="5911" width="10" style="39" customWidth="1"/>
    <col min="5912" max="5912" width="6.09765625" style="39" customWidth="1"/>
    <col min="5913" max="6147" width="10" style="39" customWidth="1"/>
    <col min="6148" max="6148" width="11.19921875" style="39" customWidth="1"/>
    <col min="6149" max="6154" width="10" style="39" customWidth="1"/>
    <col min="6155" max="6155" width="2.19921875" style="39" customWidth="1"/>
    <col min="6156" max="6156" width="4.8984375" style="39" customWidth="1"/>
    <col min="6157" max="6157" width="12.59765625" style="39" customWidth="1"/>
    <col min="6158" max="6158" width="45.19921875" style="39" bestFit="1" customWidth="1"/>
    <col min="6159" max="6159" width="7.19921875" style="39" customWidth="1"/>
    <col min="6160" max="6160" width="11.09765625" style="39" customWidth="1"/>
    <col min="6161" max="6161" width="6.5" style="39" customWidth="1"/>
    <col min="6162" max="6162" width="46.59765625" style="39" customWidth="1"/>
    <col min="6163" max="6163" width="9.09765625" style="39" bestFit="1" customWidth="1"/>
    <col min="6164" max="6164" width="8.19921875" style="39" bestFit="1" customWidth="1"/>
    <col min="6165" max="6165" width="10.3984375" style="39" customWidth="1"/>
    <col min="6166" max="6166" width="0" style="39" hidden="1" customWidth="1"/>
    <col min="6167" max="6167" width="10" style="39" customWidth="1"/>
    <col min="6168" max="6168" width="6.09765625" style="39" customWidth="1"/>
    <col min="6169" max="6403" width="10" style="39" customWidth="1"/>
    <col min="6404" max="6404" width="11.19921875" style="39" customWidth="1"/>
    <col min="6405" max="6410" width="10" style="39" customWidth="1"/>
    <col min="6411" max="6411" width="2.19921875" style="39" customWidth="1"/>
    <col min="6412" max="6412" width="4.8984375" style="39" customWidth="1"/>
    <col min="6413" max="6413" width="12.59765625" style="39" customWidth="1"/>
    <col min="6414" max="6414" width="45.19921875" style="39" bestFit="1" customWidth="1"/>
    <col min="6415" max="6415" width="7.19921875" style="39" customWidth="1"/>
    <col min="6416" max="6416" width="11.09765625" style="39" customWidth="1"/>
    <col min="6417" max="6417" width="6.5" style="39" customWidth="1"/>
    <col min="6418" max="6418" width="46.59765625" style="39" customWidth="1"/>
    <col min="6419" max="6419" width="9.09765625" style="39" bestFit="1" customWidth="1"/>
    <col min="6420" max="6420" width="8.19921875" style="39" bestFit="1" customWidth="1"/>
    <col min="6421" max="6421" width="10.3984375" style="39" customWidth="1"/>
    <col min="6422" max="6422" width="0" style="39" hidden="1" customWidth="1"/>
    <col min="6423" max="6423" width="10" style="39" customWidth="1"/>
    <col min="6424" max="6424" width="6.09765625" style="39" customWidth="1"/>
    <col min="6425" max="6659" width="10" style="39" customWidth="1"/>
    <col min="6660" max="6660" width="11.19921875" style="39" customWidth="1"/>
    <col min="6661" max="6666" width="10" style="39" customWidth="1"/>
    <col min="6667" max="6667" width="2.19921875" style="39" customWidth="1"/>
    <col min="6668" max="6668" width="4.8984375" style="39" customWidth="1"/>
    <col min="6669" max="6669" width="12.59765625" style="39" customWidth="1"/>
    <col min="6670" max="6670" width="45.19921875" style="39" bestFit="1" customWidth="1"/>
    <col min="6671" max="6671" width="7.19921875" style="39" customWidth="1"/>
    <col min="6672" max="6672" width="11.09765625" style="39" customWidth="1"/>
    <col min="6673" max="6673" width="6.5" style="39" customWidth="1"/>
    <col min="6674" max="6674" width="46.59765625" style="39" customWidth="1"/>
    <col min="6675" max="6675" width="9.09765625" style="39" bestFit="1" customWidth="1"/>
    <col min="6676" max="6676" width="8.19921875" style="39" bestFit="1" customWidth="1"/>
    <col min="6677" max="6677" width="10.3984375" style="39" customWidth="1"/>
    <col min="6678" max="6678" width="0" style="39" hidden="1" customWidth="1"/>
    <col min="6679" max="6679" width="10" style="39" customWidth="1"/>
    <col min="6680" max="6680" width="6.09765625" style="39" customWidth="1"/>
    <col min="6681" max="6915" width="10" style="39" customWidth="1"/>
    <col min="6916" max="6916" width="11.19921875" style="39" customWidth="1"/>
    <col min="6917" max="6922" width="10" style="39" customWidth="1"/>
    <col min="6923" max="6923" width="2.19921875" style="39" customWidth="1"/>
    <col min="6924" max="6924" width="4.8984375" style="39" customWidth="1"/>
    <col min="6925" max="6925" width="12.59765625" style="39" customWidth="1"/>
    <col min="6926" max="6926" width="45.19921875" style="39" bestFit="1" customWidth="1"/>
    <col min="6927" max="6927" width="7.19921875" style="39" customWidth="1"/>
    <col min="6928" max="6928" width="11.09765625" style="39" customWidth="1"/>
    <col min="6929" max="6929" width="6.5" style="39" customWidth="1"/>
    <col min="6930" max="6930" width="46.59765625" style="39" customWidth="1"/>
    <col min="6931" max="6931" width="9.09765625" style="39" bestFit="1" customWidth="1"/>
    <col min="6932" max="6932" width="8.19921875" style="39" bestFit="1" customWidth="1"/>
    <col min="6933" max="6933" width="10.3984375" style="39" customWidth="1"/>
    <col min="6934" max="6934" width="0" style="39" hidden="1" customWidth="1"/>
    <col min="6935" max="6935" width="10" style="39" customWidth="1"/>
    <col min="6936" max="6936" width="6.09765625" style="39" customWidth="1"/>
    <col min="6937" max="7171" width="10" style="39" customWidth="1"/>
    <col min="7172" max="7172" width="11.19921875" style="39" customWidth="1"/>
    <col min="7173" max="7178" width="10" style="39" customWidth="1"/>
    <col min="7179" max="7179" width="2.19921875" style="39" customWidth="1"/>
    <col min="7180" max="7180" width="4.8984375" style="39" customWidth="1"/>
    <col min="7181" max="7181" width="12.59765625" style="39" customWidth="1"/>
    <col min="7182" max="7182" width="45.19921875" style="39" bestFit="1" customWidth="1"/>
    <col min="7183" max="7183" width="7.19921875" style="39" customWidth="1"/>
    <col min="7184" max="7184" width="11.09765625" style="39" customWidth="1"/>
    <col min="7185" max="7185" width="6.5" style="39" customWidth="1"/>
    <col min="7186" max="7186" width="46.59765625" style="39" customWidth="1"/>
    <col min="7187" max="7187" width="9.09765625" style="39" bestFit="1" customWidth="1"/>
    <col min="7188" max="7188" width="8.19921875" style="39" bestFit="1" customWidth="1"/>
    <col min="7189" max="7189" width="10.3984375" style="39" customWidth="1"/>
    <col min="7190" max="7190" width="0" style="39" hidden="1" customWidth="1"/>
    <col min="7191" max="7191" width="10" style="39" customWidth="1"/>
    <col min="7192" max="7192" width="6.09765625" style="39" customWidth="1"/>
    <col min="7193" max="7427" width="10" style="39" customWidth="1"/>
    <col min="7428" max="7428" width="11.19921875" style="39" customWidth="1"/>
    <col min="7429" max="7434" width="10" style="39" customWidth="1"/>
    <col min="7435" max="7435" width="2.19921875" style="39" customWidth="1"/>
    <col min="7436" max="7436" width="4.8984375" style="39" customWidth="1"/>
    <col min="7437" max="7437" width="12.59765625" style="39" customWidth="1"/>
    <col min="7438" max="7438" width="45.19921875" style="39" bestFit="1" customWidth="1"/>
    <col min="7439" max="7439" width="7.19921875" style="39" customWidth="1"/>
    <col min="7440" max="7440" width="11.09765625" style="39" customWidth="1"/>
    <col min="7441" max="7441" width="6.5" style="39" customWidth="1"/>
    <col min="7442" max="7442" width="46.59765625" style="39" customWidth="1"/>
    <col min="7443" max="7443" width="9.09765625" style="39" bestFit="1" customWidth="1"/>
    <col min="7444" max="7444" width="8.19921875" style="39" bestFit="1" customWidth="1"/>
    <col min="7445" max="7445" width="10.3984375" style="39" customWidth="1"/>
    <col min="7446" max="7446" width="0" style="39" hidden="1" customWidth="1"/>
    <col min="7447" max="7447" width="10" style="39" customWidth="1"/>
    <col min="7448" max="7448" width="6.09765625" style="39" customWidth="1"/>
    <col min="7449" max="7683" width="10" style="39" customWidth="1"/>
    <col min="7684" max="7684" width="11.19921875" style="39" customWidth="1"/>
    <col min="7685" max="7690" width="10" style="39" customWidth="1"/>
    <col min="7691" max="7691" width="2.19921875" style="39" customWidth="1"/>
    <col min="7692" max="7692" width="4.8984375" style="39" customWidth="1"/>
    <col min="7693" max="7693" width="12.59765625" style="39" customWidth="1"/>
    <col min="7694" max="7694" width="45.19921875" style="39" bestFit="1" customWidth="1"/>
    <col min="7695" max="7695" width="7.19921875" style="39" customWidth="1"/>
    <col min="7696" max="7696" width="11.09765625" style="39" customWidth="1"/>
    <col min="7697" max="7697" width="6.5" style="39" customWidth="1"/>
    <col min="7698" max="7698" width="46.59765625" style="39" customWidth="1"/>
    <col min="7699" max="7699" width="9.09765625" style="39" bestFit="1" customWidth="1"/>
    <col min="7700" max="7700" width="8.19921875" style="39" bestFit="1" customWidth="1"/>
    <col min="7701" max="7701" width="10.3984375" style="39" customWidth="1"/>
    <col min="7702" max="7702" width="0" style="39" hidden="1" customWidth="1"/>
    <col min="7703" max="7703" width="10" style="39" customWidth="1"/>
    <col min="7704" max="7704" width="6.09765625" style="39" customWidth="1"/>
    <col min="7705" max="7939" width="10" style="39" customWidth="1"/>
    <col min="7940" max="7940" width="11.19921875" style="39" customWidth="1"/>
    <col min="7941" max="7946" width="10" style="39" customWidth="1"/>
    <col min="7947" max="7947" width="2.19921875" style="39" customWidth="1"/>
    <col min="7948" max="7948" width="4.8984375" style="39" customWidth="1"/>
    <col min="7949" max="7949" width="12.59765625" style="39" customWidth="1"/>
    <col min="7950" max="7950" width="45.19921875" style="39" bestFit="1" customWidth="1"/>
    <col min="7951" max="7951" width="7.19921875" style="39" customWidth="1"/>
    <col min="7952" max="7952" width="11.09765625" style="39" customWidth="1"/>
    <col min="7953" max="7953" width="6.5" style="39" customWidth="1"/>
    <col min="7954" max="7954" width="46.59765625" style="39" customWidth="1"/>
    <col min="7955" max="7955" width="9.09765625" style="39" bestFit="1" customWidth="1"/>
    <col min="7956" max="7956" width="8.19921875" style="39" bestFit="1" customWidth="1"/>
    <col min="7957" max="7957" width="10.3984375" style="39" customWidth="1"/>
    <col min="7958" max="7958" width="0" style="39" hidden="1" customWidth="1"/>
    <col min="7959" max="7959" width="10" style="39" customWidth="1"/>
    <col min="7960" max="7960" width="6.09765625" style="39" customWidth="1"/>
    <col min="7961" max="8195" width="10" style="39" customWidth="1"/>
    <col min="8196" max="8196" width="11.19921875" style="39" customWidth="1"/>
    <col min="8197" max="8202" width="10" style="39" customWidth="1"/>
    <col min="8203" max="8203" width="2.19921875" style="39" customWidth="1"/>
    <col min="8204" max="8204" width="4.8984375" style="39" customWidth="1"/>
    <col min="8205" max="8205" width="12.59765625" style="39" customWidth="1"/>
    <col min="8206" max="8206" width="45.19921875" style="39" bestFit="1" customWidth="1"/>
    <col min="8207" max="8207" width="7.19921875" style="39" customWidth="1"/>
    <col min="8208" max="8208" width="11.09765625" style="39" customWidth="1"/>
    <col min="8209" max="8209" width="6.5" style="39" customWidth="1"/>
    <col min="8210" max="8210" width="46.59765625" style="39" customWidth="1"/>
    <col min="8211" max="8211" width="9.09765625" style="39" bestFit="1" customWidth="1"/>
    <col min="8212" max="8212" width="8.19921875" style="39" bestFit="1" customWidth="1"/>
    <col min="8213" max="8213" width="10.3984375" style="39" customWidth="1"/>
    <col min="8214" max="8214" width="0" style="39" hidden="1" customWidth="1"/>
    <col min="8215" max="8215" width="10" style="39" customWidth="1"/>
    <col min="8216" max="8216" width="6.09765625" style="39" customWidth="1"/>
    <col min="8217" max="8451" width="10" style="39" customWidth="1"/>
    <col min="8452" max="8452" width="11.19921875" style="39" customWidth="1"/>
    <col min="8453" max="8458" width="10" style="39" customWidth="1"/>
    <col min="8459" max="8459" width="2.19921875" style="39" customWidth="1"/>
    <col min="8460" max="8460" width="4.8984375" style="39" customWidth="1"/>
    <col min="8461" max="8461" width="12.59765625" style="39" customWidth="1"/>
    <col min="8462" max="8462" width="45.19921875" style="39" bestFit="1" customWidth="1"/>
    <col min="8463" max="8463" width="7.19921875" style="39" customWidth="1"/>
    <col min="8464" max="8464" width="11.09765625" style="39" customWidth="1"/>
    <col min="8465" max="8465" width="6.5" style="39" customWidth="1"/>
    <col min="8466" max="8466" width="46.59765625" style="39" customWidth="1"/>
    <col min="8467" max="8467" width="9.09765625" style="39" bestFit="1" customWidth="1"/>
    <col min="8468" max="8468" width="8.19921875" style="39" bestFit="1" customWidth="1"/>
    <col min="8469" max="8469" width="10.3984375" style="39" customWidth="1"/>
    <col min="8470" max="8470" width="0" style="39" hidden="1" customWidth="1"/>
    <col min="8471" max="8471" width="10" style="39" customWidth="1"/>
    <col min="8472" max="8472" width="6.09765625" style="39" customWidth="1"/>
    <col min="8473" max="8707" width="10" style="39" customWidth="1"/>
    <col min="8708" max="8708" width="11.19921875" style="39" customWidth="1"/>
    <col min="8709" max="8714" width="10" style="39" customWidth="1"/>
    <col min="8715" max="8715" width="2.19921875" style="39" customWidth="1"/>
    <col min="8716" max="8716" width="4.8984375" style="39" customWidth="1"/>
    <col min="8717" max="8717" width="12.59765625" style="39" customWidth="1"/>
    <col min="8718" max="8718" width="45.19921875" style="39" bestFit="1" customWidth="1"/>
    <col min="8719" max="8719" width="7.19921875" style="39" customWidth="1"/>
    <col min="8720" max="8720" width="11.09765625" style="39" customWidth="1"/>
    <col min="8721" max="8721" width="6.5" style="39" customWidth="1"/>
    <col min="8722" max="8722" width="46.59765625" style="39" customWidth="1"/>
    <col min="8723" max="8723" width="9.09765625" style="39" bestFit="1" customWidth="1"/>
    <col min="8724" max="8724" width="8.19921875" style="39" bestFit="1" customWidth="1"/>
    <col min="8725" max="8725" width="10.3984375" style="39" customWidth="1"/>
    <col min="8726" max="8726" width="0" style="39" hidden="1" customWidth="1"/>
    <col min="8727" max="8727" width="10" style="39" customWidth="1"/>
    <col min="8728" max="8728" width="6.09765625" style="39" customWidth="1"/>
    <col min="8729" max="8963" width="10" style="39" customWidth="1"/>
    <col min="8964" max="8964" width="11.19921875" style="39" customWidth="1"/>
    <col min="8965" max="8970" width="10" style="39" customWidth="1"/>
    <col min="8971" max="8971" width="2.19921875" style="39" customWidth="1"/>
    <col min="8972" max="8972" width="4.8984375" style="39" customWidth="1"/>
    <col min="8973" max="8973" width="12.59765625" style="39" customWidth="1"/>
    <col min="8974" max="8974" width="45.19921875" style="39" bestFit="1" customWidth="1"/>
    <col min="8975" max="8975" width="7.19921875" style="39" customWidth="1"/>
    <col min="8976" max="8976" width="11.09765625" style="39" customWidth="1"/>
    <col min="8977" max="8977" width="6.5" style="39" customWidth="1"/>
    <col min="8978" max="8978" width="46.59765625" style="39" customWidth="1"/>
    <col min="8979" max="8979" width="9.09765625" style="39" bestFit="1" customWidth="1"/>
    <col min="8980" max="8980" width="8.19921875" style="39" bestFit="1" customWidth="1"/>
    <col min="8981" max="8981" width="10.3984375" style="39" customWidth="1"/>
    <col min="8982" max="8982" width="0" style="39" hidden="1" customWidth="1"/>
    <col min="8983" max="8983" width="10" style="39" customWidth="1"/>
    <col min="8984" max="8984" width="6.09765625" style="39" customWidth="1"/>
    <col min="8985" max="9219" width="10" style="39" customWidth="1"/>
    <col min="9220" max="9220" width="11.19921875" style="39" customWidth="1"/>
    <col min="9221" max="9226" width="10" style="39" customWidth="1"/>
    <col min="9227" max="9227" width="2.19921875" style="39" customWidth="1"/>
    <col min="9228" max="9228" width="4.8984375" style="39" customWidth="1"/>
    <col min="9229" max="9229" width="12.59765625" style="39" customWidth="1"/>
    <col min="9230" max="9230" width="45.19921875" style="39" bestFit="1" customWidth="1"/>
    <col min="9231" max="9231" width="7.19921875" style="39" customWidth="1"/>
    <col min="9232" max="9232" width="11.09765625" style="39" customWidth="1"/>
    <col min="9233" max="9233" width="6.5" style="39" customWidth="1"/>
    <col min="9234" max="9234" width="46.59765625" style="39" customWidth="1"/>
    <col min="9235" max="9235" width="9.09765625" style="39" bestFit="1" customWidth="1"/>
    <col min="9236" max="9236" width="8.19921875" style="39" bestFit="1" customWidth="1"/>
    <col min="9237" max="9237" width="10.3984375" style="39" customWidth="1"/>
    <col min="9238" max="9238" width="0" style="39" hidden="1" customWidth="1"/>
    <col min="9239" max="9239" width="10" style="39" customWidth="1"/>
    <col min="9240" max="9240" width="6.09765625" style="39" customWidth="1"/>
    <col min="9241" max="9475" width="10" style="39" customWidth="1"/>
    <col min="9476" max="9476" width="11.19921875" style="39" customWidth="1"/>
    <col min="9477" max="9482" width="10" style="39" customWidth="1"/>
    <col min="9483" max="9483" width="2.19921875" style="39" customWidth="1"/>
    <col min="9484" max="9484" width="4.8984375" style="39" customWidth="1"/>
    <col min="9485" max="9485" width="12.59765625" style="39" customWidth="1"/>
    <col min="9486" max="9486" width="45.19921875" style="39" bestFit="1" customWidth="1"/>
    <col min="9487" max="9487" width="7.19921875" style="39" customWidth="1"/>
    <col min="9488" max="9488" width="11.09765625" style="39" customWidth="1"/>
    <col min="9489" max="9489" width="6.5" style="39" customWidth="1"/>
    <col min="9490" max="9490" width="46.59765625" style="39" customWidth="1"/>
    <col min="9491" max="9491" width="9.09765625" style="39" bestFit="1" customWidth="1"/>
    <col min="9492" max="9492" width="8.19921875" style="39" bestFit="1" customWidth="1"/>
    <col min="9493" max="9493" width="10.3984375" style="39" customWidth="1"/>
    <col min="9494" max="9494" width="0" style="39" hidden="1" customWidth="1"/>
    <col min="9495" max="9495" width="10" style="39" customWidth="1"/>
    <col min="9496" max="9496" width="6.09765625" style="39" customWidth="1"/>
    <col min="9497" max="9731" width="10" style="39" customWidth="1"/>
    <col min="9732" max="9732" width="11.19921875" style="39" customWidth="1"/>
    <col min="9733" max="9738" width="10" style="39" customWidth="1"/>
    <col min="9739" max="9739" width="2.19921875" style="39" customWidth="1"/>
    <col min="9740" max="9740" width="4.8984375" style="39" customWidth="1"/>
    <col min="9741" max="9741" width="12.59765625" style="39" customWidth="1"/>
    <col min="9742" max="9742" width="45.19921875" style="39" bestFit="1" customWidth="1"/>
    <col min="9743" max="9743" width="7.19921875" style="39" customWidth="1"/>
    <col min="9744" max="9744" width="11.09765625" style="39" customWidth="1"/>
    <col min="9745" max="9745" width="6.5" style="39" customWidth="1"/>
    <col min="9746" max="9746" width="46.59765625" style="39" customWidth="1"/>
    <col min="9747" max="9747" width="9.09765625" style="39" bestFit="1" customWidth="1"/>
    <col min="9748" max="9748" width="8.19921875" style="39" bestFit="1" customWidth="1"/>
    <col min="9749" max="9749" width="10.3984375" style="39" customWidth="1"/>
    <col min="9750" max="9750" width="0" style="39" hidden="1" customWidth="1"/>
    <col min="9751" max="9751" width="10" style="39" customWidth="1"/>
    <col min="9752" max="9752" width="6.09765625" style="39" customWidth="1"/>
    <col min="9753" max="9987" width="10" style="39" customWidth="1"/>
    <col min="9988" max="9988" width="11.19921875" style="39" customWidth="1"/>
    <col min="9989" max="9994" width="10" style="39" customWidth="1"/>
    <col min="9995" max="9995" width="2.19921875" style="39" customWidth="1"/>
    <col min="9996" max="9996" width="4.8984375" style="39" customWidth="1"/>
    <col min="9997" max="9997" width="12.59765625" style="39" customWidth="1"/>
    <col min="9998" max="9998" width="45.19921875" style="39" bestFit="1" customWidth="1"/>
    <col min="9999" max="9999" width="7.19921875" style="39" customWidth="1"/>
    <col min="10000" max="10000" width="11.09765625" style="39" customWidth="1"/>
    <col min="10001" max="10001" width="6.5" style="39" customWidth="1"/>
    <col min="10002" max="10002" width="46.59765625" style="39" customWidth="1"/>
    <col min="10003" max="10003" width="9.09765625" style="39" bestFit="1" customWidth="1"/>
    <col min="10004" max="10004" width="8.19921875" style="39" bestFit="1" customWidth="1"/>
    <col min="10005" max="10005" width="10.3984375" style="39" customWidth="1"/>
    <col min="10006" max="10006" width="0" style="39" hidden="1" customWidth="1"/>
    <col min="10007" max="10007" width="10" style="39" customWidth="1"/>
    <col min="10008" max="10008" width="6.09765625" style="39" customWidth="1"/>
    <col min="10009" max="10243" width="10" style="39" customWidth="1"/>
    <col min="10244" max="10244" width="11.19921875" style="39" customWidth="1"/>
    <col min="10245" max="10250" width="10" style="39" customWidth="1"/>
    <col min="10251" max="10251" width="2.19921875" style="39" customWidth="1"/>
    <col min="10252" max="10252" width="4.8984375" style="39" customWidth="1"/>
    <col min="10253" max="10253" width="12.59765625" style="39" customWidth="1"/>
    <col min="10254" max="10254" width="45.19921875" style="39" bestFit="1" customWidth="1"/>
    <col min="10255" max="10255" width="7.19921875" style="39" customWidth="1"/>
    <col min="10256" max="10256" width="11.09765625" style="39" customWidth="1"/>
    <col min="10257" max="10257" width="6.5" style="39" customWidth="1"/>
    <col min="10258" max="10258" width="46.59765625" style="39" customWidth="1"/>
    <col min="10259" max="10259" width="9.09765625" style="39" bestFit="1" customWidth="1"/>
    <col min="10260" max="10260" width="8.19921875" style="39" bestFit="1" customWidth="1"/>
    <col min="10261" max="10261" width="10.3984375" style="39" customWidth="1"/>
    <col min="10262" max="10262" width="0" style="39" hidden="1" customWidth="1"/>
    <col min="10263" max="10263" width="10" style="39" customWidth="1"/>
    <col min="10264" max="10264" width="6.09765625" style="39" customWidth="1"/>
    <col min="10265" max="10499" width="10" style="39" customWidth="1"/>
    <col min="10500" max="10500" width="11.19921875" style="39" customWidth="1"/>
    <col min="10501" max="10506" width="10" style="39" customWidth="1"/>
    <col min="10507" max="10507" width="2.19921875" style="39" customWidth="1"/>
    <col min="10508" max="10508" width="4.8984375" style="39" customWidth="1"/>
    <col min="10509" max="10509" width="12.59765625" style="39" customWidth="1"/>
    <col min="10510" max="10510" width="45.19921875" style="39" bestFit="1" customWidth="1"/>
    <col min="10511" max="10511" width="7.19921875" style="39" customWidth="1"/>
    <col min="10512" max="10512" width="11.09765625" style="39" customWidth="1"/>
    <col min="10513" max="10513" width="6.5" style="39" customWidth="1"/>
    <col min="10514" max="10514" width="46.59765625" style="39" customWidth="1"/>
    <col min="10515" max="10515" width="9.09765625" style="39" bestFit="1" customWidth="1"/>
    <col min="10516" max="10516" width="8.19921875" style="39" bestFit="1" customWidth="1"/>
    <col min="10517" max="10517" width="10.3984375" style="39" customWidth="1"/>
    <col min="10518" max="10518" width="0" style="39" hidden="1" customWidth="1"/>
    <col min="10519" max="10519" width="10" style="39" customWidth="1"/>
    <col min="10520" max="10520" width="6.09765625" style="39" customWidth="1"/>
    <col min="10521" max="10755" width="10" style="39" customWidth="1"/>
    <col min="10756" max="10756" width="11.19921875" style="39" customWidth="1"/>
    <col min="10757" max="10762" width="10" style="39" customWidth="1"/>
    <col min="10763" max="10763" width="2.19921875" style="39" customWidth="1"/>
    <col min="10764" max="10764" width="4.8984375" style="39" customWidth="1"/>
    <col min="10765" max="10765" width="12.59765625" style="39" customWidth="1"/>
    <col min="10766" max="10766" width="45.19921875" style="39" bestFit="1" customWidth="1"/>
    <col min="10767" max="10767" width="7.19921875" style="39" customWidth="1"/>
    <col min="10768" max="10768" width="11.09765625" style="39" customWidth="1"/>
    <col min="10769" max="10769" width="6.5" style="39" customWidth="1"/>
    <col min="10770" max="10770" width="46.59765625" style="39" customWidth="1"/>
    <col min="10771" max="10771" width="9.09765625" style="39" bestFit="1" customWidth="1"/>
    <col min="10772" max="10772" width="8.19921875" style="39" bestFit="1" customWidth="1"/>
    <col min="10773" max="10773" width="10.3984375" style="39" customWidth="1"/>
    <col min="10774" max="10774" width="0" style="39" hidden="1" customWidth="1"/>
    <col min="10775" max="10775" width="10" style="39" customWidth="1"/>
    <col min="10776" max="10776" width="6.09765625" style="39" customWidth="1"/>
    <col min="10777" max="11011" width="10" style="39" customWidth="1"/>
    <col min="11012" max="11012" width="11.19921875" style="39" customWidth="1"/>
    <col min="11013" max="11018" width="10" style="39" customWidth="1"/>
    <col min="11019" max="11019" width="2.19921875" style="39" customWidth="1"/>
    <col min="11020" max="11020" width="4.8984375" style="39" customWidth="1"/>
    <col min="11021" max="11021" width="12.59765625" style="39" customWidth="1"/>
    <col min="11022" max="11022" width="45.19921875" style="39" bestFit="1" customWidth="1"/>
    <col min="11023" max="11023" width="7.19921875" style="39" customWidth="1"/>
    <col min="11024" max="11024" width="11.09765625" style="39" customWidth="1"/>
    <col min="11025" max="11025" width="6.5" style="39" customWidth="1"/>
    <col min="11026" max="11026" width="46.59765625" style="39" customWidth="1"/>
    <col min="11027" max="11027" width="9.09765625" style="39" bestFit="1" customWidth="1"/>
    <col min="11028" max="11028" width="8.19921875" style="39" bestFit="1" customWidth="1"/>
    <col min="11029" max="11029" width="10.3984375" style="39" customWidth="1"/>
    <col min="11030" max="11030" width="0" style="39" hidden="1" customWidth="1"/>
    <col min="11031" max="11031" width="10" style="39" customWidth="1"/>
    <col min="11032" max="11032" width="6.09765625" style="39" customWidth="1"/>
    <col min="11033" max="11267" width="10" style="39" customWidth="1"/>
    <col min="11268" max="11268" width="11.19921875" style="39" customWidth="1"/>
    <col min="11269" max="11274" width="10" style="39" customWidth="1"/>
    <col min="11275" max="11275" width="2.19921875" style="39" customWidth="1"/>
    <col min="11276" max="11276" width="4.8984375" style="39" customWidth="1"/>
    <col min="11277" max="11277" width="12.59765625" style="39" customWidth="1"/>
    <col min="11278" max="11278" width="45.19921875" style="39" bestFit="1" customWidth="1"/>
    <col min="11279" max="11279" width="7.19921875" style="39" customWidth="1"/>
    <col min="11280" max="11280" width="11.09765625" style="39" customWidth="1"/>
    <col min="11281" max="11281" width="6.5" style="39" customWidth="1"/>
    <col min="11282" max="11282" width="46.59765625" style="39" customWidth="1"/>
    <col min="11283" max="11283" width="9.09765625" style="39" bestFit="1" customWidth="1"/>
    <col min="11284" max="11284" width="8.19921875" style="39" bestFit="1" customWidth="1"/>
    <col min="11285" max="11285" width="10.3984375" style="39" customWidth="1"/>
    <col min="11286" max="11286" width="0" style="39" hidden="1" customWidth="1"/>
    <col min="11287" max="11287" width="10" style="39" customWidth="1"/>
    <col min="11288" max="11288" width="6.09765625" style="39" customWidth="1"/>
    <col min="11289" max="11523" width="10" style="39" customWidth="1"/>
    <col min="11524" max="11524" width="11.19921875" style="39" customWidth="1"/>
    <col min="11525" max="11530" width="10" style="39" customWidth="1"/>
    <col min="11531" max="11531" width="2.19921875" style="39" customWidth="1"/>
    <col min="11532" max="11532" width="4.8984375" style="39" customWidth="1"/>
    <col min="11533" max="11533" width="12.59765625" style="39" customWidth="1"/>
    <col min="11534" max="11534" width="45.19921875" style="39" bestFit="1" customWidth="1"/>
    <col min="11535" max="11535" width="7.19921875" style="39" customWidth="1"/>
    <col min="11536" max="11536" width="11.09765625" style="39" customWidth="1"/>
    <col min="11537" max="11537" width="6.5" style="39" customWidth="1"/>
    <col min="11538" max="11538" width="46.59765625" style="39" customWidth="1"/>
    <col min="11539" max="11539" width="9.09765625" style="39" bestFit="1" customWidth="1"/>
    <col min="11540" max="11540" width="8.19921875" style="39" bestFit="1" customWidth="1"/>
    <col min="11541" max="11541" width="10.3984375" style="39" customWidth="1"/>
    <col min="11542" max="11542" width="0" style="39" hidden="1" customWidth="1"/>
    <col min="11543" max="11543" width="10" style="39" customWidth="1"/>
    <col min="11544" max="11544" width="6.09765625" style="39" customWidth="1"/>
    <col min="11545" max="11779" width="10" style="39" customWidth="1"/>
    <col min="11780" max="11780" width="11.19921875" style="39" customWidth="1"/>
    <col min="11781" max="11786" width="10" style="39" customWidth="1"/>
    <col min="11787" max="11787" width="2.19921875" style="39" customWidth="1"/>
    <col min="11788" max="11788" width="4.8984375" style="39" customWidth="1"/>
    <col min="11789" max="11789" width="12.59765625" style="39" customWidth="1"/>
    <col min="11790" max="11790" width="45.19921875" style="39" bestFit="1" customWidth="1"/>
    <col min="11791" max="11791" width="7.19921875" style="39" customWidth="1"/>
    <col min="11792" max="11792" width="11.09765625" style="39" customWidth="1"/>
    <col min="11793" max="11793" width="6.5" style="39" customWidth="1"/>
    <col min="11794" max="11794" width="46.59765625" style="39" customWidth="1"/>
    <col min="11795" max="11795" width="9.09765625" style="39" bestFit="1" customWidth="1"/>
    <col min="11796" max="11796" width="8.19921875" style="39" bestFit="1" customWidth="1"/>
    <col min="11797" max="11797" width="10.3984375" style="39" customWidth="1"/>
    <col min="11798" max="11798" width="0" style="39" hidden="1" customWidth="1"/>
    <col min="11799" max="11799" width="10" style="39" customWidth="1"/>
    <col min="11800" max="11800" width="6.09765625" style="39" customWidth="1"/>
    <col min="11801" max="12035" width="10" style="39" customWidth="1"/>
    <col min="12036" max="12036" width="11.19921875" style="39" customWidth="1"/>
    <col min="12037" max="12042" width="10" style="39" customWidth="1"/>
    <col min="12043" max="12043" width="2.19921875" style="39" customWidth="1"/>
    <col min="12044" max="12044" width="4.8984375" style="39" customWidth="1"/>
    <col min="12045" max="12045" width="12.59765625" style="39" customWidth="1"/>
    <col min="12046" max="12046" width="45.19921875" style="39" bestFit="1" customWidth="1"/>
    <col min="12047" max="12047" width="7.19921875" style="39" customWidth="1"/>
    <col min="12048" max="12048" width="11.09765625" style="39" customWidth="1"/>
    <col min="12049" max="12049" width="6.5" style="39" customWidth="1"/>
    <col min="12050" max="12050" width="46.59765625" style="39" customWidth="1"/>
    <col min="12051" max="12051" width="9.09765625" style="39" bestFit="1" customWidth="1"/>
    <col min="12052" max="12052" width="8.19921875" style="39" bestFit="1" customWidth="1"/>
    <col min="12053" max="12053" width="10.3984375" style="39" customWidth="1"/>
    <col min="12054" max="12054" width="0" style="39" hidden="1" customWidth="1"/>
    <col min="12055" max="12055" width="10" style="39" customWidth="1"/>
    <col min="12056" max="12056" width="6.09765625" style="39" customWidth="1"/>
    <col min="12057" max="12291" width="10" style="39" customWidth="1"/>
    <col min="12292" max="12292" width="11.19921875" style="39" customWidth="1"/>
    <col min="12293" max="12298" width="10" style="39" customWidth="1"/>
    <col min="12299" max="12299" width="2.19921875" style="39" customWidth="1"/>
    <col min="12300" max="12300" width="4.8984375" style="39" customWidth="1"/>
    <col min="12301" max="12301" width="12.59765625" style="39" customWidth="1"/>
    <col min="12302" max="12302" width="45.19921875" style="39" bestFit="1" customWidth="1"/>
    <col min="12303" max="12303" width="7.19921875" style="39" customWidth="1"/>
    <col min="12304" max="12304" width="11.09765625" style="39" customWidth="1"/>
    <col min="12305" max="12305" width="6.5" style="39" customWidth="1"/>
    <col min="12306" max="12306" width="46.59765625" style="39" customWidth="1"/>
    <col min="12307" max="12307" width="9.09765625" style="39" bestFit="1" customWidth="1"/>
    <col min="12308" max="12308" width="8.19921875" style="39" bestFit="1" customWidth="1"/>
    <col min="12309" max="12309" width="10.3984375" style="39" customWidth="1"/>
    <col min="12310" max="12310" width="0" style="39" hidden="1" customWidth="1"/>
    <col min="12311" max="12311" width="10" style="39" customWidth="1"/>
    <col min="12312" max="12312" width="6.09765625" style="39" customWidth="1"/>
    <col min="12313" max="12547" width="10" style="39" customWidth="1"/>
    <col min="12548" max="12548" width="11.19921875" style="39" customWidth="1"/>
    <col min="12549" max="12554" width="10" style="39" customWidth="1"/>
    <col min="12555" max="12555" width="2.19921875" style="39" customWidth="1"/>
    <col min="12556" max="12556" width="4.8984375" style="39" customWidth="1"/>
    <col min="12557" max="12557" width="12.59765625" style="39" customWidth="1"/>
    <col min="12558" max="12558" width="45.19921875" style="39" bestFit="1" customWidth="1"/>
    <col min="12559" max="12559" width="7.19921875" style="39" customWidth="1"/>
    <col min="12560" max="12560" width="11.09765625" style="39" customWidth="1"/>
    <col min="12561" max="12561" width="6.5" style="39" customWidth="1"/>
    <col min="12562" max="12562" width="46.59765625" style="39" customWidth="1"/>
    <col min="12563" max="12563" width="9.09765625" style="39" bestFit="1" customWidth="1"/>
    <col min="12564" max="12564" width="8.19921875" style="39" bestFit="1" customWidth="1"/>
    <col min="12565" max="12565" width="10.3984375" style="39" customWidth="1"/>
    <col min="12566" max="12566" width="0" style="39" hidden="1" customWidth="1"/>
    <col min="12567" max="12567" width="10" style="39" customWidth="1"/>
    <col min="12568" max="12568" width="6.09765625" style="39" customWidth="1"/>
    <col min="12569" max="12803" width="10" style="39" customWidth="1"/>
    <col min="12804" max="12804" width="11.19921875" style="39" customWidth="1"/>
    <col min="12805" max="12810" width="10" style="39" customWidth="1"/>
    <col min="12811" max="12811" width="2.19921875" style="39" customWidth="1"/>
    <col min="12812" max="12812" width="4.8984375" style="39" customWidth="1"/>
    <col min="12813" max="12813" width="12.59765625" style="39" customWidth="1"/>
    <col min="12814" max="12814" width="45.19921875" style="39" bestFit="1" customWidth="1"/>
    <col min="12815" max="12815" width="7.19921875" style="39" customWidth="1"/>
    <col min="12816" max="12816" width="11.09765625" style="39" customWidth="1"/>
    <col min="12817" max="12817" width="6.5" style="39" customWidth="1"/>
    <col min="12818" max="12818" width="46.59765625" style="39" customWidth="1"/>
    <col min="12819" max="12819" width="9.09765625" style="39" bestFit="1" customWidth="1"/>
    <col min="12820" max="12820" width="8.19921875" style="39" bestFit="1" customWidth="1"/>
    <col min="12821" max="12821" width="10.3984375" style="39" customWidth="1"/>
    <col min="12822" max="12822" width="0" style="39" hidden="1" customWidth="1"/>
    <col min="12823" max="12823" width="10" style="39" customWidth="1"/>
    <col min="12824" max="12824" width="6.09765625" style="39" customWidth="1"/>
    <col min="12825" max="13059" width="10" style="39" customWidth="1"/>
    <col min="13060" max="13060" width="11.19921875" style="39" customWidth="1"/>
    <col min="13061" max="13066" width="10" style="39" customWidth="1"/>
    <col min="13067" max="13067" width="2.19921875" style="39" customWidth="1"/>
    <col min="13068" max="13068" width="4.8984375" style="39" customWidth="1"/>
    <col min="13069" max="13069" width="12.59765625" style="39" customWidth="1"/>
    <col min="13070" max="13070" width="45.19921875" style="39" bestFit="1" customWidth="1"/>
    <col min="13071" max="13071" width="7.19921875" style="39" customWidth="1"/>
    <col min="13072" max="13072" width="11.09765625" style="39" customWidth="1"/>
    <col min="13073" max="13073" width="6.5" style="39" customWidth="1"/>
    <col min="13074" max="13074" width="46.59765625" style="39" customWidth="1"/>
    <col min="13075" max="13075" width="9.09765625" style="39" bestFit="1" customWidth="1"/>
    <col min="13076" max="13076" width="8.19921875" style="39" bestFit="1" customWidth="1"/>
    <col min="13077" max="13077" width="10.3984375" style="39" customWidth="1"/>
    <col min="13078" max="13078" width="0" style="39" hidden="1" customWidth="1"/>
    <col min="13079" max="13079" width="10" style="39" customWidth="1"/>
    <col min="13080" max="13080" width="6.09765625" style="39" customWidth="1"/>
    <col min="13081" max="13315" width="10" style="39" customWidth="1"/>
    <col min="13316" max="13316" width="11.19921875" style="39" customWidth="1"/>
    <col min="13317" max="13322" width="10" style="39" customWidth="1"/>
    <col min="13323" max="13323" width="2.19921875" style="39" customWidth="1"/>
    <col min="13324" max="13324" width="4.8984375" style="39" customWidth="1"/>
    <col min="13325" max="13325" width="12.59765625" style="39" customWidth="1"/>
    <col min="13326" max="13326" width="45.19921875" style="39" bestFit="1" customWidth="1"/>
    <col min="13327" max="13327" width="7.19921875" style="39" customWidth="1"/>
    <col min="13328" max="13328" width="11.09765625" style="39" customWidth="1"/>
    <col min="13329" max="13329" width="6.5" style="39" customWidth="1"/>
    <col min="13330" max="13330" width="46.59765625" style="39" customWidth="1"/>
    <col min="13331" max="13331" width="9.09765625" style="39" bestFit="1" customWidth="1"/>
    <col min="13332" max="13332" width="8.19921875" style="39" bestFit="1" customWidth="1"/>
    <col min="13333" max="13333" width="10.3984375" style="39" customWidth="1"/>
    <col min="13334" max="13334" width="0" style="39" hidden="1" customWidth="1"/>
    <col min="13335" max="13335" width="10" style="39" customWidth="1"/>
    <col min="13336" max="13336" width="6.09765625" style="39" customWidth="1"/>
    <col min="13337" max="13571" width="10" style="39" customWidth="1"/>
    <col min="13572" max="13572" width="11.19921875" style="39" customWidth="1"/>
    <col min="13573" max="13578" width="10" style="39" customWidth="1"/>
    <col min="13579" max="13579" width="2.19921875" style="39" customWidth="1"/>
    <col min="13580" max="13580" width="4.8984375" style="39" customWidth="1"/>
    <col min="13581" max="13581" width="12.59765625" style="39" customWidth="1"/>
    <col min="13582" max="13582" width="45.19921875" style="39" bestFit="1" customWidth="1"/>
    <col min="13583" max="13583" width="7.19921875" style="39" customWidth="1"/>
    <col min="13584" max="13584" width="11.09765625" style="39" customWidth="1"/>
    <col min="13585" max="13585" width="6.5" style="39" customWidth="1"/>
    <col min="13586" max="13586" width="46.59765625" style="39" customWidth="1"/>
    <col min="13587" max="13587" width="9.09765625" style="39" bestFit="1" customWidth="1"/>
    <col min="13588" max="13588" width="8.19921875" style="39" bestFit="1" customWidth="1"/>
    <col min="13589" max="13589" width="10.3984375" style="39" customWidth="1"/>
    <col min="13590" max="13590" width="0" style="39" hidden="1" customWidth="1"/>
    <col min="13591" max="13591" width="10" style="39" customWidth="1"/>
    <col min="13592" max="13592" width="6.09765625" style="39" customWidth="1"/>
    <col min="13593" max="13827" width="10" style="39" customWidth="1"/>
    <col min="13828" max="13828" width="11.19921875" style="39" customWidth="1"/>
    <col min="13829" max="13834" width="10" style="39" customWidth="1"/>
    <col min="13835" max="13835" width="2.19921875" style="39" customWidth="1"/>
    <col min="13836" max="13836" width="4.8984375" style="39" customWidth="1"/>
    <col min="13837" max="13837" width="12.59765625" style="39" customWidth="1"/>
    <col min="13838" max="13838" width="45.19921875" style="39" bestFit="1" customWidth="1"/>
    <col min="13839" max="13839" width="7.19921875" style="39" customWidth="1"/>
    <col min="13840" max="13840" width="11.09765625" style="39" customWidth="1"/>
    <col min="13841" max="13841" width="6.5" style="39" customWidth="1"/>
    <col min="13842" max="13842" width="46.59765625" style="39" customWidth="1"/>
    <col min="13843" max="13843" width="9.09765625" style="39" bestFit="1" customWidth="1"/>
    <col min="13844" max="13844" width="8.19921875" style="39" bestFit="1" customWidth="1"/>
    <col min="13845" max="13845" width="10.3984375" style="39" customWidth="1"/>
    <col min="13846" max="13846" width="0" style="39" hidden="1" customWidth="1"/>
    <col min="13847" max="13847" width="10" style="39" customWidth="1"/>
    <col min="13848" max="13848" width="6.09765625" style="39" customWidth="1"/>
    <col min="13849" max="14083" width="10" style="39" customWidth="1"/>
    <col min="14084" max="14084" width="11.19921875" style="39" customWidth="1"/>
    <col min="14085" max="14090" width="10" style="39" customWidth="1"/>
    <col min="14091" max="14091" width="2.19921875" style="39" customWidth="1"/>
    <col min="14092" max="14092" width="4.8984375" style="39" customWidth="1"/>
    <col min="14093" max="14093" width="12.59765625" style="39" customWidth="1"/>
    <col min="14094" max="14094" width="45.19921875" style="39" bestFit="1" customWidth="1"/>
    <col min="14095" max="14095" width="7.19921875" style="39" customWidth="1"/>
    <col min="14096" max="14096" width="11.09765625" style="39" customWidth="1"/>
    <col min="14097" max="14097" width="6.5" style="39" customWidth="1"/>
    <col min="14098" max="14098" width="46.59765625" style="39" customWidth="1"/>
    <col min="14099" max="14099" width="9.09765625" style="39" bestFit="1" customWidth="1"/>
    <col min="14100" max="14100" width="8.19921875" style="39" bestFit="1" customWidth="1"/>
    <col min="14101" max="14101" width="10.3984375" style="39" customWidth="1"/>
    <col min="14102" max="14102" width="0" style="39" hidden="1" customWidth="1"/>
    <col min="14103" max="14103" width="10" style="39" customWidth="1"/>
    <col min="14104" max="14104" width="6.09765625" style="39" customWidth="1"/>
    <col min="14105" max="14339" width="10" style="39" customWidth="1"/>
    <col min="14340" max="14340" width="11.19921875" style="39" customWidth="1"/>
    <col min="14341" max="14346" width="10" style="39" customWidth="1"/>
    <col min="14347" max="14347" width="2.19921875" style="39" customWidth="1"/>
    <col min="14348" max="14348" width="4.8984375" style="39" customWidth="1"/>
    <col min="14349" max="14349" width="12.59765625" style="39" customWidth="1"/>
    <col min="14350" max="14350" width="45.19921875" style="39" bestFit="1" customWidth="1"/>
    <col min="14351" max="14351" width="7.19921875" style="39" customWidth="1"/>
    <col min="14352" max="14352" width="11.09765625" style="39" customWidth="1"/>
    <col min="14353" max="14353" width="6.5" style="39" customWidth="1"/>
    <col min="14354" max="14354" width="46.59765625" style="39" customWidth="1"/>
    <col min="14355" max="14355" width="9.09765625" style="39" bestFit="1" customWidth="1"/>
    <col min="14356" max="14356" width="8.19921875" style="39" bestFit="1" customWidth="1"/>
    <col min="14357" max="14357" width="10.3984375" style="39" customWidth="1"/>
    <col min="14358" max="14358" width="0" style="39" hidden="1" customWidth="1"/>
    <col min="14359" max="14359" width="10" style="39" customWidth="1"/>
    <col min="14360" max="14360" width="6.09765625" style="39" customWidth="1"/>
    <col min="14361" max="14595" width="10" style="39" customWidth="1"/>
    <col min="14596" max="14596" width="11.19921875" style="39" customWidth="1"/>
    <col min="14597" max="14602" width="10" style="39" customWidth="1"/>
    <col min="14603" max="14603" width="2.19921875" style="39" customWidth="1"/>
    <col min="14604" max="14604" width="4.8984375" style="39" customWidth="1"/>
    <col min="14605" max="14605" width="12.59765625" style="39" customWidth="1"/>
    <col min="14606" max="14606" width="45.19921875" style="39" bestFit="1" customWidth="1"/>
    <col min="14607" max="14607" width="7.19921875" style="39" customWidth="1"/>
    <col min="14608" max="14608" width="11.09765625" style="39" customWidth="1"/>
    <col min="14609" max="14609" width="6.5" style="39" customWidth="1"/>
    <col min="14610" max="14610" width="46.59765625" style="39" customWidth="1"/>
    <col min="14611" max="14611" width="9.09765625" style="39" bestFit="1" customWidth="1"/>
    <col min="14612" max="14612" width="8.19921875" style="39" bestFit="1" customWidth="1"/>
    <col min="14613" max="14613" width="10.3984375" style="39" customWidth="1"/>
    <col min="14614" max="14614" width="0" style="39" hidden="1" customWidth="1"/>
    <col min="14615" max="14615" width="10" style="39" customWidth="1"/>
    <col min="14616" max="14616" width="6.09765625" style="39" customWidth="1"/>
    <col min="14617" max="14851" width="10" style="39" customWidth="1"/>
    <col min="14852" max="14852" width="11.19921875" style="39" customWidth="1"/>
    <col min="14853" max="14858" width="10" style="39" customWidth="1"/>
    <col min="14859" max="14859" width="2.19921875" style="39" customWidth="1"/>
    <col min="14860" max="14860" width="4.8984375" style="39" customWidth="1"/>
    <col min="14861" max="14861" width="12.59765625" style="39" customWidth="1"/>
    <col min="14862" max="14862" width="45.19921875" style="39" bestFit="1" customWidth="1"/>
    <col min="14863" max="14863" width="7.19921875" style="39" customWidth="1"/>
    <col min="14864" max="14864" width="11.09765625" style="39" customWidth="1"/>
    <col min="14865" max="14865" width="6.5" style="39" customWidth="1"/>
    <col min="14866" max="14866" width="46.59765625" style="39" customWidth="1"/>
    <col min="14867" max="14867" width="9.09765625" style="39" bestFit="1" customWidth="1"/>
    <col min="14868" max="14868" width="8.19921875" style="39" bestFit="1" customWidth="1"/>
    <col min="14869" max="14869" width="10.3984375" style="39" customWidth="1"/>
    <col min="14870" max="14870" width="0" style="39" hidden="1" customWidth="1"/>
    <col min="14871" max="14871" width="10" style="39" customWidth="1"/>
    <col min="14872" max="14872" width="6.09765625" style="39" customWidth="1"/>
    <col min="14873" max="15107" width="10" style="39" customWidth="1"/>
    <col min="15108" max="15108" width="11.19921875" style="39" customWidth="1"/>
    <col min="15109" max="15114" width="10" style="39" customWidth="1"/>
    <col min="15115" max="15115" width="2.19921875" style="39" customWidth="1"/>
    <col min="15116" max="15116" width="4.8984375" style="39" customWidth="1"/>
    <col min="15117" max="15117" width="12.59765625" style="39" customWidth="1"/>
    <col min="15118" max="15118" width="45.19921875" style="39" bestFit="1" customWidth="1"/>
    <col min="15119" max="15119" width="7.19921875" style="39" customWidth="1"/>
    <col min="15120" max="15120" width="11.09765625" style="39" customWidth="1"/>
    <col min="15121" max="15121" width="6.5" style="39" customWidth="1"/>
    <col min="15122" max="15122" width="46.59765625" style="39" customWidth="1"/>
    <col min="15123" max="15123" width="9.09765625" style="39" bestFit="1" customWidth="1"/>
    <col min="15124" max="15124" width="8.19921875" style="39" bestFit="1" customWidth="1"/>
    <col min="15125" max="15125" width="10.3984375" style="39" customWidth="1"/>
    <col min="15126" max="15126" width="0" style="39" hidden="1" customWidth="1"/>
    <col min="15127" max="15127" width="10" style="39" customWidth="1"/>
    <col min="15128" max="15128" width="6.09765625" style="39" customWidth="1"/>
    <col min="15129" max="15363" width="10" style="39" customWidth="1"/>
    <col min="15364" max="15364" width="11.19921875" style="39" customWidth="1"/>
    <col min="15365" max="15370" width="10" style="39" customWidth="1"/>
    <col min="15371" max="15371" width="2.19921875" style="39" customWidth="1"/>
    <col min="15372" max="15372" width="4.8984375" style="39" customWidth="1"/>
    <col min="15373" max="15373" width="12.59765625" style="39" customWidth="1"/>
    <col min="15374" max="15374" width="45.19921875" style="39" bestFit="1" customWidth="1"/>
    <col min="15375" max="15375" width="7.19921875" style="39" customWidth="1"/>
    <col min="15376" max="15376" width="11.09765625" style="39" customWidth="1"/>
    <col min="15377" max="15377" width="6.5" style="39" customWidth="1"/>
    <col min="15378" max="15378" width="46.59765625" style="39" customWidth="1"/>
    <col min="15379" max="15379" width="9.09765625" style="39" bestFit="1" customWidth="1"/>
    <col min="15380" max="15380" width="8.19921875" style="39" bestFit="1" customWidth="1"/>
    <col min="15381" max="15381" width="10.3984375" style="39" customWidth="1"/>
    <col min="15382" max="15382" width="0" style="39" hidden="1" customWidth="1"/>
    <col min="15383" max="15383" width="10" style="39" customWidth="1"/>
    <col min="15384" max="15384" width="6.09765625" style="39" customWidth="1"/>
    <col min="15385" max="15619" width="10" style="39" customWidth="1"/>
    <col min="15620" max="15620" width="11.19921875" style="39" customWidth="1"/>
    <col min="15621" max="15626" width="10" style="39" customWidth="1"/>
    <col min="15627" max="15627" width="2.19921875" style="39" customWidth="1"/>
    <col min="15628" max="15628" width="4.8984375" style="39" customWidth="1"/>
    <col min="15629" max="15629" width="12.59765625" style="39" customWidth="1"/>
    <col min="15630" max="15630" width="45.19921875" style="39" bestFit="1" customWidth="1"/>
    <col min="15631" max="15631" width="7.19921875" style="39" customWidth="1"/>
    <col min="15632" max="15632" width="11.09765625" style="39" customWidth="1"/>
    <col min="15633" max="15633" width="6.5" style="39" customWidth="1"/>
    <col min="15634" max="15634" width="46.59765625" style="39" customWidth="1"/>
    <col min="15635" max="15635" width="9.09765625" style="39" bestFit="1" customWidth="1"/>
    <col min="15636" max="15636" width="8.19921875" style="39" bestFit="1" customWidth="1"/>
    <col min="15637" max="15637" width="10.3984375" style="39" customWidth="1"/>
    <col min="15638" max="15638" width="0" style="39" hidden="1" customWidth="1"/>
    <col min="15639" max="15639" width="10" style="39" customWidth="1"/>
    <col min="15640" max="15640" width="6.09765625" style="39" customWidth="1"/>
    <col min="15641" max="15875" width="10" style="39" customWidth="1"/>
    <col min="15876" max="15876" width="11.19921875" style="39" customWidth="1"/>
    <col min="15877" max="15882" width="10" style="39" customWidth="1"/>
    <col min="15883" max="15883" width="2.19921875" style="39" customWidth="1"/>
    <col min="15884" max="15884" width="4.8984375" style="39" customWidth="1"/>
    <col min="15885" max="15885" width="12.59765625" style="39" customWidth="1"/>
    <col min="15886" max="15886" width="45.19921875" style="39" bestFit="1" customWidth="1"/>
    <col min="15887" max="15887" width="7.19921875" style="39" customWidth="1"/>
    <col min="15888" max="15888" width="11.09765625" style="39" customWidth="1"/>
    <col min="15889" max="15889" width="6.5" style="39" customWidth="1"/>
    <col min="15890" max="15890" width="46.59765625" style="39" customWidth="1"/>
    <col min="15891" max="15891" width="9.09765625" style="39" bestFit="1" customWidth="1"/>
    <col min="15892" max="15892" width="8.19921875" style="39" bestFit="1" customWidth="1"/>
    <col min="15893" max="15893" width="10.3984375" style="39" customWidth="1"/>
    <col min="15894" max="15894" width="0" style="39" hidden="1" customWidth="1"/>
    <col min="15895" max="15895" width="10" style="39" customWidth="1"/>
    <col min="15896" max="15896" width="6.09765625" style="39" customWidth="1"/>
    <col min="15897" max="16131" width="10" style="39" customWidth="1"/>
    <col min="16132" max="16132" width="11.19921875" style="39" customWidth="1"/>
    <col min="16133" max="16138" width="10" style="39" customWidth="1"/>
    <col min="16139" max="16139" width="2.19921875" style="39" customWidth="1"/>
    <col min="16140" max="16140" width="4.8984375" style="39" customWidth="1"/>
    <col min="16141" max="16141" width="12.59765625" style="39" customWidth="1"/>
    <col min="16142" max="16142" width="45.19921875" style="39" bestFit="1" customWidth="1"/>
    <col min="16143" max="16143" width="7.19921875" style="39" customWidth="1"/>
    <col min="16144" max="16144" width="11.09765625" style="39" customWidth="1"/>
    <col min="16145" max="16145" width="6.5" style="39" customWidth="1"/>
    <col min="16146" max="16146" width="46.59765625" style="39" customWidth="1"/>
    <col min="16147" max="16147" width="9.09765625" style="39" bestFit="1" customWidth="1"/>
    <col min="16148" max="16148" width="8.19921875" style="39" bestFit="1" customWidth="1"/>
    <col min="16149" max="16149" width="10.3984375" style="39" customWidth="1"/>
    <col min="16150" max="16150" width="0" style="39" hidden="1" customWidth="1"/>
    <col min="16151" max="16151" width="10" style="39" customWidth="1"/>
    <col min="16152" max="16152" width="6.09765625" style="39" customWidth="1"/>
    <col min="16153" max="16384" width="10" style="39" customWidth="1"/>
  </cols>
  <sheetData>
    <row r="1" spans="1:24">
      <c r="B1" s="344"/>
      <c r="C1" s="345"/>
      <c r="D1" s="345"/>
      <c r="E1" s="345"/>
    </row>
    <row r="2" spans="1:24">
      <c r="B2" s="344"/>
      <c r="C2" s="345"/>
      <c r="D2" s="345"/>
      <c r="E2" s="345"/>
    </row>
    <row r="3" spans="1:24" ht="25.8">
      <c r="B3" s="81"/>
      <c r="C3" s="345"/>
      <c r="D3" s="345"/>
      <c r="I3" s="440" t="s">
        <v>866</v>
      </c>
      <c r="M3" s="392"/>
      <c r="N3" s="392"/>
      <c r="O3" s="392"/>
      <c r="P3" s="392"/>
      <c r="Q3" s="392"/>
      <c r="R3" s="393" t="s">
        <v>848</v>
      </c>
    </row>
    <row r="4" spans="1:24" ht="13.8">
      <c r="B4" s="344"/>
      <c r="C4" s="345"/>
      <c r="D4" s="345"/>
      <c r="E4" s="345"/>
      <c r="M4" s="392"/>
      <c r="N4" s="392"/>
      <c r="O4" s="392"/>
      <c r="P4" s="392"/>
      <c r="Q4" s="392"/>
      <c r="R4" s="392"/>
    </row>
    <row r="5" spans="1:24" ht="18">
      <c r="A5" s="394" t="s">
        <v>783</v>
      </c>
      <c r="B5" s="344"/>
      <c r="C5" s="345"/>
      <c r="D5" s="345"/>
      <c r="E5" s="345"/>
      <c r="M5" s="392"/>
      <c r="N5" s="392"/>
      <c r="O5" s="392"/>
      <c r="P5" s="392"/>
      <c r="Q5" s="392"/>
      <c r="R5" s="395" t="s">
        <v>374</v>
      </c>
    </row>
    <row r="6" spans="1:24" ht="13.8">
      <c r="B6" s="344"/>
      <c r="C6" s="345"/>
      <c r="D6" s="345"/>
      <c r="E6" s="345"/>
      <c r="M6" s="392"/>
      <c r="N6" s="392"/>
      <c r="O6" s="392"/>
      <c r="P6" s="392"/>
      <c r="Q6" s="392"/>
      <c r="R6" s="392"/>
    </row>
    <row r="7" spans="1:24" ht="18">
      <c r="A7" s="398" t="s">
        <v>852</v>
      </c>
      <c r="B7" s="399"/>
      <c r="C7" s="400"/>
      <c r="D7" s="400"/>
      <c r="E7" s="400"/>
      <c r="F7" s="401"/>
      <c r="G7" s="398" t="s">
        <v>853</v>
      </c>
      <c r="H7" s="401"/>
      <c r="I7" s="401"/>
      <c r="J7" s="401"/>
      <c r="K7" s="401"/>
      <c r="L7" s="401"/>
      <c r="M7" s="402"/>
      <c r="N7" s="398" t="s">
        <v>854</v>
      </c>
      <c r="O7" s="402"/>
      <c r="P7" s="402"/>
      <c r="Q7" s="392"/>
      <c r="R7" s="392"/>
    </row>
    <row r="8" spans="1:24" ht="18">
      <c r="A8" s="398" t="s">
        <v>855</v>
      </c>
      <c r="B8" s="403"/>
      <c r="C8" s="404"/>
      <c r="D8" s="404"/>
      <c r="E8" s="405"/>
      <c r="F8" s="406"/>
      <c r="G8" s="398" t="s">
        <v>856</v>
      </c>
      <c r="H8" s="406"/>
      <c r="I8" s="406"/>
      <c r="J8" s="406"/>
      <c r="K8" s="401"/>
      <c r="L8" s="401"/>
      <c r="M8" s="402"/>
      <c r="N8" s="398" t="s">
        <v>857</v>
      </c>
      <c r="O8" s="402"/>
      <c r="P8" s="402"/>
      <c r="Q8" s="392"/>
      <c r="R8" s="392"/>
    </row>
    <row r="9" spans="1:24" ht="37.5" customHeight="1">
      <c r="A9" s="407" t="s">
        <v>858</v>
      </c>
      <c r="M9" s="392"/>
      <c r="N9" s="392"/>
      <c r="O9" s="392"/>
      <c r="P9" s="392"/>
      <c r="Q9" s="392"/>
      <c r="R9" s="392"/>
    </row>
    <row r="10" spans="1:24" ht="15.6" outlineLevel="1">
      <c r="A10" s="349"/>
      <c r="B10" s="350"/>
      <c r="C10" s="350"/>
      <c r="D10" s="350"/>
      <c r="E10" s="350"/>
      <c r="F10" s="350"/>
      <c r="G10" s="350"/>
      <c r="H10" s="350"/>
      <c r="I10" s="350"/>
      <c r="J10" s="350"/>
      <c r="K10" s="350"/>
      <c r="L10" s="351"/>
      <c r="M10" s="408"/>
      <c r="N10" s="409"/>
      <c r="O10" s="409"/>
      <c r="P10" s="409"/>
      <c r="Q10" s="409"/>
      <c r="R10" s="410"/>
    </row>
    <row r="11" spans="1:24" ht="18" outlineLevel="1">
      <c r="A11" s="411"/>
      <c r="B11" s="79"/>
      <c r="C11" s="79"/>
      <c r="D11" s="79"/>
      <c r="E11" s="79"/>
      <c r="F11" s="79"/>
      <c r="G11" s="79"/>
      <c r="H11" s="79"/>
      <c r="I11" s="79"/>
      <c r="J11" s="79"/>
      <c r="K11" s="79"/>
      <c r="L11" s="354"/>
      <c r="M11" s="412"/>
      <c r="N11" s="413" t="s">
        <v>859</v>
      </c>
      <c r="O11" s="413"/>
      <c r="P11" s="413"/>
      <c r="Q11" s="413"/>
      <c r="R11" s="414"/>
      <c r="S11" s="40"/>
      <c r="T11" s="40"/>
      <c r="U11" s="40"/>
    </row>
    <row r="12" spans="1:24" ht="18" outlineLevel="1">
      <c r="A12" s="411"/>
      <c r="B12" s="79"/>
      <c r="C12" s="79"/>
      <c r="D12" s="79"/>
      <c r="E12" s="79"/>
      <c r="F12" s="79"/>
      <c r="G12" s="79"/>
      <c r="H12" s="79"/>
      <c r="I12" s="79"/>
      <c r="J12" s="79"/>
      <c r="K12" s="79"/>
      <c r="L12" s="354"/>
      <c r="M12" s="412"/>
      <c r="N12" s="413"/>
      <c r="O12" s="413"/>
      <c r="P12" s="413"/>
      <c r="Q12" s="413"/>
      <c r="R12" s="414"/>
      <c r="S12" s="42"/>
      <c r="T12" s="42"/>
      <c r="U12" s="40"/>
    </row>
    <row r="13" spans="1:24" ht="18" outlineLevel="1">
      <c r="A13" s="353"/>
      <c r="B13" s="79"/>
      <c r="C13" s="79"/>
      <c r="D13" s="79"/>
      <c r="E13" s="79"/>
      <c r="F13" s="79"/>
      <c r="G13" s="79"/>
      <c r="H13" s="79"/>
      <c r="I13" s="79"/>
      <c r="J13" s="79"/>
      <c r="K13" s="79"/>
      <c r="L13" s="354"/>
      <c r="M13" s="415" t="str">
        <f>Translation!M8</f>
        <v>• Input</v>
      </c>
      <c r="N13" s="416" t="str">
        <f>Translation!N8</f>
        <v>• Safety temperature limiter</v>
      </c>
      <c r="O13" s="417" t="s">
        <v>286</v>
      </c>
      <c r="P13" s="418">
        <v>100</v>
      </c>
      <c r="Q13" s="416" t="s">
        <v>49</v>
      </c>
      <c r="R13" s="419" t="str">
        <f>Translation!R8</f>
        <v>calculation only for TAZ&lt;= 150°C !!!</v>
      </c>
      <c r="S13" s="48"/>
      <c r="T13" s="48"/>
      <c r="U13" s="48"/>
      <c r="V13" s="49"/>
      <c r="W13" s="49"/>
      <c r="X13" s="49"/>
    </row>
    <row r="14" spans="1:24" ht="18" outlineLevel="1">
      <c r="A14" s="353"/>
      <c r="B14" s="79"/>
      <c r="C14" s="79"/>
      <c r="D14" s="79"/>
      <c r="E14" s="79"/>
      <c r="F14" s="79"/>
      <c r="G14" s="79"/>
      <c r="H14" s="79"/>
      <c r="I14" s="79"/>
      <c r="J14" s="79"/>
      <c r="K14" s="79"/>
      <c r="L14" s="354"/>
      <c r="M14" s="420"/>
      <c r="N14" s="416" t="str">
        <f>Translation!N9</f>
        <v>• Maximum system temperature</v>
      </c>
      <c r="O14" s="417" t="s">
        <v>289</v>
      </c>
      <c r="P14" s="418">
        <v>90</v>
      </c>
      <c r="Q14" s="416" t="s">
        <v>49</v>
      </c>
      <c r="R14" s="414"/>
      <c r="S14" s="51"/>
      <c r="T14" s="51"/>
      <c r="U14" s="40"/>
    </row>
    <row r="15" spans="1:24" ht="18" outlineLevel="1">
      <c r="A15" s="353"/>
      <c r="B15" s="79"/>
      <c r="C15" s="79"/>
      <c r="D15" s="79"/>
      <c r="E15" s="79"/>
      <c r="F15" s="79"/>
      <c r="G15" s="79"/>
      <c r="H15" s="79"/>
      <c r="I15" s="355"/>
      <c r="J15" s="79"/>
      <c r="K15" s="79"/>
      <c r="L15" s="354"/>
      <c r="M15" s="412"/>
      <c r="N15" s="421" t="str">
        <f>Translation!N10</f>
        <v>• Power of heat generator</v>
      </c>
      <c r="O15" s="422" t="s">
        <v>291</v>
      </c>
      <c r="P15" s="418">
        <v>1000</v>
      </c>
      <c r="Q15" s="421" t="s">
        <v>212</v>
      </c>
      <c r="R15" s="414"/>
      <c r="S15" s="42"/>
      <c r="T15" s="55"/>
      <c r="U15" s="40"/>
    </row>
    <row r="16" spans="1:24" ht="18" outlineLevel="1">
      <c r="A16" s="353"/>
      <c r="B16" s="79"/>
      <c r="C16" s="79"/>
      <c r="D16" s="79"/>
      <c r="E16" s="79"/>
      <c r="F16" s="79"/>
      <c r="G16" s="79"/>
      <c r="H16" s="79"/>
      <c r="I16" s="355"/>
      <c r="J16" s="79"/>
      <c r="K16" s="79"/>
      <c r="L16" s="354"/>
      <c r="M16" s="412"/>
      <c r="N16" s="421" t="str">
        <f>Translation!N11</f>
        <v>• Static head</v>
      </c>
      <c r="O16" s="423" t="s">
        <v>860</v>
      </c>
      <c r="P16" s="418">
        <v>10</v>
      </c>
      <c r="Q16" s="421" t="s">
        <v>7</v>
      </c>
      <c r="R16" s="414"/>
      <c r="S16" s="42"/>
      <c r="T16" s="55"/>
      <c r="U16" s="40"/>
    </row>
    <row r="17" spans="1:24" ht="18" outlineLevel="1">
      <c r="A17" s="353"/>
      <c r="B17" s="79"/>
      <c r="C17" s="79"/>
      <c r="D17" s="79"/>
      <c r="E17" s="79"/>
      <c r="F17" s="79"/>
      <c r="G17" s="79"/>
      <c r="H17" s="79"/>
      <c r="I17" s="355"/>
      <c r="J17" s="79"/>
      <c r="K17" s="79"/>
      <c r="L17" s="354"/>
      <c r="M17" s="412"/>
      <c r="N17" s="421" t="str">
        <f>Translation!N12</f>
        <v>• Addition of antifreeze</v>
      </c>
      <c r="O17" s="422" t="s">
        <v>295</v>
      </c>
      <c r="P17" s="424">
        <v>0</v>
      </c>
      <c r="Q17" s="421" t="s">
        <v>5</v>
      </c>
      <c r="R17" s="414"/>
      <c r="S17" s="42"/>
      <c r="T17" s="55"/>
      <c r="U17" s="40"/>
    </row>
    <row r="18" spans="1:24" ht="18" outlineLevel="1">
      <c r="A18" s="353"/>
      <c r="B18" s="79"/>
      <c r="C18" s="79"/>
      <c r="D18" s="79"/>
      <c r="E18" s="79"/>
      <c r="F18" s="79"/>
      <c r="G18" s="79"/>
      <c r="H18" s="79"/>
      <c r="I18" s="355"/>
      <c r="J18" s="79"/>
      <c r="K18" s="79"/>
      <c r="L18" s="354"/>
      <c r="M18" s="412"/>
      <c r="N18" s="425"/>
      <c r="O18" s="425"/>
      <c r="P18" s="426"/>
      <c r="Q18" s="425"/>
      <c r="R18" s="414"/>
      <c r="S18" s="42"/>
      <c r="T18" s="55"/>
      <c r="U18" s="40"/>
    </row>
    <row r="19" spans="1:24" ht="18" outlineLevel="1">
      <c r="A19" s="353"/>
      <c r="B19" s="79"/>
      <c r="C19" s="79"/>
      <c r="D19" s="79"/>
      <c r="E19" s="79"/>
      <c r="F19" s="79"/>
      <c r="G19" s="79"/>
      <c r="H19" s="79"/>
      <c r="I19" s="355"/>
      <c r="J19" s="79"/>
      <c r="K19" s="79"/>
      <c r="L19" s="354"/>
      <c r="M19" s="415" t="str">
        <f>Translation!M14</f>
        <v>• Output</v>
      </c>
      <c r="N19" s="416" t="str">
        <f>Translation!N14</f>
        <v>• Evaporation pressure</v>
      </c>
      <c r="O19" s="416" t="s">
        <v>785</v>
      </c>
      <c r="P19" s="427">
        <f>IF(P13&lt;100,0,IF((Data!$B$243*POWER('Selection pman-p0-Q'!$P$17,2)+Data!$C$243*'Selection pman-p0-Q'!$P$17+Data!D243)*POWER('Selection pman-p0-Q'!$P$13,2)+(Data!$E$243*POWER('Selection pman-p0-Q'!$P$17,2)+Data!$F$243*'Selection pman-p0-Q'!$P$17+Data!$G$243)*'Selection pman-p0-Q'!$P$13+(Data!$H$243*POWER('Selection pman-p0-Q'!$P$17,2)+Data!$I$243*'Selection pman-p0-Q'!$P$17+Data!$J$243)-1&lt;0,0,(Data!$B$243*POWER('Selection pman-p0-Q'!$P$17,2)+Data!$C$243*'Selection pman-p0-Q'!$P$17+Data!D243)*POWER('Selection pman-p0-Q'!$P$13,2)+(Data!$E$243*POWER('Selection pman-p0-Q'!$P$17,2)+Data!$F$243*'Selection pman-p0-Q'!$P$17+Data!$G$243)*'Selection pman-p0-Q'!$P$13+(Data!$H$243*POWER('Selection pman-p0-Q'!$P$17,2)+Data!$I$243*'Selection pman-p0-Q'!$P$17+Data!$J$243)-1))</f>
        <v>2.8400000000000425E-2</v>
      </c>
      <c r="Q19" s="416" t="s">
        <v>3</v>
      </c>
      <c r="R19" s="414"/>
      <c r="S19" s="40"/>
      <c r="T19" s="40"/>
      <c r="U19" s="40"/>
    </row>
    <row r="20" spans="1:24" ht="18" outlineLevel="1">
      <c r="A20" s="353"/>
      <c r="B20" s="79"/>
      <c r="C20" s="79"/>
      <c r="D20" s="79"/>
      <c r="E20" s="79"/>
      <c r="F20" s="79"/>
      <c r="G20" s="79"/>
      <c r="H20" s="79"/>
      <c r="I20" s="355"/>
      <c r="J20" s="79"/>
      <c r="K20" s="79"/>
      <c r="L20" s="354"/>
      <c r="M20" s="420"/>
      <c r="N20" s="421" t="str">
        <f>Translation!N15</f>
        <v>• Minimal pressure, BrainCube calculation</v>
      </c>
      <c r="O20" s="421" t="s">
        <v>127</v>
      </c>
      <c r="P20" s="428">
        <f>P16/10+0.3+P19</f>
        <v>1.3284000000000005</v>
      </c>
      <c r="Q20" s="421" t="s">
        <v>3</v>
      </c>
      <c r="R20" s="429" t="str">
        <f>Translation!R15</f>
        <v>BrainCube calculation, display in Info-Menu</v>
      </c>
      <c r="S20" s="48"/>
      <c r="T20" s="48"/>
      <c r="U20" s="48"/>
      <c r="V20" s="49"/>
      <c r="W20" s="49"/>
      <c r="X20" s="49"/>
    </row>
    <row r="21" spans="1:24" ht="18" outlineLevel="1">
      <c r="A21" s="353"/>
      <c r="B21" s="79"/>
      <c r="C21" s="79"/>
      <c r="D21" s="79"/>
      <c r="E21" s="79"/>
      <c r="F21" s="79"/>
      <c r="G21" s="79"/>
      <c r="H21" s="79"/>
      <c r="I21" s="355"/>
      <c r="J21" s="79"/>
      <c r="K21" s="79"/>
      <c r="L21" s="354"/>
      <c r="M21" s="412"/>
      <c r="N21" s="421" t="str">
        <f>Translation!N16</f>
        <v>• Preset pressure, pump on</v>
      </c>
      <c r="O21" s="421" t="s">
        <v>157</v>
      </c>
      <c r="P21" s="430">
        <f>P22-0.2</f>
        <v>1.6284000000000005</v>
      </c>
      <c r="Q21" s="421" t="s">
        <v>3</v>
      </c>
      <c r="R21" s="431" t="str">
        <f>Translation!R16</f>
        <v>BrainCube calculation</v>
      </c>
      <c r="S21" s="65"/>
      <c r="T21" s="58"/>
      <c r="U21" s="58"/>
      <c r="V21" s="66"/>
      <c r="W21" s="66"/>
      <c r="X21" s="116"/>
    </row>
    <row r="22" spans="1:24" ht="18" outlineLevel="1">
      <c r="A22" s="353"/>
      <c r="B22" s="79"/>
      <c r="C22" s="79"/>
      <c r="D22" s="79"/>
      <c r="E22" s="79"/>
      <c r="F22" s="79"/>
      <c r="G22" s="79"/>
      <c r="H22" s="79"/>
      <c r="I22" s="355"/>
      <c r="J22" s="79"/>
      <c r="K22" s="79"/>
      <c r="L22" s="354"/>
      <c r="M22" s="412"/>
      <c r="N22" s="421" t="str">
        <f>Translation!N17</f>
        <v>• Pump off, relief valve closed</v>
      </c>
      <c r="O22" s="432" t="s">
        <v>786</v>
      </c>
      <c r="P22" s="433">
        <f>P20+0.5</f>
        <v>1.8284000000000005</v>
      </c>
      <c r="Q22" s="421" t="s">
        <v>3</v>
      </c>
      <c r="R22" s="431"/>
      <c r="S22" s="52"/>
      <c r="T22" s="58"/>
      <c r="U22" s="58"/>
      <c r="V22" s="70"/>
      <c r="W22" s="70"/>
      <c r="X22" s="116"/>
    </row>
    <row r="23" spans="1:24" ht="18" outlineLevel="1">
      <c r="A23" s="353"/>
      <c r="B23" s="79"/>
      <c r="C23" s="79"/>
      <c r="D23" s="79"/>
      <c r="E23" s="79"/>
      <c r="F23" s="79"/>
      <c r="G23" s="79"/>
      <c r="H23" s="79"/>
      <c r="I23" s="355"/>
      <c r="J23" s="79"/>
      <c r="K23" s="79"/>
      <c r="L23" s="354"/>
      <c r="M23" s="412"/>
      <c r="N23" s="421" t="str">
        <f>Translation!N18</f>
        <v>• End pressure, relief valve open</v>
      </c>
      <c r="O23" s="434" t="s">
        <v>307</v>
      </c>
      <c r="P23" s="435">
        <f>P22+0.2</f>
        <v>2.0284000000000004</v>
      </c>
      <c r="Q23" s="434"/>
      <c r="R23" s="431" t="str">
        <f>Translation!R18</f>
        <v>BrainCube calculation</v>
      </c>
      <c r="S23" s="58"/>
      <c r="T23" s="58"/>
      <c r="U23" s="58"/>
      <c r="V23" s="66"/>
      <c r="W23" s="66"/>
      <c r="X23" s="116"/>
    </row>
    <row r="24" spans="1:24" ht="20.399999999999999" outlineLevel="1">
      <c r="A24" s="353"/>
      <c r="B24" s="79"/>
      <c r="C24" s="79"/>
      <c r="D24" s="79"/>
      <c r="E24" s="79"/>
      <c r="F24" s="79"/>
      <c r="G24" s="79"/>
      <c r="H24" s="79"/>
      <c r="I24" s="355"/>
      <c r="J24" s="79"/>
      <c r="K24" s="79"/>
      <c r="L24" s="354"/>
      <c r="M24" s="412"/>
      <c r="N24" s="421" t="str">
        <f>Translation!N19</f>
        <v>• Specific flowrate of equalization volume</v>
      </c>
      <c r="O24" s="421" t="s">
        <v>861</v>
      </c>
      <c r="P24" s="436">
        <f>IF(0.0058*P14+ 0.094&lt;0.384,0.384,0.0058*P14+ 0.094)</f>
        <v>0.61599999999999999</v>
      </c>
      <c r="Q24" s="421" t="s">
        <v>310</v>
      </c>
      <c r="R24" s="414"/>
      <c r="S24" s="42"/>
      <c r="T24" s="42"/>
      <c r="U24" s="42"/>
      <c r="V24" s="79"/>
    </row>
    <row r="25" spans="1:24" ht="18" outlineLevel="1">
      <c r="A25" s="353"/>
      <c r="B25" s="79"/>
      <c r="C25" s="79"/>
      <c r="D25" s="79"/>
      <c r="E25" s="79"/>
      <c r="F25" s="79"/>
      <c r="G25" s="79"/>
      <c r="H25" s="79"/>
      <c r="I25" s="355"/>
      <c r="J25" s="79"/>
      <c r="K25" s="79"/>
      <c r="L25" s="354"/>
      <c r="M25" s="437"/>
      <c r="N25" s="421" t="str">
        <f>Translation!N20</f>
        <v>• Necessary flowrate of equalization volume</v>
      </c>
      <c r="O25" s="432" t="s">
        <v>787</v>
      </c>
      <c r="P25" s="438">
        <f>P24*P15</f>
        <v>616</v>
      </c>
      <c r="Q25" s="421" t="s">
        <v>313</v>
      </c>
      <c r="R25" s="439"/>
      <c r="S25" s="59"/>
      <c r="T25" s="59"/>
      <c r="U25" s="59"/>
      <c r="V25" s="79"/>
    </row>
    <row r="26" spans="1:24" ht="17.399999999999999" outlineLevel="1">
      <c r="A26" s="360"/>
      <c r="B26" s="361"/>
      <c r="C26" s="361"/>
      <c r="D26" s="361"/>
      <c r="E26" s="361"/>
      <c r="F26" s="361"/>
      <c r="G26" s="361"/>
      <c r="H26" s="361"/>
      <c r="I26" s="361"/>
      <c r="J26" s="361"/>
      <c r="K26" s="361"/>
      <c r="L26" s="362"/>
      <c r="M26" s="363"/>
      <c r="N26" s="364"/>
      <c r="O26" s="364"/>
      <c r="P26" s="365"/>
      <c r="Q26" s="364"/>
      <c r="R26" s="366"/>
      <c r="S26" s="59"/>
      <c r="T26" s="59"/>
      <c r="U26" s="59"/>
      <c r="V26" s="79"/>
    </row>
    <row r="28" spans="1:24" ht="25.8">
      <c r="A28" s="407" t="s">
        <v>862</v>
      </c>
    </row>
    <row r="29" spans="1:24" outlineLevel="1"/>
    <row r="30" spans="1:24" outlineLevel="1"/>
    <row r="31" spans="1:24" outlineLevel="1"/>
    <row r="32" spans="1:24" outlineLevel="1"/>
    <row r="33" outlineLevel="1"/>
    <row r="34" outlineLevel="1"/>
    <row r="35" outlineLevel="1"/>
    <row r="36" outlineLevel="1"/>
    <row r="37" outlineLevel="1"/>
    <row r="38" outlineLevel="1"/>
    <row r="39" outlineLevel="1"/>
    <row r="40" outlineLevel="1"/>
    <row r="41" outlineLevel="1"/>
    <row r="42" outlineLevel="1"/>
    <row r="43" outlineLevel="1"/>
    <row r="44" outlineLevel="1"/>
    <row r="45" outlineLevel="1"/>
    <row r="46" outlineLevel="1"/>
    <row r="47" outlineLevel="1"/>
    <row r="48" outlineLevel="1"/>
    <row r="49" outlineLevel="1"/>
    <row r="50" outlineLevel="1"/>
    <row r="51" outlineLevel="1"/>
    <row r="52" outlineLevel="1"/>
    <row r="53" outlineLevel="1"/>
    <row r="54" outlineLevel="1"/>
    <row r="55" outlineLevel="1"/>
    <row r="56" outlineLevel="1"/>
    <row r="57" outlineLevel="1"/>
    <row r="58" outlineLevel="1"/>
    <row r="59" outlineLevel="1"/>
    <row r="60" outlineLevel="1"/>
    <row r="61" outlineLevel="1"/>
    <row r="62" outlineLevel="1"/>
    <row r="63" outlineLevel="1"/>
    <row r="64" outlineLevel="1"/>
    <row r="65" outlineLevel="1"/>
    <row r="66" outlineLevel="1"/>
    <row r="67" outlineLevel="1"/>
    <row r="68" outlineLevel="1"/>
    <row r="69" outlineLevel="1"/>
    <row r="70" outlineLevel="1"/>
    <row r="71" outlineLevel="1"/>
    <row r="72" outlineLevel="1"/>
    <row r="73" outlineLevel="1"/>
    <row r="74" outlineLevel="1"/>
    <row r="75" outlineLevel="1"/>
    <row r="76" outlineLevel="1"/>
    <row r="77" outlineLevel="1"/>
    <row r="78" outlineLevel="1"/>
    <row r="79" outlineLevel="1"/>
    <row r="81" spans="1:1" ht="25.8">
      <c r="A81" s="407" t="s">
        <v>863</v>
      </c>
    </row>
    <row r="82" spans="1:1" outlineLevel="1"/>
    <row r="83" spans="1:1" outlineLevel="1"/>
    <row r="84" spans="1:1" outlineLevel="1"/>
    <row r="85" spans="1:1" outlineLevel="1"/>
    <row r="86" spans="1:1" outlineLevel="1"/>
    <row r="87" spans="1:1" outlineLevel="1"/>
    <row r="88" spans="1:1" outlineLevel="1"/>
    <row r="89" spans="1:1" outlineLevel="1"/>
    <row r="90" spans="1:1" outlineLevel="1"/>
    <row r="91" spans="1:1" outlineLevel="1"/>
    <row r="92" spans="1:1" outlineLevel="1"/>
    <row r="93" spans="1:1" outlineLevel="1"/>
    <row r="94" spans="1:1" outlineLevel="1"/>
    <row r="95" spans="1:1" outlineLevel="1"/>
    <row r="96" spans="1:1" outlineLevel="1"/>
    <row r="97" outlineLevel="1"/>
    <row r="98" outlineLevel="1"/>
    <row r="99" outlineLevel="1"/>
    <row r="100" outlineLevel="1"/>
    <row r="101" outlineLevel="1"/>
    <row r="102" outlineLevel="1"/>
    <row r="103" outlineLevel="1"/>
    <row r="104" outlineLevel="1"/>
    <row r="105" outlineLevel="1"/>
    <row r="106" outlineLevel="1"/>
    <row r="107" outlineLevel="1"/>
    <row r="108" outlineLevel="1"/>
    <row r="109" outlineLevel="1"/>
    <row r="110" outlineLevel="1"/>
    <row r="111" outlineLevel="1"/>
    <row r="112" outlineLevel="1"/>
    <row r="113" outlineLevel="1"/>
    <row r="114" outlineLevel="1"/>
    <row r="115" outlineLevel="1"/>
    <row r="116" outlineLevel="1"/>
    <row r="117" outlineLevel="1"/>
    <row r="118" outlineLevel="1"/>
    <row r="119" outlineLevel="1"/>
    <row r="120" outlineLevel="1"/>
    <row r="121" outlineLevel="1"/>
    <row r="122" outlineLevel="1"/>
    <row r="123" outlineLevel="1"/>
    <row r="124" outlineLevel="1"/>
    <row r="125" outlineLevel="1"/>
    <row r="126" outlineLevel="1"/>
    <row r="127" outlineLevel="1"/>
    <row r="128" outlineLevel="1"/>
    <row r="129" spans="1:1" outlineLevel="1"/>
    <row r="130" spans="1:1" outlineLevel="1"/>
    <row r="131" spans="1:1" outlineLevel="1"/>
    <row r="132" spans="1:1" outlineLevel="1"/>
    <row r="133" spans="1:1" outlineLevel="1"/>
    <row r="135" spans="1:1" ht="25.8">
      <c r="A135" s="407" t="s">
        <v>864</v>
      </c>
    </row>
    <row r="136" spans="1:1" outlineLevel="1"/>
    <row r="137" spans="1:1" outlineLevel="1"/>
    <row r="138" spans="1:1" outlineLevel="1"/>
    <row r="139" spans="1:1" outlineLevel="1"/>
    <row r="140" spans="1:1" outlineLevel="1"/>
    <row r="141" spans="1:1" outlineLevel="1"/>
    <row r="142" spans="1:1" outlineLevel="1"/>
    <row r="143" spans="1:1" outlineLevel="1"/>
    <row r="144" spans="1:1" outlineLevel="1"/>
    <row r="145" outlineLevel="1"/>
    <row r="146" outlineLevel="1"/>
    <row r="147" outlineLevel="1"/>
    <row r="148" outlineLevel="1"/>
    <row r="149" outlineLevel="1"/>
    <row r="150" outlineLevel="1"/>
    <row r="151" outlineLevel="1"/>
    <row r="152" outlineLevel="1"/>
    <row r="153" outlineLevel="1"/>
    <row r="154" outlineLevel="1"/>
    <row r="155" outlineLevel="1"/>
    <row r="156" outlineLevel="1"/>
    <row r="157" outlineLevel="1"/>
    <row r="158" outlineLevel="1"/>
    <row r="159" outlineLevel="1"/>
    <row r="160" outlineLevel="1"/>
    <row r="161" outlineLevel="1"/>
    <row r="162" outlineLevel="1"/>
    <row r="163" outlineLevel="1"/>
    <row r="164" outlineLevel="1"/>
    <row r="165" outlineLevel="1"/>
    <row r="166" outlineLevel="1"/>
    <row r="167" outlineLevel="1"/>
    <row r="168" outlineLevel="1"/>
    <row r="169" outlineLevel="1"/>
    <row r="170" outlineLevel="1"/>
    <row r="171" outlineLevel="1"/>
    <row r="172" outlineLevel="1"/>
    <row r="173" outlineLevel="1"/>
    <row r="174" outlineLevel="1"/>
    <row r="175" outlineLevel="1"/>
    <row r="176" outlineLevel="1"/>
    <row r="177" spans="1:1" outlineLevel="1"/>
    <row r="178" spans="1:1" outlineLevel="1"/>
    <row r="179" spans="1:1" outlineLevel="1"/>
    <row r="180" spans="1:1" outlineLevel="1"/>
    <row r="181" spans="1:1" outlineLevel="1"/>
    <row r="182" spans="1:1" outlineLevel="1"/>
    <row r="183" spans="1:1" outlineLevel="1"/>
    <row r="184" spans="1:1" outlineLevel="1"/>
    <row r="185" spans="1:1" outlineLevel="1"/>
    <row r="186" spans="1:1" outlineLevel="1"/>
    <row r="188" spans="1:1" ht="25.8">
      <c r="A188" s="407" t="s">
        <v>865</v>
      </c>
    </row>
    <row r="189" spans="1:1" outlineLevel="1"/>
    <row r="190" spans="1:1" outlineLevel="1"/>
    <row r="191" spans="1:1" outlineLevel="1"/>
    <row r="192" spans="1:1" outlineLevel="1"/>
    <row r="193" outlineLevel="1"/>
    <row r="194" outlineLevel="1"/>
    <row r="195" outlineLevel="1"/>
    <row r="196" outlineLevel="1"/>
    <row r="197" outlineLevel="1"/>
    <row r="198" outlineLevel="1"/>
    <row r="199" outlineLevel="1"/>
    <row r="200" outlineLevel="1"/>
    <row r="201" outlineLevel="1"/>
    <row r="202" outlineLevel="1"/>
    <row r="203" outlineLevel="1"/>
    <row r="204" outlineLevel="1"/>
    <row r="205" outlineLevel="1"/>
    <row r="206" outlineLevel="1"/>
    <row r="207" outlineLevel="1"/>
    <row r="208" outlineLevel="1"/>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row r="240" outlineLevel="1"/>
    <row r="241" outlineLevel="1"/>
    <row r="242" outlineLevel="1"/>
    <row r="243" outlineLevel="1"/>
    <row r="244" outlineLevel="1"/>
  </sheetData>
  <pageMargins left="0.59055118110236227" right="0.59055118110236227" top="0.39370078740157483" bottom="0.19685039370078741" header="0.51181102362204722" footer="0"/>
  <pageSetup paperSize="9" scale="46" orientation="landscape" r:id="rId1"/>
  <headerFooter alignWithMargins="0">
    <oddFooter>&amp;F</oddFooter>
  </headerFooter>
  <rowBreaks count="6" manualBreakCount="6">
    <brk id="79" max="17" man="1"/>
    <brk id="133" max="17" man="1"/>
    <brk id="186" max="17" man="1"/>
    <brk id="244" max="17" man="1"/>
    <brk id="300" max="17" man="1"/>
    <brk id="359"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41985" r:id="rId4" name="Drop Down 1">
              <controlPr locked="0" defaultSize="0" autoLine="0" autoPict="0">
                <anchor moveWithCells="1">
                  <from>
                    <xdr:col>14</xdr:col>
                    <xdr:colOff>0</xdr:colOff>
                    <xdr:row>10</xdr:row>
                    <xdr:rowOff>0</xdr:rowOff>
                  </from>
                  <to>
                    <xdr:col>16</xdr:col>
                    <xdr:colOff>0</xdr:colOff>
                    <xdr:row>11</xdr:row>
                    <xdr:rowOff>7620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7">
    <outlinePr summaryBelow="0" summaryRight="0"/>
  </sheetPr>
  <dimension ref="A1:V47"/>
  <sheetViews>
    <sheetView view="pageBreakPreview" topLeftCell="A10" zoomScaleNormal="70" zoomScaleSheetLayoutView="100" workbookViewId="0">
      <selection activeCell="E5" sqref="E5"/>
    </sheetView>
  </sheetViews>
  <sheetFormatPr defaultRowHeight="13.2"/>
  <cols>
    <col min="1" max="3" width="10" style="39" customWidth="1"/>
    <col min="4" max="4" width="11.19921875" style="39" customWidth="1"/>
    <col min="5" max="10" width="10" style="39" customWidth="1"/>
    <col min="11" max="11" width="2.19921875" style="39" customWidth="1"/>
    <col min="12" max="12" width="4.8984375" style="39" customWidth="1"/>
    <col min="13" max="13" width="12.59765625" style="39" customWidth="1"/>
    <col min="14" max="14" width="45.19921875" style="39" bestFit="1" customWidth="1"/>
    <col min="15" max="15" width="7.19921875" style="39" customWidth="1"/>
    <col min="16" max="16" width="11.09765625" style="39" customWidth="1"/>
    <col min="17" max="17" width="6.5" style="39" customWidth="1"/>
    <col min="18" max="18" width="46.59765625" style="39" customWidth="1"/>
    <col min="19" max="19" width="9.09765625" style="39" bestFit="1" customWidth="1"/>
    <col min="20" max="20" width="8.19921875" style="39" bestFit="1" customWidth="1"/>
    <col min="21" max="21" width="10.3984375" style="39" customWidth="1"/>
    <col min="22" max="22" width="25.3984375" style="39" hidden="1" customWidth="1"/>
    <col min="23" max="23" width="10" style="39" customWidth="1"/>
    <col min="24" max="24" width="6.09765625" style="39" customWidth="1"/>
    <col min="25" max="259" width="10" style="39" customWidth="1"/>
    <col min="260" max="260" width="11.19921875" style="39" customWidth="1"/>
    <col min="261" max="266" width="10" style="39" customWidth="1"/>
    <col min="267" max="267" width="2.19921875" style="39" customWidth="1"/>
    <col min="268" max="268" width="4.8984375" style="39" customWidth="1"/>
    <col min="269" max="269" width="12.59765625" style="39" customWidth="1"/>
    <col min="270" max="270" width="45.19921875" style="39" bestFit="1" customWidth="1"/>
    <col min="271" max="271" width="7.19921875" style="39" customWidth="1"/>
    <col min="272" max="272" width="11.09765625" style="39" customWidth="1"/>
    <col min="273" max="273" width="6.5" style="39" customWidth="1"/>
    <col min="274" max="274" width="46.59765625" style="39" customWidth="1"/>
    <col min="275" max="275" width="9.09765625" style="39" bestFit="1" customWidth="1"/>
    <col min="276" max="276" width="8.19921875" style="39" bestFit="1" customWidth="1"/>
    <col min="277" max="277" width="10.3984375" style="39" customWidth="1"/>
    <col min="278" max="278" width="0" style="39" hidden="1" customWidth="1"/>
    <col min="279" max="279" width="10" style="39" customWidth="1"/>
    <col min="280" max="280" width="6.09765625" style="39" customWidth="1"/>
    <col min="281" max="515" width="10" style="39" customWidth="1"/>
    <col min="516" max="516" width="11.19921875" style="39" customWidth="1"/>
    <col min="517" max="522" width="10" style="39" customWidth="1"/>
    <col min="523" max="523" width="2.19921875" style="39" customWidth="1"/>
    <col min="524" max="524" width="4.8984375" style="39" customWidth="1"/>
    <col min="525" max="525" width="12.59765625" style="39" customWidth="1"/>
    <col min="526" max="526" width="45.19921875" style="39" bestFit="1" customWidth="1"/>
    <col min="527" max="527" width="7.19921875" style="39" customWidth="1"/>
    <col min="528" max="528" width="11.09765625" style="39" customWidth="1"/>
    <col min="529" max="529" width="6.5" style="39" customWidth="1"/>
    <col min="530" max="530" width="46.59765625" style="39" customWidth="1"/>
    <col min="531" max="531" width="9.09765625" style="39" bestFit="1" customWidth="1"/>
    <col min="532" max="532" width="8.19921875" style="39" bestFit="1" customWidth="1"/>
    <col min="533" max="533" width="10.3984375" style="39" customWidth="1"/>
    <col min="534" max="534" width="0" style="39" hidden="1" customWidth="1"/>
    <col min="535" max="535" width="10" style="39" customWidth="1"/>
    <col min="536" max="536" width="6.09765625" style="39" customWidth="1"/>
    <col min="537" max="771" width="10" style="39" customWidth="1"/>
    <col min="772" max="772" width="11.19921875" style="39" customWidth="1"/>
    <col min="773" max="778" width="10" style="39" customWidth="1"/>
    <col min="779" max="779" width="2.19921875" style="39" customWidth="1"/>
    <col min="780" max="780" width="4.8984375" style="39" customWidth="1"/>
    <col min="781" max="781" width="12.59765625" style="39" customWidth="1"/>
    <col min="782" max="782" width="45.19921875" style="39" bestFit="1" customWidth="1"/>
    <col min="783" max="783" width="7.19921875" style="39" customWidth="1"/>
    <col min="784" max="784" width="11.09765625" style="39" customWidth="1"/>
    <col min="785" max="785" width="6.5" style="39" customWidth="1"/>
    <col min="786" max="786" width="46.59765625" style="39" customWidth="1"/>
    <col min="787" max="787" width="9.09765625" style="39" bestFit="1" customWidth="1"/>
    <col min="788" max="788" width="8.19921875" style="39" bestFit="1" customWidth="1"/>
    <col min="789" max="789" width="10.3984375" style="39" customWidth="1"/>
    <col min="790" max="790" width="0" style="39" hidden="1" customWidth="1"/>
    <col min="791" max="791" width="10" style="39" customWidth="1"/>
    <col min="792" max="792" width="6.09765625" style="39" customWidth="1"/>
    <col min="793" max="1027" width="10" style="39" customWidth="1"/>
    <col min="1028" max="1028" width="11.19921875" style="39" customWidth="1"/>
    <col min="1029" max="1034" width="10" style="39" customWidth="1"/>
    <col min="1035" max="1035" width="2.19921875" style="39" customWidth="1"/>
    <col min="1036" max="1036" width="4.8984375" style="39" customWidth="1"/>
    <col min="1037" max="1037" width="12.59765625" style="39" customWidth="1"/>
    <col min="1038" max="1038" width="45.19921875" style="39" bestFit="1" customWidth="1"/>
    <col min="1039" max="1039" width="7.19921875" style="39" customWidth="1"/>
    <col min="1040" max="1040" width="11.09765625" style="39" customWidth="1"/>
    <col min="1041" max="1041" width="6.5" style="39" customWidth="1"/>
    <col min="1042" max="1042" width="46.59765625" style="39" customWidth="1"/>
    <col min="1043" max="1043" width="9.09765625" style="39" bestFit="1" customWidth="1"/>
    <col min="1044" max="1044" width="8.19921875" style="39" bestFit="1" customWidth="1"/>
    <col min="1045" max="1045" width="10.3984375" style="39" customWidth="1"/>
    <col min="1046" max="1046" width="0" style="39" hidden="1" customWidth="1"/>
    <col min="1047" max="1047" width="10" style="39" customWidth="1"/>
    <col min="1048" max="1048" width="6.09765625" style="39" customWidth="1"/>
    <col min="1049" max="1283" width="10" style="39" customWidth="1"/>
    <col min="1284" max="1284" width="11.19921875" style="39" customWidth="1"/>
    <col min="1285" max="1290" width="10" style="39" customWidth="1"/>
    <col min="1291" max="1291" width="2.19921875" style="39" customWidth="1"/>
    <col min="1292" max="1292" width="4.8984375" style="39" customWidth="1"/>
    <col min="1293" max="1293" width="12.59765625" style="39" customWidth="1"/>
    <col min="1294" max="1294" width="45.19921875" style="39" bestFit="1" customWidth="1"/>
    <col min="1295" max="1295" width="7.19921875" style="39" customWidth="1"/>
    <col min="1296" max="1296" width="11.09765625" style="39" customWidth="1"/>
    <col min="1297" max="1297" width="6.5" style="39" customWidth="1"/>
    <col min="1298" max="1298" width="46.59765625" style="39" customWidth="1"/>
    <col min="1299" max="1299" width="9.09765625" style="39" bestFit="1" customWidth="1"/>
    <col min="1300" max="1300" width="8.19921875" style="39" bestFit="1" customWidth="1"/>
    <col min="1301" max="1301" width="10.3984375" style="39" customWidth="1"/>
    <col min="1302" max="1302" width="0" style="39" hidden="1" customWidth="1"/>
    <col min="1303" max="1303" width="10" style="39" customWidth="1"/>
    <col min="1304" max="1304" width="6.09765625" style="39" customWidth="1"/>
    <col min="1305" max="1539" width="10" style="39" customWidth="1"/>
    <col min="1540" max="1540" width="11.19921875" style="39" customWidth="1"/>
    <col min="1541" max="1546" width="10" style="39" customWidth="1"/>
    <col min="1547" max="1547" width="2.19921875" style="39" customWidth="1"/>
    <col min="1548" max="1548" width="4.8984375" style="39" customWidth="1"/>
    <col min="1549" max="1549" width="12.59765625" style="39" customWidth="1"/>
    <col min="1550" max="1550" width="45.19921875" style="39" bestFit="1" customWidth="1"/>
    <col min="1551" max="1551" width="7.19921875" style="39" customWidth="1"/>
    <col min="1552" max="1552" width="11.09765625" style="39" customWidth="1"/>
    <col min="1553" max="1553" width="6.5" style="39" customWidth="1"/>
    <col min="1554" max="1554" width="46.59765625" style="39" customWidth="1"/>
    <col min="1555" max="1555" width="9.09765625" style="39" bestFit="1" customWidth="1"/>
    <col min="1556" max="1556" width="8.19921875" style="39" bestFit="1" customWidth="1"/>
    <col min="1557" max="1557" width="10.3984375" style="39" customWidth="1"/>
    <col min="1558" max="1558" width="0" style="39" hidden="1" customWidth="1"/>
    <col min="1559" max="1559" width="10" style="39" customWidth="1"/>
    <col min="1560" max="1560" width="6.09765625" style="39" customWidth="1"/>
    <col min="1561" max="1795" width="10" style="39" customWidth="1"/>
    <col min="1796" max="1796" width="11.19921875" style="39" customWidth="1"/>
    <col min="1797" max="1802" width="10" style="39" customWidth="1"/>
    <col min="1803" max="1803" width="2.19921875" style="39" customWidth="1"/>
    <col min="1804" max="1804" width="4.8984375" style="39" customWidth="1"/>
    <col min="1805" max="1805" width="12.59765625" style="39" customWidth="1"/>
    <col min="1806" max="1806" width="45.19921875" style="39" bestFit="1" customWidth="1"/>
    <col min="1807" max="1807" width="7.19921875" style="39" customWidth="1"/>
    <col min="1808" max="1808" width="11.09765625" style="39" customWidth="1"/>
    <col min="1809" max="1809" width="6.5" style="39" customWidth="1"/>
    <col min="1810" max="1810" width="46.59765625" style="39" customWidth="1"/>
    <col min="1811" max="1811" width="9.09765625" style="39" bestFit="1" customWidth="1"/>
    <col min="1812" max="1812" width="8.19921875" style="39" bestFit="1" customWidth="1"/>
    <col min="1813" max="1813" width="10.3984375" style="39" customWidth="1"/>
    <col min="1814" max="1814" width="0" style="39" hidden="1" customWidth="1"/>
    <col min="1815" max="1815" width="10" style="39" customWidth="1"/>
    <col min="1816" max="1816" width="6.09765625" style="39" customWidth="1"/>
    <col min="1817" max="2051" width="10" style="39" customWidth="1"/>
    <col min="2052" max="2052" width="11.19921875" style="39" customWidth="1"/>
    <col min="2053" max="2058" width="10" style="39" customWidth="1"/>
    <col min="2059" max="2059" width="2.19921875" style="39" customWidth="1"/>
    <col min="2060" max="2060" width="4.8984375" style="39" customWidth="1"/>
    <col min="2061" max="2061" width="12.59765625" style="39" customWidth="1"/>
    <col min="2062" max="2062" width="45.19921875" style="39" bestFit="1" customWidth="1"/>
    <col min="2063" max="2063" width="7.19921875" style="39" customWidth="1"/>
    <col min="2064" max="2064" width="11.09765625" style="39" customWidth="1"/>
    <col min="2065" max="2065" width="6.5" style="39" customWidth="1"/>
    <col min="2066" max="2066" width="46.59765625" style="39" customWidth="1"/>
    <col min="2067" max="2067" width="9.09765625" style="39" bestFit="1" customWidth="1"/>
    <col min="2068" max="2068" width="8.19921875" style="39" bestFit="1" customWidth="1"/>
    <col min="2069" max="2069" width="10.3984375" style="39" customWidth="1"/>
    <col min="2070" max="2070" width="0" style="39" hidden="1" customWidth="1"/>
    <col min="2071" max="2071" width="10" style="39" customWidth="1"/>
    <col min="2072" max="2072" width="6.09765625" style="39" customWidth="1"/>
    <col min="2073" max="2307" width="10" style="39" customWidth="1"/>
    <col min="2308" max="2308" width="11.19921875" style="39" customWidth="1"/>
    <col min="2309" max="2314" width="10" style="39" customWidth="1"/>
    <col min="2315" max="2315" width="2.19921875" style="39" customWidth="1"/>
    <col min="2316" max="2316" width="4.8984375" style="39" customWidth="1"/>
    <col min="2317" max="2317" width="12.59765625" style="39" customWidth="1"/>
    <col min="2318" max="2318" width="45.19921875" style="39" bestFit="1" customWidth="1"/>
    <col min="2319" max="2319" width="7.19921875" style="39" customWidth="1"/>
    <col min="2320" max="2320" width="11.09765625" style="39" customWidth="1"/>
    <col min="2321" max="2321" width="6.5" style="39" customWidth="1"/>
    <col min="2322" max="2322" width="46.59765625" style="39" customWidth="1"/>
    <col min="2323" max="2323" width="9.09765625" style="39" bestFit="1" customWidth="1"/>
    <col min="2324" max="2324" width="8.19921875" style="39" bestFit="1" customWidth="1"/>
    <col min="2325" max="2325" width="10.3984375" style="39" customWidth="1"/>
    <col min="2326" max="2326" width="0" style="39" hidden="1" customWidth="1"/>
    <col min="2327" max="2327" width="10" style="39" customWidth="1"/>
    <col min="2328" max="2328" width="6.09765625" style="39" customWidth="1"/>
    <col min="2329" max="2563" width="10" style="39" customWidth="1"/>
    <col min="2564" max="2564" width="11.19921875" style="39" customWidth="1"/>
    <col min="2565" max="2570" width="10" style="39" customWidth="1"/>
    <col min="2571" max="2571" width="2.19921875" style="39" customWidth="1"/>
    <col min="2572" max="2572" width="4.8984375" style="39" customWidth="1"/>
    <col min="2573" max="2573" width="12.59765625" style="39" customWidth="1"/>
    <col min="2574" max="2574" width="45.19921875" style="39" bestFit="1" customWidth="1"/>
    <col min="2575" max="2575" width="7.19921875" style="39" customWidth="1"/>
    <col min="2576" max="2576" width="11.09765625" style="39" customWidth="1"/>
    <col min="2577" max="2577" width="6.5" style="39" customWidth="1"/>
    <col min="2578" max="2578" width="46.59765625" style="39" customWidth="1"/>
    <col min="2579" max="2579" width="9.09765625" style="39" bestFit="1" customWidth="1"/>
    <col min="2580" max="2580" width="8.19921875" style="39" bestFit="1" customWidth="1"/>
    <col min="2581" max="2581" width="10.3984375" style="39" customWidth="1"/>
    <col min="2582" max="2582" width="0" style="39" hidden="1" customWidth="1"/>
    <col min="2583" max="2583" width="10" style="39" customWidth="1"/>
    <col min="2584" max="2584" width="6.09765625" style="39" customWidth="1"/>
    <col min="2585" max="2819" width="10" style="39" customWidth="1"/>
    <col min="2820" max="2820" width="11.19921875" style="39" customWidth="1"/>
    <col min="2821" max="2826" width="10" style="39" customWidth="1"/>
    <col min="2827" max="2827" width="2.19921875" style="39" customWidth="1"/>
    <col min="2828" max="2828" width="4.8984375" style="39" customWidth="1"/>
    <col min="2829" max="2829" width="12.59765625" style="39" customWidth="1"/>
    <col min="2830" max="2830" width="45.19921875" style="39" bestFit="1" customWidth="1"/>
    <col min="2831" max="2831" width="7.19921875" style="39" customWidth="1"/>
    <col min="2832" max="2832" width="11.09765625" style="39" customWidth="1"/>
    <col min="2833" max="2833" width="6.5" style="39" customWidth="1"/>
    <col min="2834" max="2834" width="46.59765625" style="39" customWidth="1"/>
    <col min="2835" max="2835" width="9.09765625" style="39" bestFit="1" customWidth="1"/>
    <col min="2836" max="2836" width="8.19921875" style="39" bestFit="1" customWidth="1"/>
    <col min="2837" max="2837" width="10.3984375" style="39" customWidth="1"/>
    <col min="2838" max="2838" width="0" style="39" hidden="1" customWidth="1"/>
    <col min="2839" max="2839" width="10" style="39" customWidth="1"/>
    <col min="2840" max="2840" width="6.09765625" style="39" customWidth="1"/>
    <col min="2841" max="3075" width="10" style="39" customWidth="1"/>
    <col min="3076" max="3076" width="11.19921875" style="39" customWidth="1"/>
    <col min="3077" max="3082" width="10" style="39" customWidth="1"/>
    <col min="3083" max="3083" width="2.19921875" style="39" customWidth="1"/>
    <col min="3084" max="3084" width="4.8984375" style="39" customWidth="1"/>
    <col min="3085" max="3085" width="12.59765625" style="39" customWidth="1"/>
    <col min="3086" max="3086" width="45.19921875" style="39" bestFit="1" customWidth="1"/>
    <col min="3087" max="3087" width="7.19921875" style="39" customWidth="1"/>
    <col min="3088" max="3088" width="11.09765625" style="39" customWidth="1"/>
    <col min="3089" max="3089" width="6.5" style="39" customWidth="1"/>
    <col min="3090" max="3090" width="46.59765625" style="39" customWidth="1"/>
    <col min="3091" max="3091" width="9.09765625" style="39" bestFit="1" customWidth="1"/>
    <col min="3092" max="3092" width="8.19921875" style="39" bestFit="1" customWidth="1"/>
    <col min="3093" max="3093" width="10.3984375" style="39" customWidth="1"/>
    <col min="3094" max="3094" width="0" style="39" hidden="1" customWidth="1"/>
    <col min="3095" max="3095" width="10" style="39" customWidth="1"/>
    <col min="3096" max="3096" width="6.09765625" style="39" customWidth="1"/>
    <col min="3097" max="3331" width="10" style="39" customWidth="1"/>
    <col min="3332" max="3332" width="11.19921875" style="39" customWidth="1"/>
    <col min="3333" max="3338" width="10" style="39" customWidth="1"/>
    <col min="3339" max="3339" width="2.19921875" style="39" customWidth="1"/>
    <col min="3340" max="3340" width="4.8984375" style="39" customWidth="1"/>
    <col min="3341" max="3341" width="12.59765625" style="39" customWidth="1"/>
    <col min="3342" max="3342" width="45.19921875" style="39" bestFit="1" customWidth="1"/>
    <col min="3343" max="3343" width="7.19921875" style="39" customWidth="1"/>
    <col min="3344" max="3344" width="11.09765625" style="39" customWidth="1"/>
    <col min="3345" max="3345" width="6.5" style="39" customWidth="1"/>
    <col min="3346" max="3346" width="46.59765625" style="39" customWidth="1"/>
    <col min="3347" max="3347" width="9.09765625" style="39" bestFit="1" customWidth="1"/>
    <col min="3348" max="3348" width="8.19921875" style="39" bestFit="1" customWidth="1"/>
    <col min="3349" max="3349" width="10.3984375" style="39" customWidth="1"/>
    <col min="3350" max="3350" width="0" style="39" hidden="1" customWidth="1"/>
    <col min="3351" max="3351" width="10" style="39" customWidth="1"/>
    <col min="3352" max="3352" width="6.09765625" style="39" customWidth="1"/>
    <col min="3353" max="3587" width="10" style="39" customWidth="1"/>
    <col min="3588" max="3588" width="11.19921875" style="39" customWidth="1"/>
    <col min="3589" max="3594" width="10" style="39" customWidth="1"/>
    <col min="3595" max="3595" width="2.19921875" style="39" customWidth="1"/>
    <col min="3596" max="3596" width="4.8984375" style="39" customWidth="1"/>
    <col min="3597" max="3597" width="12.59765625" style="39" customWidth="1"/>
    <col min="3598" max="3598" width="45.19921875" style="39" bestFit="1" customWidth="1"/>
    <col min="3599" max="3599" width="7.19921875" style="39" customWidth="1"/>
    <col min="3600" max="3600" width="11.09765625" style="39" customWidth="1"/>
    <col min="3601" max="3601" width="6.5" style="39" customWidth="1"/>
    <col min="3602" max="3602" width="46.59765625" style="39" customWidth="1"/>
    <col min="3603" max="3603" width="9.09765625" style="39" bestFit="1" customWidth="1"/>
    <col min="3604" max="3604" width="8.19921875" style="39" bestFit="1" customWidth="1"/>
    <col min="3605" max="3605" width="10.3984375" style="39" customWidth="1"/>
    <col min="3606" max="3606" width="0" style="39" hidden="1" customWidth="1"/>
    <col min="3607" max="3607" width="10" style="39" customWidth="1"/>
    <col min="3608" max="3608" width="6.09765625" style="39" customWidth="1"/>
    <col min="3609" max="3843" width="10" style="39" customWidth="1"/>
    <col min="3844" max="3844" width="11.19921875" style="39" customWidth="1"/>
    <col min="3845" max="3850" width="10" style="39" customWidth="1"/>
    <col min="3851" max="3851" width="2.19921875" style="39" customWidth="1"/>
    <col min="3852" max="3852" width="4.8984375" style="39" customWidth="1"/>
    <col min="3853" max="3853" width="12.59765625" style="39" customWidth="1"/>
    <col min="3854" max="3854" width="45.19921875" style="39" bestFit="1" customWidth="1"/>
    <col min="3855" max="3855" width="7.19921875" style="39" customWidth="1"/>
    <col min="3856" max="3856" width="11.09765625" style="39" customWidth="1"/>
    <col min="3857" max="3857" width="6.5" style="39" customWidth="1"/>
    <col min="3858" max="3858" width="46.59765625" style="39" customWidth="1"/>
    <col min="3859" max="3859" width="9.09765625" style="39" bestFit="1" customWidth="1"/>
    <col min="3860" max="3860" width="8.19921875" style="39" bestFit="1" customWidth="1"/>
    <col min="3861" max="3861" width="10.3984375" style="39" customWidth="1"/>
    <col min="3862" max="3862" width="0" style="39" hidden="1" customWidth="1"/>
    <col min="3863" max="3863" width="10" style="39" customWidth="1"/>
    <col min="3864" max="3864" width="6.09765625" style="39" customWidth="1"/>
    <col min="3865" max="4099" width="10" style="39" customWidth="1"/>
    <col min="4100" max="4100" width="11.19921875" style="39" customWidth="1"/>
    <col min="4101" max="4106" width="10" style="39" customWidth="1"/>
    <col min="4107" max="4107" width="2.19921875" style="39" customWidth="1"/>
    <col min="4108" max="4108" width="4.8984375" style="39" customWidth="1"/>
    <col min="4109" max="4109" width="12.59765625" style="39" customWidth="1"/>
    <col min="4110" max="4110" width="45.19921875" style="39" bestFit="1" customWidth="1"/>
    <col min="4111" max="4111" width="7.19921875" style="39" customWidth="1"/>
    <col min="4112" max="4112" width="11.09765625" style="39" customWidth="1"/>
    <col min="4113" max="4113" width="6.5" style="39" customWidth="1"/>
    <col min="4114" max="4114" width="46.59765625" style="39" customWidth="1"/>
    <col min="4115" max="4115" width="9.09765625" style="39" bestFit="1" customWidth="1"/>
    <col min="4116" max="4116" width="8.19921875" style="39" bestFit="1" customWidth="1"/>
    <col min="4117" max="4117" width="10.3984375" style="39" customWidth="1"/>
    <col min="4118" max="4118" width="0" style="39" hidden="1" customWidth="1"/>
    <col min="4119" max="4119" width="10" style="39" customWidth="1"/>
    <col min="4120" max="4120" width="6.09765625" style="39" customWidth="1"/>
    <col min="4121" max="4355" width="10" style="39" customWidth="1"/>
    <col min="4356" max="4356" width="11.19921875" style="39" customWidth="1"/>
    <col min="4357" max="4362" width="10" style="39" customWidth="1"/>
    <col min="4363" max="4363" width="2.19921875" style="39" customWidth="1"/>
    <col min="4364" max="4364" width="4.8984375" style="39" customWidth="1"/>
    <col min="4365" max="4365" width="12.59765625" style="39" customWidth="1"/>
    <col min="4366" max="4366" width="45.19921875" style="39" bestFit="1" customWidth="1"/>
    <col min="4367" max="4367" width="7.19921875" style="39" customWidth="1"/>
    <col min="4368" max="4368" width="11.09765625" style="39" customWidth="1"/>
    <col min="4369" max="4369" width="6.5" style="39" customWidth="1"/>
    <col min="4370" max="4370" width="46.59765625" style="39" customWidth="1"/>
    <col min="4371" max="4371" width="9.09765625" style="39" bestFit="1" customWidth="1"/>
    <col min="4372" max="4372" width="8.19921875" style="39" bestFit="1" customWidth="1"/>
    <col min="4373" max="4373" width="10.3984375" style="39" customWidth="1"/>
    <col min="4374" max="4374" width="0" style="39" hidden="1" customWidth="1"/>
    <col min="4375" max="4375" width="10" style="39" customWidth="1"/>
    <col min="4376" max="4376" width="6.09765625" style="39" customWidth="1"/>
    <col min="4377" max="4611" width="10" style="39" customWidth="1"/>
    <col min="4612" max="4612" width="11.19921875" style="39" customWidth="1"/>
    <col min="4613" max="4618" width="10" style="39" customWidth="1"/>
    <col min="4619" max="4619" width="2.19921875" style="39" customWidth="1"/>
    <col min="4620" max="4620" width="4.8984375" style="39" customWidth="1"/>
    <col min="4621" max="4621" width="12.59765625" style="39" customWidth="1"/>
    <col min="4622" max="4622" width="45.19921875" style="39" bestFit="1" customWidth="1"/>
    <col min="4623" max="4623" width="7.19921875" style="39" customWidth="1"/>
    <col min="4624" max="4624" width="11.09765625" style="39" customWidth="1"/>
    <col min="4625" max="4625" width="6.5" style="39" customWidth="1"/>
    <col min="4626" max="4626" width="46.59765625" style="39" customWidth="1"/>
    <col min="4627" max="4627" width="9.09765625" style="39" bestFit="1" customWidth="1"/>
    <col min="4628" max="4628" width="8.19921875" style="39" bestFit="1" customWidth="1"/>
    <col min="4629" max="4629" width="10.3984375" style="39" customWidth="1"/>
    <col min="4630" max="4630" width="0" style="39" hidden="1" customWidth="1"/>
    <col min="4631" max="4631" width="10" style="39" customWidth="1"/>
    <col min="4632" max="4632" width="6.09765625" style="39" customWidth="1"/>
    <col min="4633" max="4867" width="10" style="39" customWidth="1"/>
    <col min="4868" max="4868" width="11.19921875" style="39" customWidth="1"/>
    <col min="4869" max="4874" width="10" style="39" customWidth="1"/>
    <col min="4875" max="4875" width="2.19921875" style="39" customWidth="1"/>
    <col min="4876" max="4876" width="4.8984375" style="39" customWidth="1"/>
    <col min="4877" max="4877" width="12.59765625" style="39" customWidth="1"/>
    <col min="4878" max="4878" width="45.19921875" style="39" bestFit="1" customWidth="1"/>
    <col min="4879" max="4879" width="7.19921875" style="39" customWidth="1"/>
    <col min="4880" max="4880" width="11.09765625" style="39" customWidth="1"/>
    <col min="4881" max="4881" width="6.5" style="39" customWidth="1"/>
    <col min="4882" max="4882" width="46.59765625" style="39" customWidth="1"/>
    <col min="4883" max="4883" width="9.09765625" style="39" bestFit="1" customWidth="1"/>
    <col min="4884" max="4884" width="8.19921875" style="39" bestFit="1" customWidth="1"/>
    <col min="4885" max="4885" width="10.3984375" style="39" customWidth="1"/>
    <col min="4886" max="4886" width="0" style="39" hidden="1" customWidth="1"/>
    <col min="4887" max="4887" width="10" style="39" customWidth="1"/>
    <col min="4888" max="4888" width="6.09765625" style="39" customWidth="1"/>
    <col min="4889" max="5123" width="10" style="39" customWidth="1"/>
    <col min="5124" max="5124" width="11.19921875" style="39" customWidth="1"/>
    <col min="5125" max="5130" width="10" style="39" customWidth="1"/>
    <col min="5131" max="5131" width="2.19921875" style="39" customWidth="1"/>
    <col min="5132" max="5132" width="4.8984375" style="39" customWidth="1"/>
    <col min="5133" max="5133" width="12.59765625" style="39" customWidth="1"/>
    <col min="5134" max="5134" width="45.19921875" style="39" bestFit="1" customWidth="1"/>
    <col min="5135" max="5135" width="7.19921875" style="39" customWidth="1"/>
    <col min="5136" max="5136" width="11.09765625" style="39" customWidth="1"/>
    <col min="5137" max="5137" width="6.5" style="39" customWidth="1"/>
    <col min="5138" max="5138" width="46.59765625" style="39" customWidth="1"/>
    <col min="5139" max="5139" width="9.09765625" style="39" bestFit="1" customWidth="1"/>
    <col min="5140" max="5140" width="8.19921875" style="39" bestFit="1" customWidth="1"/>
    <col min="5141" max="5141" width="10.3984375" style="39" customWidth="1"/>
    <col min="5142" max="5142" width="0" style="39" hidden="1" customWidth="1"/>
    <col min="5143" max="5143" width="10" style="39" customWidth="1"/>
    <col min="5144" max="5144" width="6.09765625" style="39" customWidth="1"/>
    <col min="5145" max="5379" width="10" style="39" customWidth="1"/>
    <col min="5380" max="5380" width="11.19921875" style="39" customWidth="1"/>
    <col min="5381" max="5386" width="10" style="39" customWidth="1"/>
    <col min="5387" max="5387" width="2.19921875" style="39" customWidth="1"/>
    <col min="5388" max="5388" width="4.8984375" style="39" customWidth="1"/>
    <col min="5389" max="5389" width="12.59765625" style="39" customWidth="1"/>
    <col min="5390" max="5390" width="45.19921875" style="39" bestFit="1" customWidth="1"/>
    <col min="5391" max="5391" width="7.19921875" style="39" customWidth="1"/>
    <col min="5392" max="5392" width="11.09765625" style="39" customWidth="1"/>
    <col min="5393" max="5393" width="6.5" style="39" customWidth="1"/>
    <col min="5394" max="5394" width="46.59765625" style="39" customWidth="1"/>
    <col min="5395" max="5395" width="9.09765625" style="39" bestFit="1" customWidth="1"/>
    <col min="5396" max="5396" width="8.19921875" style="39" bestFit="1" customWidth="1"/>
    <col min="5397" max="5397" width="10.3984375" style="39" customWidth="1"/>
    <col min="5398" max="5398" width="0" style="39" hidden="1" customWidth="1"/>
    <col min="5399" max="5399" width="10" style="39" customWidth="1"/>
    <col min="5400" max="5400" width="6.09765625" style="39" customWidth="1"/>
    <col min="5401" max="5635" width="10" style="39" customWidth="1"/>
    <col min="5636" max="5636" width="11.19921875" style="39" customWidth="1"/>
    <col min="5637" max="5642" width="10" style="39" customWidth="1"/>
    <col min="5643" max="5643" width="2.19921875" style="39" customWidth="1"/>
    <col min="5644" max="5644" width="4.8984375" style="39" customWidth="1"/>
    <col min="5645" max="5645" width="12.59765625" style="39" customWidth="1"/>
    <col min="5646" max="5646" width="45.19921875" style="39" bestFit="1" customWidth="1"/>
    <col min="5647" max="5647" width="7.19921875" style="39" customWidth="1"/>
    <col min="5648" max="5648" width="11.09765625" style="39" customWidth="1"/>
    <col min="5649" max="5649" width="6.5" style="39" customWidth="1"/>
    <col min="5650" max="5650" width="46.59765625" style="39" customWidth="1"/>
    <col min="5651" max="5651" width="9.09765625" style="39" bestFit="1" customWidth="1"/>
    <col min="5652" max="5652" width="8.19921875" style="39" bestFit="1" customWidth="1"/>
    <col min="5653" max="5653" width="10.3984375" style="39" customWidth="1"/>
    <col min="5654" max="5654" width="0" style="39" hidden="1" customWidth="1"/>
    <col min="5655" max="5655" width="10" style="39" customWidth="1"/>
    <col min="5656" max="5656" width="6.09765625" style="39" customWidth="1"/>
    <col min="5657" max="5891" width="10" style="39" customWidth="1"/>
    <col min="5892" max="5892" width="11.19921875" style="39" customWidth="1"/>
    <col min="5893" max="5898" width="10" style="39" customWidth="1"/>
    <col min="5899" max="5899" width="2.19921875" style="39" customWidth="1"/>
    <col min="5900" max="5900" width="4.8984375" style="39" customWidth="1"/>
    <col min="5901" max="5901" width="12.59765625" style="39" customWidth="1"/>
    <col min="5902" max="5902" width="45.19921875" style="39" bestFit="1" customWidth="1"/>
    <col min="5903" max="5903" width="7.19921875" style="39" customWidth="1"/>
    <col min="5904" max="5904" width="11.09765625" style="39" customWidth="1"/>
    <col min="5905" max="5905" width="6.5" style="39" customWidth="1"/>
    <col min="5906" max="5906" width="46.59765625" style="39" customWidth="1"/>
    <col min="5907" max="5907" width="9.09765625" style="39" bestFit="1" customWidth="1"/>
    <col min="5908" max="5908" width="8.19921875" style="39" bestFit="1" customWidth="1"/>
    <col min="5909" max="5909" width="10.3984375" style="39" customWidth="1"/>
    <col min="5910" max="5910" width="0" style="39" hidden="1" customWidth="1"/>
    <col min="5911" max="5911" width="10" style="39" customWidth="1"/>
    <col min="5912" max="5912" width="6.09765625" style="39" customWidth="1"/>
    <col min="5913" max="6147" width="10" style="39" customWidth="1"/>
    <col min="6148" max="6148" width="11.19921875" style="39" customWidth="1"/>
    <col min="6149" max="6154" width="10" style="39" customWidth="1"/>
    <col min="6155" max="6155" width="2.19921875" style="39" customWidth="1"/>
    <col min="6156" max="6156" width="4.8984375" style="39" customWidth="1"/>
    <col min="6157" max="6157" width="12.59765625" style="39" customWidth="1"/>
    <col min="6158" max="6158" width="45.19921875" style="39" bestFit="1" customWidth="1"/>
    <col min="6159" max="6159" width="7.19921875" style="39" customWidth="1"/>
    <col min="6160" max="6160" width="11.09765625" style="39" customWidth="1"/>
    <col min="6161" max="6161" width="6.5" style="39" customWidth="1"/>
    <col min="6162" max="6162" width="46.59765625" style="39" customWidth="1"/>
    <col min="6163" max="6163" width="9.09765625" style="39" bestFit="1" customWidth="1"/>
    <col min="6164" max="6164" width="8.19921875" style="39" bestFit="1" customWidth="1"/>
    <col min="6165" max="6165" width="10.3984375" style="39" customWidth="1"/>
    <col min="6166" max="6166" width="0" style="39" hidden="1" customWidth="1"/>
    <col min="6167" max="6167" width="10" style="39" customWidth="1"/>
    <col min="6168" max="6168" width="6.09765625" style="39" customWidth="1"/>
    <col min="6169" max="6403" width="10" style="39" customWidth="1"/>
    <col min="6404" max="6404" width="11.19921875" style="39" customWidth="1"/>
    <col min="6405" max="6410" width="10" style="39" customWidth="1"/>
    <col min="6411" max="6411" width="2.19921875" style="39" customWidth="1"/>
    <col min="6412" max="6412" width="4.8984375" style="39" customWidth="1"/>
    <col min="6413" max="6413" width="12.59765625" style="39" customWidth="1"/>
    <col min="6414" max="6414" width="45.19921875" style="39" bestFit="1" customWidth="1"/>
    <col min="6415" max="6415" width="7.19921875" style="39" customWidth="1"/>
    <col min="6416" max="6416" width="11.09765625" style="39" customWidth="1"/>
    <col min="6417" max="6417" width="6.5" style="39" customWidth="1"/>
    <col min="6418" max="6418" width="46.59765625" style="39" customWidth="1"/>
    <col min="6419" max="6419" width="9.09765625" style="39" bestFit="1" customWidth="1"/>
    <col min="6420" max="6420" width="8.19921875" style="39" bestFit="1" customWidth="1"/>
    <col min="6421" max="6421" width="10.3984375" style="39" customWidth="1"/>
    <col min="6422" max="6422" width="0" style="39" hidden="1" customWidth="1"/>
    <col min="6423" max="6423" width="10" style="39" customWidth="1"/>
    <col min="6424" max="6424" width="6.09765625" style="39" customWidth="1"/>
    <col min="6425" max="6659" width="10" style="39" customWidth="1"/>
    <col min="6660" max="6660" width="11.19921875" style="39" customWidth="1"/>
    <col min="6661" max="6666" width="10" style="39" customWidth="1"/>
    <col min="6667" max="6667" width="2.19921875" style="39" customWidth="1"/>
    <col min="6668" max="6668" width="4.8984375" style="39" customWidth="1"/>
    <col min="6669" max="6669" width="12.59765625" style="39" customWidth="1"/>
    <col min="6670" max="6670" width="45.19921875" style="39" bestFit="1" customWidth="1"/>
    <col min="6671" max="6671" width="7.19921875" style="39" customWidth="1"/>
    <col min="6672" max="6672" width="11.09765625" style="39" customWidth="1"/>
    <col min="6673" max="6673" width="6.5" style="39" customWidth="1"/>
    <col min="6674" max="6674" width="46.59765625" style="39" customWidth="1"/>
    <col min="6675" max="6675" width="9.09765625" style="39" bestFit="1" customWidth="1"/>
    <col min="6676" max="6676" width="8.19921875" style="39" bestFit="1" customWidth="1"/>
    <col min="6677" max="6677" width="10.3984375" style="39" customWidth="1"/>
    <col min="6678" max="6678" width="0" style="39" hidden="1" customWidth="1"/>
    <col min="6679" max="6679" width="10" style="39" customWidth="1"/>
    <col min="6680" max="6680" width="6.09765625" style="39" customWidth="1"/>
    <col min="6681" max="6915" width="10" style="39" customWidth="1"/>
    <col min="6916" max="6916" width="11.19921875" style="39" customWidth="1"/>
    <col min="6917" max="6922" width="10" style="39" customWidth="1"/>
    <col min="6923" max="6923" width="2.19921875" style="39" customWidth="1"/>
    <col min="6924" max="6924" width="4.8984375" style="39" customWidth="1"/>
    <col min="6925" max="6925" width="12.59765625" style="39" customWidth="1"/>
    <col min="6926" max="6926" width="45.19921875" style="39" bestFit="1" customWidth="1"/>
    <col min="6927" max="6927" width="7.19921875" style="39" customWidth="1"/>
    <col min="6928" max="6928" width="11.09765625" style="39" customWidth="1"/>
    <col min="6929" max="6929" width="6.5" style="39" customWidth="1"/>
    <col min="6930" max="6930" width="46.59765625" style="39" customWidth="1"/>
    <col min="6931" max="6931" width="9.09765625" style="39" bestFit="1" customWidth="1"/>
    <col min="6932" max="6932" width="8.19921875" style="39" bestFit="1" customWidth="1"/>
    <col min="6933" max="6933" width="10.3984375" style="39" customWidth="1"/>
    <col min="6934" max="6934" width="0" style="39" hidden="1" customWidth="1"/>
    <col min="6935" max="6935" width="10" style="39" customWidth="1"/>
    <col min="6936" max="6936" width="6.09765625" style="39" customWidth="1"/>
    <col min="6937" max="7171" width="10" style="39" customWidth="1"/>
    <col min="7172" max="7172" width="11.19921875" style="39" customWidth="1"/>
    <col min="7173" max="7178" width="10" style="39" customWidth="1"/>
    <col min="7179" max="7179" width="2.19921875" style="39" customWidth="1"/>
    <col min="7180" max="7180" width="4.8984375" style="39" customWidth="1"/>
    <col min="7181" max="7181" width="12.59765625" style="39" customWidth="1"/>
    <col min="7182" max="7182" width="45.19921875" style="39" bestFit="1" customWidth="1"/>
    <col min="7183" max="7183" width="7.19921875" style="39" customWidth="1"/>
    <col min="7184" max="7184" width="11.09765625" style="39" customWidth="1"/>
    <col min="7185" max="7185" width="6.5" style="39" customWidth="1"/>
    <col min="7186" max="7186" width="46.59765625" style="39" customWidth="1"/>
    <col min="7187" max="7187" width="9.09765625" style="39" bestFit="1" customWidth="1"/>
    <col min="7188" max="7188" width="8.19921875" style="39" bestFit="1" customWidth="1"/>
    <col min="7189" max="7189" width="10.3984375" style="39" customWidth="1"/>
    <col min="7190" max="7190" width="0" style="39" hidden="1" customWidth="1"/>
    <col min="7191" max="7191" width="10" style="39" customWidth="1"/>
    <col min="7192" max="7192" width="6.09765625" style="39" customWidth="1"/>
    <col min="7193" max="7427" width="10" style="39" customWidth="1"/>
    <col min="7428" max="7428" width="11.19921875" style="39" customWidth="1"/>
    <col min="7429" max="7434" width="10" style="39" customWidth="1"/>
    <col min="7435" max="7435" width="2.19921875" style="39" customWidth="1"/>
    <col min="7436" max="7436" width="4.8984375" style="39" customWidth="1"/>
    <col min="7437" max="7437" width="12.59765625" style="39" customWidth="1"/>
    <col min="7438" max="7438" width="45.19921875" style="39" bestFit="1" customWidth="1"/>
    <col min="7439" max="7439" width="7.19921875" style="39" customWidth="1"/>
    <col min="7440" max="7440" width="11.09765625" style="39" customWidth="1"/>
    <col min="7441" max="7441" width="6.5" style="39" customWidth="1"/>
    <col min="7442" max="7442" width="46.59765625" style="39" customWidth="1"/>
    <col min="7443" max="7443" width="9.09765625" style="39" bestFit="1" customWidth="1"/>
    <col min="7444" max="7444" width="8.19921875" style="39" bestFit="1" customWidth="1"/>
    <col min="7445" max="7445" width="10.3984375" style="39" customWidth="1"/>
    <col min="7446" max="7446" width="0" style="39" hidden="1" customWidth="1"/>
    <col min="7447" max="7447" width="10" style="39" customWidth="1"/>
    <col min="7448" max="7448" width="6.09765625" style="39" customWidth="1"/>
    <col min="7449" max="7683" width="10" style="39" customWidth="1"/>
    <col min="7684" max="7684" width="11.19921875" style="39" customWidth="1"/>
    <col min="7685" max="7690" width="10" style="39" customWidth="1"/>
    <col min="7691" max="7691" width="2.19921875" style="39" customWidth="1"/>
    <col min="7692" max="7692" width="4.8984375" style="39" customWidth="1"/>
    <col min="7693" max="7693" width="12.59765625" style="39" customWidth="1"/>
    <col min="7694" max="7694" width="45.19921875" style="39" bestFit="1" customWidth="1"/>
    <col min="7695" max="7695" width="7.19921875" style="39" customWidth="1"/>
    <col min="7696" max="7696" width="11.09765625" style="39" customWidth="1"/>
    <col min="7697" max="7697" width="6.5" style="39" customWidth="1"/>
    <col min="7698" max="7698" width="46.59765625" style="39" customWidth="1"/>
    <col min="7699" max="7699" width="9.09765625" style="39" bestFit="1" customWidth="1"/>
    <col min="7700" max="7700" width="8.19921875" style="39" bestFit="1" customWidth="1"/>
    <col min="7701" max="7701" width="10.3984375" style="39" customWidth="1"/>
    <col min="7702" max="7702" width="0" style="39" hidden="1" customWidth="1"/>
    <col min="7703" max="7703" width="10" style="39" customWidth="1"/>
    <col min="7704" max="7704" width="6.09765625" style="39" customWidth="1"/>
    <col min="7705" max="7939" width="10" style="39" customWidth="1"/>
    <col min="7940" max="7940" width="11.19921875" style="39" customWidth="1"/>
    <col min="7941" max="7946" width="10" style="39" customWidth="1"/>
    <col min="7947" max="7947" width="2.19921875" style="39" customWidth="1"/>
    <col min="7948" max="7948" width="4.8984375" style="39" customWidth="1"/>
    <col min="7949" max="7949" width="12.59765625" style="39" customWidth="1"/>
    <col min="7950" max="7950" width="45.19921875" style="39" bestFit="1" customWidth="1"/>
    <col min="7951" max="7951" width="7.19921875" style="39" customWidth="1"/>
    <col min="7952" max="7952" width="11.09765625" style="39" customWidth="1"/>
    <col min="7953" max="7953" width="6.5" style="39" customWidth="1"/>
    <col min="7954" max="7954" width="46.59765625" style="39" customWidth="1"/>
    <col min="7955" max="7955" width="9.09765625" style="39" bestFit="1" customWidth="1"/>
    <col min="7956" max="7956" width="8.19921875" style="39" bestFit="1" customWidth="1"/>
    <col min="7957" max="7957" width="10.3984375" style="39" customWidth="1"/>
    <col min="7958" max="7958" width="0" style="39" hidden="1" customWidth="1"/>
    <col min="7959" max="7959" width="10" style="39" customWidth="1"/>
    <col min="7960" max="7960" width="6.09765625" style="39" customWidth="1"/>
    <col min="7961" max="8195" width="10" style="39" customWidth="1"/>
    <col min="8196" max="8196" width="11.19921875" style="39" customWidth="1"/>
    <col min="8197" max="8202" width="10" style="39" customWidth="1"/>
    <col min="8203" max="8203" width="2.19921875" style="39" customWidth="1"/>
    <col min="8204" max="8204" width="4.8984375" style="39" customWidth="1"/>
    <col min="8205" max="8205" width="12.59765625" style="39" customWidth="1"/>
    <col min="8206" max="8206" width="45.19921875" style="39" bestFit="1" customWidth="1"/>
    <col min="8207" max="8207" width="7.19921875" style="39" customWidth="1"/>
    <col min="8208" max="8208" width="11.09765625" style="39" customWidth="1"/>
    <col min="8209" max="8209" width="6.5" style="39" customWidth="1"/>
    <col min="8210" max="8210" width="46.59765625" style="39" customWidth="1"/>
    <col min="8211" max="8211" width="9.09765625" style="39" bestFit="1" customWidth="1"/>
    <col min="8212" max="8212" width="8.19921875" style="39" bestFit="1" customWidth="1"/>
    <col min="8213" max="8213" width="10.3984375" style="39" customWidth="1"/>
    <col min="8214" max="8214" width="0" style="39" hidden="1" customWidth="1"/>
    <col min="8215" max="8215" width="10" style="39" customWidth="1"/>
    <col min="8216" max="8216" width="6.09765625" style="39" customWidth="1"/>
    <col min="8217" max="8451" width="10" style="39" customWidth="1"/>
    <col min="8452" max="8452" width="11.19921875" style="39" customWidth="1"/>
    <col min="8453" max="8458" width="10" style="39" customWidth="1"/>
    <col min="8459" max="8459" width="2.19921875" style="39" customWidth="1"/>
    <col min="8460" max="8460" width="4.8984375" style="39" customWidth="1"/>
    <col min="8461" max="8461" width="12.59765625" style="39" customWidth="1"/>
    <col min="8462" max="8462" width="45.19921875" style="39" bestFit="1" customWidth="1"/>
    <col min="8463" max="8463" width="7.19921875" style="39" customWidth="1"/>
    <col min="8464" max="8464" width="11.09765625" style="39" customWidth="1"/>
    <col min="8465" max="8465" width="6.5" style="39" customWidth="1"/>
    <col min="8466" max="8466" width="46.59765625" style="39" customWidth="1"/>
    <col min="8467" max="8467" width="9.09765625" style="39" bestFit="1" customWidth="1"/>
    <col min="8468" max="8468" width="8.19921875" style="39" bestFit="1" customWidth="1"/>
    <col min="8469" max="8469" width="10.3984375" style="39" customWidth="1"/>
    <col min="8470" max="8470" width="0" style="39" hidden="1" customWidth="1"/>
    <col min="8471" max="8471" width="10" style="39" customWidth="1"/>
    <col min="8472" max="8472" width="6.09765625" style="39" customWidth="1"/>
    <col min="8473" max="8707" width="10" style="39" customWidth="1"/>
    <col min="8708" max="8708" width="11.19921875" style="39" customWidth="1"/>
    <col min="8709" max="8714" width="10" style="39" customWidth="1"/>
    <col min="8715" max="8715" width="2.19921875" style="39" customWidth="1"/>
    <col min="8716" max="8716" width="4.8984375" style="39" customWidth="1"/>
    <col min="8717" max="8717" width="12.59765625" style="39" customWidth="1"/>
    <col min="8718" max="8718" width="45.19921875" style="39" bestFit="1" customWidth="1"/>
    <col min="8719" max="8719" width="7.19921875" style="39" customWidth="1"/>
    <col min="8720" max="8720" width="11.09765625" style="39" customWidth="1"/>
    <col min="8721" max="8721" width="6.5" style="39" customWidth="1"/>
    <col min="8722" max="8722" width="46.59765625" style="39" customWidth="1"/>
    <col min="8723" max="8723" width="9.09765625" style="39" bestFit="1" customWidth="1"/>
    <col min="8724" max="8724" width="8.19921875" style="39" bestFit="1" customWidth="1"/>
    <col min="8725" max="8725" width="10.3984375" style="39" customWidth="1"/>
    <col min="8726" max="8726" width="0" style="39" hidden="1" customWidth="1"/>
    <col min="8727" max="8727" width="10" style="39" customWidth="1"/>
    <col min="8728" max="8728" width="6.09765625" style="39" customWidth="1"/>
    <col min="8729" max="8963" width="10" style="39" customWidth="1"/>
    <col min="8964" max="8964" width="11.19921875" style="39" customWidth="1"/>
    <col min="8965" max="8970" width="10" style="39" customWidth="1"/>
    <col min="8971" max="8971" width="2.19921875" style="39" customWidth="1"/>
    <col min="8972" max="8972" width="4.8984375" style="39" customWidth="1"/>
    <col min="8973" max="8973" width="12.59765625" style="39" customWidth="1"/>
    <col min="8974" max="8974" width="45.19921875" style="39" bestFit="1" customWidth="1"/>
    <col min="8975" max="8975" width="7.19921875" style="39" customWidth="1"/>
    <col min="8976" max="8976" width="11.09765625" style="39" customWidth="1"/>
    <col min="8977" max="8977" width="6.5" style="39" customWidth="1"/>
    <col min="8978" max="8978" width="46.59765625" style="39" customWidth="1"/>
    <col min="8979" max="8979" width="9.09765625" style="39" bestFit="1" customWidth="1"/>
    <col min="8980" max="8980" width="8.19921875" style="39" bestFit="1" customWidth="1"/>
    <col min="8981" max="8981" width="10.3984375" style="39" customWidth="1"/>
    <col min="8982" max="8982" width="0" style="39" hidden="1" customWidth="1"/>
    <col min="8983" max="8983" width="10" style="39" customWidth="1"/>
    <col min="8984" max="8984" width="6.09765625" style="39" customWidth="1"/>
    <col min="8985" max="9219" width="10" style="39" customWidth="1"/>
    <col min="9220" max="9220" width="11.19921875" style="39" customWidth="1"/>
    <col min="9221" max="9226" width="10" style="39" customWidth="1"/>
    <col min="9227" max="9227" width="2.19921875" style="39" customWidth="1"/>
    <col min="9228" max="9228" width="4.8984375" style="39" customWidth="1"/>
    <col min="9229" max="9229" width="12.59765625" style="39" customWidth="1"/>
    <col min="9230" max="9230" width="45.19921875" style="39" bestFit="1" customWidth="1"/>
    <col min="9231" max="9231" width="7.19921875" style="39" customWidth="1"/>
    <col min="9232" max="9232" width="11.09765625" style="39" customWidth="1"/>
    <col min="9233" max="9233" width="6.5" style="39" customWidth="1"/>
    <col min="9234" max="9234" width="46.59765625" style="39" customWidth="1"/>
    <col min="9235" max="9235" width="9.09765625" style="39" bestFit="1" customWidth="1"/>
    <col min="9236" max="9236" width="8.19921875" style="39" bestFit="1" customWidth="1"/>
    <col min="9237" max="9237" width="10.3984375" style="39" customWidth="1"/>
    <col min="9238" max="9238" width="0" style="39" hidden="1" customWidth="1"/>
    <col min="9239" max="9239" width="10" style="39" customWidth="1"/>
    <col min="9240" max="9240" width="6.09765625" style="39" customWidth="1"/>
    <col min="9241" max="9475" width="10" style="39" customWidth="1"/>
    <col min="9476" max="9476" width="11.19921875" style="39" customWidth="1"/>
    <col min="9477" max="9482" width="10" style="39" customWidth="1"/>
    <col min="9483" max="9483" width="2.19921875" style="39" customWidth="1"/>
    <col min="9484" max="9484" width="4.8984375" style="39" customWidth="1"/>
    <col min="9485" max="9485" width="12.59765625" style="39" customWidth="1"/>
    <col min="9486" max="9486" width="45.19921875" style="39" bestFit="1" customWidth="1"/>
    <col min="9487" max="9487" width="7.19921875" style="39" customWidth="1"/>
    <col min="9488" max="9488" width="11.09765625" style="39" customWidth="1"/>
    <col min="9489" max="9489" width="6.5" style="39" customWidth="1"/>
    <col min="9490" max="9490" width="46.59765625" style="39" customWidth="1"/>
    <col min="9491" max="9491" width="9.09765625" style="39" bestFit="1" customWidth="1"/>
    <col min="9492" max="9492" width="8.19921875" style="39" bestFit="1" customWidth="1"/>
    <col min="9493" max="9493" width="10.3984375" style="39" customWidth="1"/>
    <col min="9494" max="9494" width="0" style="39" hidden="1" customWidth="1"/>
    <col min="9495" max="9495" width="10" style="39" customWidth="1"/>
    <col min="9496" max="9496" width="6.09765625" style="39" customWidth="1"/>
    <col min="9497" max="9731" width="10" style="39" customWidth="1"/>
    <col min="9732" max="9732" width="11.19921875" style="39" customWidth="1"/>
    <col min="9733" max="9738" width="10" style="39" customWidth="1"/>
    <col min="9739" max="9739" width="2.19921875" style="39" customWidth="1"/>
    <col min="9740" max="9740" width="4.8984375" style="39" customWidth="1"/>
    <col min="9741" max="9741" width="12.59765625" style="39" customWidth="1"/>
    <col min="9742" max="9742" width="45.19921875" style="39" bestFit="1" customWidth="1"/>
    <col min="9743" max="9743" width="7.19921875" style="39" customWidth="1"/>
    <col min="9744" max="9744" width="11.09765625" style="39" customWidth="1"/>
    <col min="9745" max="9745" width="6.5" style="39" customWidth="1"/>
    <col min="9746" max="9746" width="46.59765625" style="39" customWidth="1"/>
    <col min="9747" max="9747" width="9.09765625" style="39" bestFit="1" customWidth="1"/>
    <col min="9748" max="9748" width="8.19921875" style="39" bestFit="1" customWidth="1"/>
    <col min="9749" max="9749" width="10.3984375" style="39" customWidth="1"/>
    <col min="9750" max="9750" width="0" style="39" hidden="1" customWidth="1"/>
    <col min="9751" max="9751" width="10" style="39" customWidth="1"/>
    <col min="9752" max="9752" width="6.09765625" style="39" customWidth="1"/>
    <col min="9753" max="9987" width="10" style="39" customWidth="1"/>
    <col min="9988" max="9988" width="11.19921875" style="39" customWidth="1"/>
    <col min="9989" max="9994" width="10" style="39" customWidth="1"/>
    <col min="9995" max="9995" width="2.19921875" style="39" customWidth="1"/>
    <col min="9996" max="9996" width="4.8984375" style="39" customWidth="1"/>
    <col min="9997" max="9997" width="12.59765625" style="39" customWidth="1"/>
    <col min="9998" max="9998" width="45.19921875" style="39" bestFit="1" customWidth="1"/>
    <col min="9999" max="9999" width="7.19921875" style="39" customWidth="1"/>
    <col min="10000" max="10000" width="11.09765625" style="39" customWidth="1"/>
    <col min="10001" max="10001" width="6.5" style="39" customWidth="1"/>
    <col min="10002" max="10002" width="46.59765625" style="39" customWidth="1"/>
    <col min="10003" max="10003" width="9.09765625" style="39" bestFit="1" customWidth="1"/>
    <col min="10004" max="10004" width="8.19921875" style="39" bestFit="1" customWidth="1"/>
    <col min="10005" max="10005" width="10.3984375" style="39" customWidth="1"/>
    <col min="10006" max="10006" width="0" style="39" hidden="1" customWidth="1"/>
    <col min="10007" max="10007" width="10" style="39" customWidth="1"/>
    <col min="10008" max="10008" width="6.09765625" style="39" customWidth="1"/>
    <col min="10009" max="10243" width="10" style="39" customWidth="1"/>
    <col min="10244" max="10244" width="11.19921875" style="39" customWidth="1"/>
    <col min="10245" max="10250" width="10" style="39" customWidth="1"/>
    <col min="10251" max="10251" width="2.19921875" style="39" customWidth="1"/>
    <col min="10252" max="10252" width="4.8984375" style="39" customWidth="1"/>
    <col min="10253" max="10253" width="12.59765625" style="39" customWidth="1"/>
    <col min="10254" max="10254" width="45.19921875" style="39" bestFit="1" customWidth="1"/>
    <col min="10255" max="10255" width="7.19921875" style="39" customWidth="1"/>
    <col min="10256" max="10256" width="11.09765625" style="39" customWidth="1"/>
    <col min="10257" max="10257" width="6.5" style="39" customWidth="1"/>
    <col min="10258" max="10258" width="46.59765625" style="39" customWidth="1"/>
    <col min="10259" max="10259" width="9.09765625" style="39" bestFit="1" customWidth="1"/>
    <col min="10260" max="10260" width="8.19921875" style="39" bestFit="1" customWidth="1"/>
    <col min="10261" max="10261" width="10.3984375" style="39" customWidth="1"/>
    <col min="10262" max="10262" width="0" style="39" hidden="1" customWidth="1"/>
    <col min="10263" max="10263" width="10" style="39" customWidth="1"/>
    <col min="10264" max="10264" width="6.09765625" style="39" customWidth="1"/>
    <col min="10265" max="10499" width="10" style="39" customWidth="1"/>
    <col min="10500" max="10500" width="11.19921875" style="39" customWidth="1"/>
    <col min="10501" max="10506" width="10" style="39" customWidth="1"/>
    <col min="10507" max="10507" width="2.19921875" style="39" customWidth="1"/>
    <col min="10508" max="10508" width="4.8984375" style="39" customWidth="1"/>
    <col min="10509" max="10509" width="12.59765625" style="39" customWidth="1"/>
    <col min="10510" max="10510" width="45.19921875" style="39" bestFit="1" customWidth="1"/>
    <col min="10511" max="10511" width="7.19921875" style="39" customWidth="1"/>
    <col min="10512" max="10512" width="11.09765625" style="39" customWidth="1"/>
    <col min="10513" max="10513" width="6.5" style="39" customWidth="1"/>
    <col min="10514" max="10514" width="46.59765625" style="39" customWidth="1"/>
    <col min="10515" max="10515" width="9.09765625" style="39" bestFit="1" customWidth="1"/>
    <col min="10516" max="10516" width="8.19921875" style="39" bestFit="1" customWidth="1"/>
    <col min="10517" max="10517" width="10.3984375" style="39" customWidth="1"/>
    <col min="10518" max="10518" width="0" style="39" hidden="1" customWidth="1"/>
    <col min="10519" max="10519" width="10" style="39" customWidth="1"/>
    <col min="10520" max="10520" width="6.09765625" style="39" customWidth="1"/>
    <col min="10521" max="10755" width="10" style="39" customWidth="1"/>
    <col min="10756" max="10756" width="11.19921875" style="39" customWidth="1"/>
    <col min="10757" max="10762" width="10" style="39" customWidth="1"/>
    <col min="10763" max="10763" width="2.19921875" style="39" customWidth="1"/>
    <col min="10764" max="10764" width="4.8984375" style="39" customWidth="1"/>
    <col min="10765" max="10765" width="12.59765625" style="39" customWidth="1"/>
    <col min="10766" max="10766" width="45.19921875" style="39" bestFit="1" customWidth="1"/>
    <col min="10767" max="10767" width="7.19921875" style="39" customWidth="1"/>
    <col min="10768" max="10768" width="11.09765625" style="39" customWidth="1"/>
    <col min="10769" max="10769" width="6.5" style="39" customWidth="1"/>
    <col min="10770" max="10770" width="46.59765625" style="39" customWidth="1"/>
    <col min="10771" max="10771" width="9.09765625" style="39" bestFit="1" customWidth="1"/>
    <col min="10772" max="10772" width="8.19921875" style="39" bestFit="1" customWidth="1"/>
    <col min="10773" max="10773" width="10.3984375" style="39" customWidth="1"/>
    <col min="10774" max="10774" width="0" style="39" hidden="1" customWidth="1"/>
    <col min="10775" max="10775" width="10" style="39" customWidth="1"/>
    <col min="10776" max="10776" width="6.09765625" style="39" customWidth="1"/>
    <col min="10777" max="11011" width="10" style="39" customWidth="1"/>
    <col min="11012" max="11012" width="11.19921875" style="39" customWidth="1"/>
    <col min="11013" max="11018" width="10" style="39" customWidth="1"/>
    <col min="11019" max="11019" width="2.19921875" style="39" customWidth="1"/>
    <col min="11020" max="11020" width="4.8984375" style="39" customWidth="1"/>
    <col min="11021" max="11021" width="12.59765625" style="39" customWidth="1"/>
    <col min="11022" max="11022" width="45.19921875" style="39" bestFit="1" customWidth="1"/>
    <col min="11023" max="11023" width="7.19921875" style="39" customWidth="1"/>
    <col min="11024" max="11024" width="11.09765625" style="39" customWidth="1"/>
    <col min="11025" max="11025" width="6.5" style="39" customWidth="1"/>
    <col min="11026" max="11026" width="46.59765625" style="39" customWidth="1"/>
    <col min="11027" max="11027" width="9.09765625" style="39" bestFit="1" customWidth="1"/>
    <col min="11028" max="11028" width="8.19921875" style="39" bestFit="1" customWidth="1"/>
    <col min="11029" max="11029" width="10.3984375" style="39" customWidth="1"/>
    <col min="11030" max="11030" width="0" style="39" hidden="1" customWidth="1"/>
    <col min="11031" max="11031" width="10" style="39" customWidth="1"/>
    <col min="11032" max="11032" width="6.09765625" style="39" customWidth="1"/>
    <col min="11033" max="11267" width="10" style="39" customWidth="1"/>
    <col min="11268" max="11268" width="11.19921875" style="39" customWidth="1"/>
    <col min="11269" max="11274" width="10" style="39" customWidth="1"/>
    <col min="11275" max="11275" width="2.19921875" style="39" customWidth="1"/>
    <col min="11276" max="11276" width="4.8984375" style="39" customWidth="1"/>
    <col min="11277" max="11277" width="12.59765625" style="39" customWidth="1"/>
    <col min="11278" max="11278" width="45.19921875" style="39" bestFit="1" customWidth="1"/>
    <col min="11279" max="11279" width="7.19921875" style="39" customWidth="1"/>
    <col min="11280" max="11280" width="11.09765625" style="39" customWidth="1"/>
    <col min="11281" max="11281" width="6.5" style="39" customWidth="1"/>
    <col min="11282" max="11282" width="46.59765625" style="39" customWidth="1"/>
    <col min="11283" max="11283" width="9.09765625" style="39" bestFit="1" customWidth="1"/>
    <col min="11284" max="11284" width="8.19921875" style="39" bestFit="1" customWidth="1"/>
    <col min="11285" max="11285" width="10.3984375" style="39" customWidth="1"/>
    <col min="11286" max="11286" width="0" style="39" hidden="1" customWidth="1"/>
    <col min="11287" max="11287" width="10" style="39" customWidth="1"/>
    <col min="11288" max="11288" width="6.09765625" style="39" customWidth="1"/>
    <col min="11289" max="11523" width="10" style="39" customWidth="1"/>
    <col min="11524" max="11524" width="11.19921875" style="39" customWidth="1"/>
    <col min="11525" max="11530" width="10" style="39" customWidth="1"/>
    <col min="11531" max="11531" width="2.19921875" style="39" customWidth="1"/>
    <col min="11532" max="11532" width="4.8984375" style="39" customWidth="1"/>
    <col min="11533" max="11533" width="12.59765625" style="39" customWidth="1"/>
    <col min="11534" max="11534" width="45.19921875" style="39" bestFit="1" customWidth="1"/>
    <col min="11535" max="11535" width="7.19921875" style="39" customWidth="1"/>
    <col min="11536" max="11536" width="11.09765625" style="39" customWidth="1"/>
    <col min="11537" max="11537" width="6.5" style="39" customWidth="1"/>
    <col min="11538" max="11538" width="46.59765625" style="39" customWidth="1"/>
    <col min="11539" max="11539" width="9.09765625" style="39" bestFit="1" customWidth="1"/>
    <col min="11540" max="11540" width="8.19921875" style="39" bestFit="1" customWidth="1"/>
    <col min="11541" max="11541" width="10.3984375" style="39" customWidth="1"/>
    <col min="11542" max="11542" width="0" style="39" hidden="1" customWidth="1"/>
    <col min="11543" max="11543" width="10" style="39" customWidth="1"/>
    <col min="11544" max="11544" width="6.09765625" style="39" customWidth="1"/>
    <col min="11545" max="11779" width="10" style="39" customWidth="1"/>
    <col min="11780" max="11780" width="11.19921875" style="39" customWidth="1"/>
    <col min="11781" max="11786" width="10" style="39" customWidth="1"/>
    <col min="11787" max="11787" width="2.19921875" style="39" customWidth="1"/>
    <col min="11788" max="11788" width="4.8984375" style="39" customWidth="1"/>
    <col min="11789" max="11789" width="12.59765625" style="39" customWidth="1"/>
    <col min="11790" max="11790" width="45.19921875" style="39" bestFit="1" customWidth="1"/>
    <col min="11791" max="11791" width="7.19921875" style="39" customWidth="1"/>
    <col min="11792" max="11792" width="11.09765625" style="39" customWidth="1"/>
    <col min="11793" max="11793" width="6.5" style="39" customWidth="1"/>
    <col min="11794" max="11794" width="46.59765625" style="39" customWidth="1"/>
    <col min="11795" max="11795" width="9.09765625" style="39" bestFit="1" customWidth="1"/>
    <col min="11796" max="11796" width="8.19921875" style="39" bestFit="1" customWidth="1"/>
    <col min="11797" max="11797" width="10.3984375" style="39" customWidth="1"/>
    <col min="11798" max="11798" width="0" style="39" hidden="1" customWidth="1"/>
    <col min="11799" max="11799" width="10" style="39" customWidth="1"/>
    <col min="11800" max="11800" width="6.09765625" style="39" customWidth="1"/>
    <col min="11801" max="12035" width="10" style="39" customWidth="1"/>
    <col min="12036" max="12036" width="11.19921875" style="39" customWidth="1"/>
    <col min="12037" max="12042" width="10" style="39" customWidth="1"/>
    <col min="12043" max="12043" width="2.19921875" style="39" customWidth="1"/>
    <col min="12044" max="12044" width="4.8984375" style="39" customWidth="1"/>
    <col min="12045" max="12045" width="12.59765625" style="39" customWidth="1"/>
    <col min="12046" max="12046" width="45.19921875" style="39" bestFit="1" customWidth="1"/>
    <col min="12047" max="12047" width="7.19921875" style="39" customWidth="1"/>
    <col min="12048" max="12048" width="11.09765625" style="39" customWidth="1"/>
    <col min="12049" max="12049" width="6.5" style="39" customWidth="1"/>
    <col min="12050" max="12050" width="46.59765625" style="39" customWidth="1"/>
    <col min="12051" max="12051" width="9.09765625" style="39" bestFit="1" customWidth="1"/>
    <col min="12052" max="12052" width="8.19921875" style="39" bestFit="1" customWidth="1"/>
    <col min="12053" max="12053" width="10.3984375" style="39" customWidth="1"/>
    <col min="12054" max="12054" width="0" style="39" hidden="1" customWidth="1"/>
    <col min="12055" max="12055" width="10" style="39" customWidth="1"/>
    <col min="12056" max="12056" width="6.09765625" style="39" customWidth="1"/>
    <col min="12057" max="12291" width="10" style="39" customWidth="1"/>
    <col min="12292" max="12292" width="11.19921875" style="39" customWidth="1"/>
    <col min="12293" max="12298" width="10" style="39" customWidth="1"/>
    <col min="12299" max="12299" width="2.19921875" style="39" customWidth="1"/>
    <col min="12300" max="12300" width="4.8984375" style="39" customWidth="1"/>
    <col min="12301" max="12301" width="12.59765625" style="39" customWidth="1"/>
    <col min="12302" max="12302" width="45.19921875" style="39" bestFit="1" customWidth="1"/>
    <col min="12303" max="12303" width="7.19921875" style="39" customWidth="1"/>
    <col min="12304" max="12304" width="11.09765625" style="39" customWidth="1"/>
    <col min="12305" max="12305" width="6.5" style="39" customWidth="1"/>
    <col min="12306" max="12306" width="46.59765625" style="39" customWidth="1"/>
    <col min="12307" max="12307" width="9.09765625" style="39" bestFit="1" customWidth="1"/>
    <col min="12308" max="12308" width="8.19921875" style="39" bestFit="1" customWidth="1"/>
    <col min="12309" max="12309" width="10.3984375" style="39" customWidth="1"/>
    <col min="12310" max="12310" width="0" style="39" hidden="1" customWidth="1"/>
    <col min="12311" max="12311" width="10" style="39" customWidth="1"/>
    <col min="12312" max="12312" width="6.09765625" style="39" customWidth="1"/>
    <col min="12313" max="12547" width="10" style="39" customWidth="1"/>
    <col min="12548" max="12548" width="11.19921875" style="39" customWidth="1"/>
    <col min="12549" max="12554" width="10" style="39" customWidth="1"/>
    <col min="12555" max="12555" width="2.19921875" style="39" customWidth="1"/>
    <col min="12556" max="12556" width="4.8984375" style="39" customWidth="1"/>
    <col min="12557" max="12557" width="12.59765625" style="39" customWidth="1"/>
    <col min="12558" max="12558" width="45.19921875" style="39" bestFit="1" customWidth="1"/>
    <col min="12559" max="12559" width="7.19921875" style="39" customWidth="1"/>
    <col min="12560" max="12560" width="11.09765625" style="39" customWidth="1"/>
    <col min="12561" max="12561" width="6.5" style="39" customWidth="1"/>
    <col min="12562" max="12562" width="46.59765625" style="39" customWidth="1"/>
    <col min="12563" max="12563" width="9.09765625" style="39" bestFit="1" customWidth="1"/>
    <col min="12564" max="12564" width="8.19921875" style="39" bestFit="1" customWidth="1"/>
    <col min="12565" max="12565" width="10.3984375" style="39" customWidth="1"/>
    <col min="12566" max="12566" width="0" style="39" hidden="1" customWidth="1"/>
    <col min="12567" max="12567" width="10" style="39" customWidth="1"/>
    <col min="12568" max="12568" width="6.09765625" style="39" customWidth="1"/>
    <col min="12569" max="12803" width="10" style="39" customWidth="1"/>
    <col min="12804" max="12804" width="11.19921875" style="39" customWidth="1"/>
    <col min="12805" max="12810" width="10" style="39" customWidth="1"/>
    <col min="12811" max="12811" width="2.19921875" style="39" customWidth="1"/>
    <col min="12812" max="12812" width="4.8984375" style="39" customWidth="1"/>
    <col min="12813" max="12813" width="12.59765625" style="39" customWidth="1"/>
    <col min="12814" max="12814" width="45.19921875" style="39" bestFit="1" customWidth="1"/>
    <col min="12815" max="12815" width="7.19921875" style="39" customWidth="1"/>
    <col min="12816" max="12816" width="11.09765625" style="39" customWidth="1"/>
    <col min="12817" max="12817" width="6.5" style="39" customWidth="1"/>
    <col min="12818" max="12818" width="46.59765625" style="39" customWidth="1"/>
    <col min="12819" max="12819" width="9.09765625" style="39" bestFit="1" customWidth="1"/>
    <col min="12820" max="12820" width="8.19921875" style="39" bestFit="1" customWidth="1"/>
    <col min="12821" max="12821" width="10.3984375" style="39" customWidth="1"/>
    <col min="12822" max="12822" width="0" style="39" hidden="1" customWidth="1"/>
    <col min="12823" max="12823" width="10" style="39" customWidth="1"/>
    <col min="12824" max="12824" width="6.09765625" style="39" customWidth="1"/>
    <col min="12825" max="13059" width="10" style="39" customWidth="1"/>
    <col min="13060" max="13060" width="11.19921875" style="39" customWidth="1"/>
    <col min="13061" max="13066" width="10" style="39" customWidth="1"/>
    <col min="13067" max="13067" width="2.19921875" style="39" customWidth="1"/>
    <col min="13068" max="13068" width="4.8984375" style="39" customWidth="1"/>
    <col min="13069" max="13069" width="12.59765625" style="39" customWidth="1"/>
    <col min="13070" max="13070" width="45.19921875" style="39" bestFit="1" customWidth="1"/>
    <col min="13071" max="13071" width="7.19921875" style="39" customWidth="1"/>
    <col min="13072" max="13072" width="11.09765625" style="39" customWidth="1"/>
    <col min="13073" max="13073" width="6.5" style="39" customWidth="1"/>
    <col min="13074" max="13074" width="46.59765625" style="39" customWidth="1"/>
    <col min="13075" max="13075" width="9.09765625" style="39" bestFit="1" customWidth="1"/>
    <col min="13076" max="13076" width="8.19921875" style="39" bestFit="1" customWidth="1"/>
    <col min="13077" max="13077" width="10.3984375" style="39" customWidth="1"/>
    <col min="13078" max="13078" width="0" style="39" hidden="1" customWidth="1"/>
    <col min="13079" max="13079" width="10" style="39" customWidth="1"/>
    <col min="13080" max="13080" width="6.09765625" style="39" customWidth="1"/>
    <col min="13081" max="13315" width="10" style="39" customWidth="1"/>
    <col min="13316" max="13316" width="11.19921875" style="39" customWidth="1"/>
    <col min="13317" max="13322" width="10" style="39" customWidth="1"/>
    <col min="13323" max="13323" width="2.19921875" style="39" customWidth="1"/>
    <col min="13324" max="13324" width="4.8984375" style="39" customWidth="1"/>
    <col min="13325" max="13325" width="12.59765625" style="39" customWidth="1"/>
    <col min="13326" max="13326" width="45.19921875" style="39" bestFit="1" customWidth="1"/>
    <col min="13327" max="13327" width="7.19921875" style="39" customWidth="1"/>
    <col min="13328" max="13328" width="11.09765625" style="39" customWidth="1"/>
    <col min="13329" max="13329" width="6.5" style="39" customWidth="1"/>
    <col min="13330" max="13330" width="46.59765625" style="39" customWidth="1"/>
    <col min="13331" max="13331" width="9.09765625" style="39" bestFit="1" customWidth="1"/>
    <col min="13332" max="13332" width="8.19921875" style="39" bestFit="1" customWidth="1"/>
    <col min="13333" max="13333" width="10.3984375" style="39" customWidth="1"/>
    <col min="13334" max="13334" width="0" style="39" hidden="1" customWidth="1"/>
    <col min="13335" max="13335" width="10" style="39" customWidth="1"/>
    <col min="13336" max="13336" width="6.09765625" style="39" customWidth="1"/>
    <col min="13337" max="13571" width="10" style="39" customWidth="1"/>
    <col min="13572" max="13572" width="11.19921875" style="39" customWidth="1"/>
    <col min="13573" max="13578" width="10" style="39" customWidth="1"/>
    <col min="13579" max="13579" width="2.19921875" style="39" customWidth="1"/>
    <col min="13580" max="13580" width="4.8984375" style="39" customWidth="1"/>
    <col min="13581" max="13581" width="12.59765625" style="39" customWidth="1"/>
    <col min="13582" max="13582" width="45.19921875" style="39" bestFit="1" customWidth="1"/>
    <col min="13583" max="13583" width="7.19921875" style="39" customWidth="1"/>
    <col min="13584" max="13584" width="11.09765625" style="39" customWidth="1"/>
    <col min="13585" max="13585" width="6.5" style="39" customWidth="1"/>
    <col min="13586" max="13586" width="46.59765625" style="39" customWidth="1"/>
    <col min="13587" max="13587" width="9.09765625" style="39" bestFit="1" customWidth="1"/>
    <col min="13588" max="13588" width="8.19921875" style="39" bestFit="1" customWidth="1"/>
    <col min="13589" max="13589" width="10.3984375" style="39" customWidth="1"/>
    <col min="13590" max="13590" width="0" style="39" hidden="1" customWidth="1"/>
    <col min="13591" max="13591" width="10" style="39" customWidth="1"/>
    <col min="13592" max="13592" width="6.09765625" style="39" customWidth="1"/>
    <col min="13593" max="13827" width="10" style="39" customWidth="1"/>
    <col min="13828" max="13828" width="11.19921875" style="39" customWidth="1"/>
    <col min="13829" max="13834" width="10" style="39" customWidth="1"/>
    <col min="13835" max="13835" width="2.19921875" style="39" customWidth="1"/>
    <col min="13836" max="13836" width="4.8984375" style="39" customWidth="1"/>
    <col min="13837" max="13837" width="12.59765625" style="39" customWidth="1"/>
    <col min="13838" max="13838" width="45.19921875" style="39" bestFit="1" customWidth="1"/>
    <col min="13839" max="13839" width="7.19921875" style="39" customWidth="1"/>
    <col min="13840" max="13840" width="11.09765625" style="39" customWidth="1"/>
    <col min="13841" max="13841" width="6.5" style="39" customWidth="1"/>
    <col min="13842" max="13842" width="46.59765625" style="39" customWidth="1"/>
    <col min="13843" max="13843" width="9.09765625" style="39" bestFit="1" customWidth="1"/>
    <col min="13844" max="13844" width="8.19921875" style="39" bestFit="1" customWidth="1"/>
    <col min="13845" max="13845" width="10.3984375" style="39" customWidth="1"/>
    <col min="13846" max="13846" width="0" style="39" hidden="1" customWidth="1"/>
    <col min="13847" max="13847" width="10" style="39" customWidth="1"/>
    <col min="13848" max="13848" width="6.09765625" style="39" customWidth="1"/>
    <col min="13849" max="14083" width="10" style="39" customWidth="1"/>
    <col min="14084" max="14084" width="11.19921875" style="39" customWidth="1"/>
    <col min="14085" max="14090" width="10" style="39" customWidth="1"/>
    <col min="14091" max="14091" width="2.19921875" style="39" customWidth="1"/>
    <col min="14092" max="14092" width="4.8984375" style="39" customWidth="1"/>
    <col min="14093" max="14093" width="12.59765625" style="39" customWidth="1"/>
    <col min="14094" max="14094" width="45.19921875" style="39" bestFit="1" customWidth="1"/>
    <col min="14095" max="14095" width="7.19921875" style="39" customWidth="1"/>
    <col min="14096" max="14096" width="11.09765625" style="39" customWidth="1"/>
    <col min="14097" max="14097" width="6.5" style="39" customWidth="1"/>
    <col min="14098" max="14098" width="46.59765625" style="39" customWidth="1"/>
    <col min="14099" max="14099" width="9.09765625" style="39" bestFit="1" customWidth="1"/>
    <col min="14100" max="14100" width="8.19921875" style="39" bestFit="1" customWidth="1"/>
    <col min="14101" max="14101" width="10.3984375" style="39" customWidth="1"/>
    <col min="14102" max="14102" width="0" style="39" hidden="1" customWidth="1"/>
    <col min="14103" max="14103" width="10" style="39" customWidth="1"/>
    <col min="14104" max="14104" width="6.09765625" style="39" customWidth="1"/>
    <col min="14105" max="14339" width="10" style="39" customWidth="1"/>
    <col min="14340" max="14340" width="11.19921875" style="39" customWidth="1"/>
    <col min="14341" max="14346" width="10" style="39" customWidth="1"/>
    <col min="14347" max="14347" width="2.19921875" style="39" customWidth="1"/>
    <col min="14348" max="14348" width="4.8984375" style="39" customWidth="1"/>
    <col min="14349" max="14349" width="12.59765625" style="39" customWidth="1"/>
    <col min="14350" max="14350" width="45.19921875" style="39" bestFit="1" customWidth="1"/>
    <col min="14351" max="14351" width="7.19921875" style="39" customWidth="1"/>
    <col min="14352" max="14352" width="11.09765625" style="39" customWidth="1"/>
    <col min="14353" max="14353" width="6.5" style="39" customWidth="1"/>
    <col min="14354" max="14354" width="46.59765625" style="39" customWidth="1"/>
    <col min="14355" max="14355" width="9.09765625" style="39" bestFit="1" customWidth="1"/>
    <col min="14356" max="14356" width="8.19921875" style="39" bestFit="1" customWidth="1"/>
    <col min="14357" max="14357" width="10.3984375" style="39" customWidth="1"/>
    <col min="14358" max="14358" width="0" style="39" hidden="1" customWidth="1"/>
    <col min="14359" max="14359" width="10" style="39" customWidth="1"/>
    <col min="14360" max="14360" width="6.09765625" style="39" customWidth="1"/>
    <col min="14361" max="14595" width="10" style="39" customWidth="1"/>
    <col min="14596" max="14596" width="11.19921875" style="39" customWidth="1"/>
    <col min="14597" max="14602" width="10" style="39" customWidth="1"/>
    <col min="14603" max="14603" width="2.19921875" style="39" customWidth="1"/>
    <col min="14604" max="14604" width="4.8984375" style="39" customWidth="1"/>
    <col min="14605" max="14605" width="12.59765625" style="39" customWidth="1"/>
    <col min="14606" max="14606" width="45.19921875" style="39" bestFit="1" customWidth="1"/>
    <col min="14607" max="14607" width="7.19921875" style="39" customWidth="1"/>
    <col min="14608" max="14608" width="11.09765625" style="39" customWidth="1"/>
    <col min="14609" max="14609" width="6.5" style="39" customWidth="1"/>
    <col min="14610" max="14610" width="46.59765625" style="39" customWidth="1"/>
    <col min="14611" max="14611" width="9.09765625" style="39" bestFit="1" customWidth="1"/>
    <col min="14612" max="14612" width="8.19921875" style="39" bestFit="1" customWidth="1"/>
    <col min="14613" max="14613" width="10.3984375" style="39" customWidth="1"/>
    <col min="14614" max="14614" width="0" style="39" hidden="1" customWidth="1"/>
    <col min="14615" max="14615" width="10" style="39" customWidth="1"/>
    <col min="14616" max="14616" width="6.09765625" style="39" customWidth="1"/>
    <col min="14617" max="14851" width="10" style="39" customWidth="1"/>
    <col min="14852" max="14852" width="11.19921875" style="39" customWidth="1"/>
    <col min="14853" max="14858" width="10" style="39" customWidth="1"/>
    <col min="14859" max="14859" width="2.19921875" style="39" customWidth="1"/>
    <col min="14860" max="14860" width="4.8984375" style="39" customWidth="1"/>
    <col min="14861" max="14861" width="12.59765625" style="39" customWidth="1"/>
    <col min="14862" max="14862" width="45.19921875" style="39" bestFit="1" customWidth="1"/>
    <col min="14863" max="14863" width="7.19921875" style="39" customWidth="1"/>
    <col min="14864" max="14864" width="11.09765625" style="39" customWidth="1"/>
    <col min="14865" max="14865" width="6.5" style="39" customWidth="1"/>
    <col min="14866" max="14866" width="46.59765625" style="39" customWidth="1"/>
    <col min="14867" max="14867" width="9.09765625" style="39" bestFit="1" customWidth="1"/>
    <col min="14868" max="14868" width="8.19921875" style="39" bestFit="1" customWidth="1"/>
    <col min="14869" max="14869" width="10.3984375" style="39" customWidth="1"/>
    <col min="14870" max="14870" width="0" style="39" hidden="1" customWidth="1"/>
    <col min="14871" max="14871" width="10" style="39" customWidth="1"/>
    <col min="14872" max="14872" width="6.09765625" style="39" customWidth="1"/>
    <col min="14873" max="15107" width="10" style="39" customWidth="1"/>
    <col min="15108" max="15108" width="11.19921875" style="39" customWidth="1"/>
    <col min="15109" max="15114" width="10" style="39" customWidth="1"/>
    <col min="15115" max="15115" width="2.19921875" style="39" customWidth="1"/>
    <col min="15116" max="15116" width="4.8984375" style="39" customWidth="1"/>
    <col min="15117" max="15117" width="12.59765625" style="39" customWidth="1"/>
    <col min="15118" max="15118" width="45.19921875" style="39" bestFit="1" customWidth="1"/>
    <col min="15119" max="15119" width="7.19921875" style="39" customWidth="1"/>
    <col min="15120" max="15120" width="11.09765625" style="39" customWidth="1"/>
    <col min="15121" max="15121" width="6.5" style="39" customWidth="1"/>
    <col min="15122" max="15122" width="46.59765625" style="39" customWidth="1"/>
    <col min="15123" max="15123" width="9.09765625" style="39" bestFit="1" customWidth="1"/>
    <col min="15124" max="15124" width="8.19921875" style="39" bestFit="1" customWidth="1"/>
    <col min="15125" max="15125" width="10.3984375" style="39" customWidth="1"/>
    <col min="15126" max="15126" width="0" style="39" hidden="1" customWidth="1"/>
    <col min="15127" max="15127" width="10" style="39" customWidth="1"/>
    <col min="15128" max="15128" width="6.09765625" style="39" customWidth="1"/>
    <col min="15129" max="15363" width="10" style="39" customWidth="1"/>
    <col min="15364" max="15364" width="11.19921875" style="39" customWidth="1"/>
    <col min="15365" max="15370" width="10" style="39" customWidth="1"/>
    <col min="15371" max="15371" width="2.19921875" style="39" customWidth="1"/>
    <col min="15372" max="15372" width="4.8984375" style="39" customWidth="1"/>
    <col min="15373" max="15373" width="12.59765625" style="39" customWidth="1"/>
    <col min="15374" max="15374" width="45.19921875" style="39" bestFit="1" customWidth="1"/>
    <col min="15375" max="15375" width="7.19921875" style="39" customWidth="1"/>
    <col min="15376" max="15376" width="11.09765625" style="39" customWidth="1"/>
    <col min="15377" max="15377" width="6.5" style="39" customWidth="1"/>
    <col min="15378" max="15378" width="46.59765625" style="39" customWidth="1"/>
    <col min="15379" max="15379" width="9.09765625" style="39" bestFit="1" customWidth="1"/>
    <col min="15380" max="15380" width="8.19921875" style="39" bestFit="1" customWidth="1"/>
    <col min="15381" max="15381" width="10.3984375" style="39" customWidth="1"/>
    <col min="15382" max="15382" width="0" style="39" hidden="1" customWidth="1"/>
    <col min="15383" max="15383" width="10" style="39" customWidth="1"/>
    <col min="15384" max="15384" width="6.09765625" style="39" customWidth="1"/>
    <col min="15385" max="15619" width="10" style="39" customWidth="1"/>
    <col min="15620" max="15620" width="11.19921875" style="39" customWidth="1"/>
    <col min="15621" max="15626" width="10" style="39" customWidth="1"/>
    <col min="15627" max="15627" width="2.19921875" style="39" customWidth="1"/>
    <col min="15628" max="15628" width="4.8984375" style="39" customWidth="1"/>
    <col min="15629" max="15629" width="12.59765625" style="39" customWidth="1"/>
    <col min="15630" max="15630" width="45.19921875" style="39" bestFit="1" customWidth="1"/>
    <col min="15631" max="15631" width="7.19921875" style="39" customWidth="1"/>
    <col min="15632" max="15632" width="11.09765625" style="39" customWidth="1"/>
    <col min="15633" max="15633" width="6.5" style="39" customWidth="1"/>
    <col min="15634" max="15634" width="46.59765625" style="39" customWidth="1"/>
    <col min="15635" max="15635" width="9.09765625" style="39" bestFit="1" customWidth="1"/>
    <col min="15636" max="15636" width="8.19921875" style="39" bestFit="1" customWidth="1"/>
    <col min="15637" max="15637" width="10.3984375" style="39" customWidth="1"/>
    <col min="15638" max="15638" width="0" style="39" hidden="1" customWidth="1"/>
    <col min="15639" max="15639" width="10" style="39" customWidth="1"/>
    <col min="15640" max="15640" width="6.09765625" style="39" customWidth="1"/>
    <col min="15641" max="15875" width="10" style="39" customWidth="1"/>
    <col min="15876" max="15876" width="11.19921875" style="39" customWidth="1"/>
    <col min="15877" max="15882" width="10" style="39" customWidth="1"/>
    <col min="15883" max="15883" width="2.19921875" style="39" customWidth="1"/>
    <col min="15884" max="15884" width="4.8984375" style="39" customWidth="1"/>
    <col min="15885" max="15885" width="12.59765625" style="39" customWidth="1"/>
    <col min="15886" max="15886" width="45.19921875" style="39" bestFit="1" customWidth="1"/>
    <col min="15887" max="15887" width="7.19921875" style="39" customWidth="1"/>
    <col min="15888" max="15888" width="11.09765625" style="39" customWidth="1"/>
    <col min="15889" max="15889" width="6.5" style="39" customWidth="1"/>
    <col min="15890" max="15890" width="46.59765625" style="39" customWidth="1"/>
    <col min="15891" max="15891" width="9.09765625" style="39" bestFit="1" customWidth="1"/>
    <col min="15892" max="15892" width="8.19921875" style="39" bestFit="1" customWidth="1"/>
    <col min="15893" max="15893" width="10.3984375" style="39" customWidth="1"/>
    <col min="15894" max="15894" width="0" style="39" hidden="1" customWidth="1"/>
    <col min="15895" max="15895" width="10" style="39" customWidth="1"/>
    <col min="15896" max="15896" width="6.09765625" style="39" customWidth="1"/>
    <col min="15897" max="16131" width="10" style="39" customWidth="1"/>
    <col min="16132" max="16132" width="11.19921875" style="39" customWidth="1"/>
    <col min="16133" max="16138" width="10" style="39" customWidth="1"/>
    <col min="16139" max="16139" width="2.19921875" style="39" customWidth="1"/>
    <col min="16140" max="16140" width="4.8984375" style="39" customWidth="1"/>
    <col min="16141" max="16141" width="12.59765625" style="39" customWidth="1"/>
    <col min="16142" max="16142" width="45.19921875" style="39" bestFit="1" customWidth="1"/>
    <col min="16143" max="16143" width="7.19921875" style="39" customWidth="1"/>
    <col min="16144" max="16144" width="11.09765625" style="39" customWidth="1"/>
    <col min="16145" max="16145" width="6.5" style="39" customWidth="1"/>
    <col min="16146" max="16146" width="46.59765625" style="39" customWidth="1"/>
    <col min="16147" max="16147" width="9.09765625" style="39" bestFit="1" customWidth="1"/>
    <col min="16148" max="16148" width="8.19921875" style="39" bestFit="1" customWidth="1"/>
    <col min="16149" max="16149" width="10.3984375" style="39" customWidth="1"/>
    <col min="16150" max="16150" width="0" style="39" hidden="1" customWidth="1"/>
    <col min="16151" max="16151" width="10" style="39" customWidth="1"/>
    <col min="16152" max="16152" width="6.09765625" style="39" customWidth="1"/>
    <col min="16153" max="16384" width="10" style="39" customWidth="1"/>
  </cols>
  <sheetData>
    <row r="1" spans="1:18">
      <c r="B1" s="344"/>
      <c r="C1" s="345"/>
      <c r="D1" s="345"/>
      <c r="E1" s="345"/>
    </row>
    <row r="2" spans="1:18">
      <c r="B2" s="344"/>
      <c r="C2" s="345"/>
      <c r="D2" s="345"/>
      <c r="E2" s="345"/>
    </row>
    <row r="3" spans="1:18" ht="25.8">
      <c r="B3" s="81"/>
      <c r="C3" s="345"/>
      <c r="D3" s="345"/>
      <c r="M3" s="392"/>
      <c r="N3" s="392"/>
      <c r="O3" s="392"/>
      <c r="P3" s="392"/>
      <c r="Q3" s="392"/>
      <c r="R3" s="393" t="s">
        <v>848</v>
      </c>
    </row>
    <row r="4" spans="1:18" ht="13.8">
      <c r="B4" s="344"/>
      <c r="C4" s="345"/>
      <c r="D4" s="345"/>
      <c r="E4" s="345"/>
      <c r="M4" s="392"/>
      <c r="N4" s="392"/>
      <c r="O4" s="392"/>
      <c r="P4" s="392"/>
      <c r="Q4" s="392"/>
      <c r="R4" s="392"/>
    </row>
    <row r="5" spans="1:18" ht="18">
      <c r="A5" s="394" t="s">
        <v>783</v>
      </c>
      <c r="B5" s="344"/>
      <c r="C5" s="345"/>
      <c r="D5" s="345"/>
      <c r="E5" s="345"/>
      <c r="M5" s="392"/>
      <c r="N5" s="392"/>
      <c r="O5" s="392"/>
      <c r="P5" s="392"/>
      <c r="Q5" s="392"/>
      <c r="R5" s="395"/>
    </row>
    <row r="6" spans="1:18" ht="13.8">
      <c r="B6" s="344"/>
      <c r="C6" s="345"/>
      <c r="D6" s="345"/>
      <c r="E6" s="345"/>
      <c r="M6" s="392"/>
      <c r="N6" s="392"/>
      <c r="O6" s="392"/>
      <c r="P6" s="392"/>
      <c r="Q6" s="392"/>
      <c r="R6" s="392"/>
    </row>
    <row r="7" spans="1:18" ht="13.8">
      <c r="B7" s="344"/>
      <c r="C7" s="345"/>
      <c r="D7" s="345"/>
      <c r="E7" s="345"/>
      <c r="M7" s="392"/>
      <c r="N7" s="392"/>
      <c r="O7" s="392"/>
      <c r="P7" s="392"/>
      <c r="Q7" s="392"/>
      <c r="R7" s="392"/>
    </row>
    <row r="8" spans="1:18" ht="17.399999999999999">
      <c r="A8" s="43" t="s">
        <v>849</v>
      </c>
      <c r="B8" s="396"/>
      <c r="C8" s="397"/>
      <c r="D8" s="397"/>
      <c r="E8" s="43"/>
      <c r="F8" s="373"/>
      <c r="G8" s="373"/>
      <c r="H8" s="373"/>
      <c r="I8" s="89"/>
      <c r="M8" s="392"/>
      <c r="N8" s="392"/>
      <c r="O8" s="392"/>
      <c r="P8" s="392"/>
      <c r="Q8" s="392"/>
      <c r="R8" s="392"/>
    </row>
    <row r="9" spans="1:18" ht="14.25" customHeight="1"/>
    <row r="29" spans="1:1" ht="17.399999999999999">
      <c r="A29" s="43" t="s">
        <v>850</v>
      </c>
    </row>
    <row r="47" spans="1:1" ht="17.399999999999999">
      <c r="A47" s="43" t="s">
        <v>851</v>
      </c>
    </row>
  </sheetData>
  <pageMargins left="0.23622047244094491" right="0.23622047244094491" top="0.74803149606299213" bottom="0.74803149606299213" header="0.31496062992125984" footer="0.31496062992125984"/>
  <pageSetup paperSize="9" scale="50" orientation="landscape" r:id="rId1"/>
  <headerFooter alignWithMargins="0"/>
  <rowBreaks count="6" manualBreakCount="6">
    <brk id="72" max="17" man="1"/>
    <brk id="126" max="17" man="1"/>
    <brk id="179" max="17" man="1"/>
    <brk id="237" max="17" man="1"/>
    <brk id="293" max="17" man="1"/>
    <brk id="352" max="17"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8"/>
  <dimension ref="B2:R78"/>
  <sheetViews>
    <sheetView zoomScale="85" zoomScaleNormal="85" workbookViewId="0">
      <selection activeCell="E5" sqref="E5"/>
    </sheetView>
  </sheetViews>
  <sheetFormatPr defaultRowHeight="13.2"/>
  <cols>
    <col min="1" max="2" width="10" style="39" customWidth="1"/>
    <col min="3" max="12" width="2.3984375" style="39" customWidth="1"/>
    <col min="13" max="13" width="25.69921875" style="39" customWidth="1"/>
    <col min="14" max="14" width="19.19921875" style="39" customWidth="1"/>
    <col min="15" max="17" width="10" style="39" customWidth="1"/>
    <col min="18" max="18" width="65.3984375" style="39" customWidth="1"/>
    <col min="19" max="258" width="10" style="39" customWidth="1"/>
    <col min="259" max="268" width="2.3984375" style="39" customWidth="1"/>
    <col min="269" max="269" width="25.69921875" style="39" customWidth="1"/>
    <col min="270" max="270" width="19.19921875" style="39" customWidth="1"/>
    <col min="271" max="273" width="10" style="39" customWidth="1"/>
    <col min="274" max="274" width="65.3984375" style="39" customWidth="1"/>
    <col min="275" max="514" width="10" style="39" customWidth="1"/>
    <col min="515" max="524" width="2.3984375" style="39" customWidth="1"/>
    <col min="525" max="525" width="25.69921875" style="39" customWidth="1"/>
    <col min="526" max="526" width="19.19921875" style="39" customWidth="1"/>
    <col min="527" max="529" width="10" style="39" customWidth="1"/>
    <col min="530" max="530" width="65.3984375" style="39" customWidth="1"/>
    <col min="531" max="770" width="10" style="39" customWidth="1"/>
    <col min="771" max="780" width="2.3984375" style="39" customWidth="1"/>
    <col min="781" max="781" width="25.69921875" style="39" customWidth="1"/>
    <col min="782" max="782" width="19.19921875" style="39" customWidth="1"/>
    <col min="783" max="785" width="10" style="39" customWidth="1"/>
    <col min="786" max="786" width="65.3984375" style="39" customWidth="1"/>
    <col min="787" max="1026" width="10" style="39" customWidth="1"/>
    <col min="1027" max="1036" width="2.3984375" style="39" customWidth="1"/>
    <col min="1037" max="1037" width="25.69921875" style="39" customWidth="1"/>
    <col min="1038" max="1038" width="19.19921875" style="39" customWidth="1"/>
    <col min="1039" max="1041" width="10" style="39" customWidth="1"/>
    <col min="1042" max="1042" width="65.3984375" style="39" customWidth="1"/>
    <col min="1043" max="1282" width="10" style="39" customWidth="1"/>
    <col min="1283" max="1292" width="2.3984375" style="39" customWidth="1"/>
    <col min="1293" max="1293" width="25.69921875" style="39" customWidth="1"/>
    <col min="1294" max="1294" width="19.19921875" style="39" customWidth="1"/>
    <col min="1295" max="1297" width="10" style="39" customWidth="1"/>
    <col min="1298" max="1298" width="65.3984375" style="39" customWidth="1"/>
    <col min="1299" max="1538" width="10" style="39" customWidth="1"/>
    <col min="1539" max="1548" width="2.3984375" style="39" customWidth="1"/>
    <col min="1549" max="1549" width="25.69921875" style="39" customWidth="1"/>
    <col min="1550" max="1550" width="19.19921875" style="39" customWidth="1"/>
    <col min="1551" max="1553" width="10" style="39" customWidth="1"/>
    <col min="1554" max="1554" width="65.3984375" style="39" customWidth="1"/>
    <col min="1555" max="1794" width="10" style="39" customWidth="1"/>
    <col min="1795" max="1804" width="2.3984375" style="39" customWidth="1"/>
    <col min="1805" max="1805" width="25.69921875" style="39" customWidth="1"/>
    <col min="1806" max="1806" width="19.19921875" style="39" customWidth="1"/>
    <col min="1807" max="1809" width="10" style="39" customWidth="1"/>
    <col min="1810" max="1810" width="65.3984375" style="39" customWidth="1"/>
    <col min="1811" max="2050" width="10" style="39" customWidth="1"/>
    <col min="2051" max="2060" width="2.3984375" style="39" customWidth="1"/>
    <col min="2061" max="2061" width="25.69921875" style="39" customWidth="1"/>
    <col min="2062" max="2062" width="19.19921875" style="39" customWidth="1"/>
    <col min="2063" max="2065" width="10" style="39" customWidth="1"/>
    <col min="2066" max="2066" width="65.3984375" style="39" customWidth="1"/>
    <col min="2067" max="2306" width="10" style="39" customWidth="1"/>
    <col min="2307" max="2316" width="2.3984375" style="39" customWidth="1"/>
    <col min="2317" max="2317" width="25.69921875" style="39" customWidth="1"/>
    <col min="2318" max="2318" width="19.19921875" style="39" customWidth="1"/>
    <col min="2319" max="2321" width="10" style="39" customWidth="1"/>
    <col min="2322" max="2322" width="65.3984375" style="39" customWidth="1"/>
    <col min="2323" max="2562" width="10" style="39" customWidth="1"/>
    <col min="2563" max="2572" width="2.3984375" style="39" customWidth="1"/>
    <col min="2573" max="2573" width="25.69921875" style="39" customWidth="1"/>
    <col min="2574" max="2574" width="19.19921875" style="39" customWidth="1"/>
    <col min="2575" max="2577" width="10" style="39" customWidth="1"/>
    <col min="2578" max="2578" width="65.3984375" style="39" customWidth="1"/>
    <col min="2579" max="2818" width="10" style="39" customWidth="1"/>
    <col min="2819" max="2828" width="2.3984375" style="39" customWidth="1"/>
    <col min="2829" max="2829" width="25.69921875" style="39" customWidth="1"/>
    <col min="2830" max="2830" width="19.19921875" style="39" customWidth="1"/>
    <col min="2831" max="2833" width="10" style="39" customWidth="1"/>
    <col min="2834" max="2834" width="65.3984375" style="39" customWidth="1"/>
    <col min="2835" max="3074" width="10" style="39" customWidth="1"/>
    <col min="3075" max="3084" width="2.3984375" style="39" customWidth="1"/>
    <col min="3085" max="3085" width="25.69921875" style="39" customWidth="1"/>
    <col min="3086" max="3086" width="19.19921875" style="39" customWidth="1"/>
    <col min="3087" max="3089" width="10" style="39" customWidth="1"/>
    <col min="3090" max="3090" width="65.3984375" style="39" customWidth="1"/>
    <col min="3091" max="3330" width="10" style="39" customWidth="1"/>
    <col min="3331" max="3340" width="2.3984375" style="39" customWidth="1"/>
    <col min="3341" max="3341" width="25.69921875" style="39" customWidth="1"/>
    <col min="3342" max="3342" width="19.19921875" style="39" customWidth="1"/>
    <col min="3343" max="3345" width="10" style="39" customWidth="1"/>
    <col min="3346" max="3346" width="65.3984375" style="39" customWidth="1"/>
    <col min="3347" max="3586" width="10" style="39" customWidth="1"/>
    <col min="3587" max="3596" width="2.3984375" style="39" customWidth="1"/>
    <col min="3597" max="3597" width="25.69921875" style="39" customWidth="1"/>
    <col min="3598" max="3598" width="19.19921875" style="39" customWidth="1"/>
    <col min="3599" max="3601" width="10" style="39" customWidth="1"/>
    <col min="3602" max="3602" width="65.3984375" style="39" customWidth="1"/>
    <col min="3603" max="3842" width="10" style="39" customWidth="1"/>
    <col min="3843" max="3852" width="2.3984375" style="39" customWidth="1"/>
    <col min="3853" max="3853" width="25.69921875" style="39" customWidth="1"/>
    <col min="3854" max="3854" width="19.19921875" style="39" customWidth="1"/>
    <col min="3855" max="3857" width="10" style="39" customWidth="1"/>
    <col min="3858" max="3858" width="65.3984375" style="39" customWidth="1"/>
    <col min="3859" max="4098" width="10" style="39" customWidth="1"/>
    <col min="4099" max="4108" width="2.3984375" style="39" customWidth="1"/>
    <col min="4109" max="4109" width="25.69921875" style="39" customWidth="1"/>
    <col min="4110" max="4110" width="19.19921875" style="39" customWidth="1"/>
    <col min="4111" max="4113" width="10" style="39" customWidth="1"/>
    <col min="4114" max="4114" width="65.3984375" style="39" customWidth="1"/>
    <col min="4115" max="4354" width="10" style="39" customWidth="1"/>
    <col min="4355" max="4364" width="2.3984375" style="39" customWidth="1"/>
    <col min="4365" max="4365" width="25.69921875" style="39" customWidth="1"/>
    <col min="4366" max="4366" width="19.19921875" style="39" customWidth="1"/>
    <col min="4367" max="4369" width="10" style="39" customWidth="1"/>
    <col min="4370" max="4370" width="65.3984375" style="39" customWidth="1"/>
    <col min="4371" max="4610" width="10" style="39" customWidth="1"/>
    <col min="4611" max="4620" width="2.3984375" style="39" customWidth="1"/>
    <col min="4621" max="4621" width="25.69921875" style="39" customWidth="1"/>
    <col min="4622" max="4622" width="19.19921875" style="39" customWidth="1"/>
    <col min="4623" max="4625" width="10" style="39" customWidth="1"/>
    <col min="4626" max="4626" width="65.3984375" style="39" customWidth="1"/>
    <col min="4627" max="4866" width="10" style="39" customWidth="1"/>
    <col min="4867" max="4876" width="2.3984375" style="39" customWidth="1"/>
    <col min="4877" max="4877" width="25.69921875" style="39" customWidth="1"/>
    <col min="4878" max="4878" width="19.19921875" style="39" customWidth="1"/>
    <col min="4879" max="4881" width="10" style="39" customWidth="1"/>
    <col min="4882" max="4882" width="65.3984375" style="39" customWidth="1"/>
    <col min="4883" max="5122" width="10" style="39" customWidth="1"/>
    <col min="5123" max="5132" width="2.3984375" style="39" customWidth="1"/>
    <col min="5133" max="5133" width="25.69921875" style="39" customWidth="1"/>
    <col min="5134" max="5134" width="19.19921875" style="39" customWidth="1"/>
    <col min="5135" max="5137" width="10" style="39" customWidth="1"/>
    <col min="5138" max="5138" width="65.3984375" style="39" customWidth="1"/>
    <col min="5139" max="5378" width="10" style="39" customWidth="1"/>
    <col min="5379" max="5388" width="2.3984375" style="39" customWidth="1"/>
    <col min="5389" max="5389" width="25.69921875" style="39" customWidth="1"/>
    <col min="5390" max="5390" width="19.19921875" style="39" customWidth="1"/>
    <col min="5391" max="5393" width="10" style="39" customWidth="1"/>
    <col min="5394" max="5394" width="65.3984375" style="39" customWidth="1"/>
    <col min="5395" max="5634" width="10" style="39" customWidth="1"/>
    <col min="5635" max="5644" width="2.3984375" style="39" customWidth="1"/>
    <col min="5645" max="5645" width="25.69921875" style="39" customWidth="1"/>
    <col min="5646" max="5646" width="19.19921875" style="39" customWidth="1"/>
    <col min="5647" max="5649" width="10" style="39" customWidth="1"/>
    <col min="5650" max="5650" width="65.3984375" style="39" customWidth="1"/>
    <col min="5651" max="5890" width="10" style="39" customWidth="1"/>
    <col min="5891" max="5900" width="2.3984375" style="39" customWidth="1"/>
    <col min="5901" max="5901" width="25.69921875" style="39" customWidth="1"/>
    <col min="5902" max="5902" width="19.19921875" style="39" customWidth="1"/>
    <col min="5903" max="5905" width="10" style="39" customWidth="1"/>
    <col min="5906" max="5906" width="65.3984375" style="39" customWidth="1"/>
    <col min="5907" max="6146" width="10" style="39" customWidth="1"/>
    <col min="6147" max="6156" width="2.3984375" style="39" customWidth="1"/>
    <col min="6157" max="6157" width="25.69921875" style="39" customWidth="1"/>
    <col min="6158" max="6158" width="19.19921875" style="39" customWidth="1"/>
    <col min="6159" max="6161" width="10" style="39" customWidth="1"/>
    <col min="6162" max="6162" width="65.3984375" style="39" customWidth="1"/>
    <col min="6163" max="6402" width="10" style="39" customWidth="1"/>
    <col min="6403" max="6412" width="2.3984375" style="39" customWidth="1"/>
    <col min="6413" max="6413" width="25.69921875" style="39" customWidth="1"/>
    <col min="6414" max="6414" width="19.19921875" style="39" customWidth="1"/>
    <col min="6415" max="6417" width="10" style="39" customWidth="1"/>
    <col min="6418" max="6418" width="65.3984375" style="39" customWidth="1"/>
    <col min="6419" max="6658" width="10" style="39" customWidth="1"/>
    <col min="6659" max="6668" width="2.3984375" style="39" customWidth="1"/>
    <col min="6669" max="6669" width="25.69921875" style="39" customWidth="1"/>
    <col min="6670" max="6670" width="19.19921875" style="39" customWidth="1"/>
    <col min="6671" max="6673" width="10" style="39" customWidth="1"/>
    <col min="6674" max="6674" width="65.3984375" style="39" customWidth="1"/>
    <col min="6675" max="6914" width="10" style="39" customWidth="1"/>
    <col min="6915" max="6924" width="2.3984375" style="39" customWidth="1"/>
    <col min="6925" max="6925" width="25.69921875" style="39" customWidth="1"/>
    <col min="6926" max="6926" width="19.19921875" style="39" customWidth="1"/>
    <col min="6927" max="6929" width="10" style="39" customWidth="1"/>
    <col min="6930" max="6930" width="65.3984375" style="39" customWidth="1"/>
    <col min="6931" max="7170" width="10" style="39" customWidth="1"/>
    <col min="7171" max="7180" width="2.3984375" style="39" customWidth="1"/>
    <col min="7181" max="7181" width="25.69921875" style="39" customWidth="1"/>
    <col min="7182" max="7182" width="19.19921875" style="39" customWidth="1"/>
    <col min="7183" max="7185" width="10" style="39" customWidth="1"/>
    <col min="7186" max="7186" width="65.3984375" style="39" customWidth="1"/>
    <col min="7187" max="7426" width="10" style="39" customWidth="1"/>
    <col min="7427" max="7436" width="2.3984375" style="39" customWidth="1"/>
    <col min="7437" max="7437" width="25.69921875" style="39" customWidth="1"/>
    <col min="7438" max="7438" width="19.19921875" style="39" customWidth="1"/>
    <col min="7439" max="7441" width="10" style="39" customWidth="1"/>
    <col min="7442" max="7442" width="65.3984375" style="39" customWidth="1"/>
    <col min="7443" max="7682" width="10" style="39" customWidth="1"/>
    <col min="7683" max="7692" width="2.3984375" style="39" customWidth="1"/>
    <col min="7693" max="7693" width="25.69921875" style="39" customWidth="1"/>
    <col min="7694" max="7694" width="19.19921875" style="39" customWidth="1"/>
    <col min="7695" max="7697" width="10" style="39" customWidth="1"/>
    <col min="7698" max="7698" width="65.3984375" style="39" customWidth="1"/>
    <col min="7699" max="7938" width="10" style="39" customWidth="1"/>
    <col min="7939" max="7948" width="2.3984375" style="39" customWidth="1"/>
    <col min="7949" max="7949" width="25.69921875" style="39" customWidth="1"/>
    <col min="7950" max="7950" width="19.19921875" style="39" customWidth="1"/>
    <col min="7951" max="7953" width="10" style="39" customWidth="1"/>
    <col min="7954" max="7954" width="65.3984375" style="39" customWidth="1"/>
    <col min="7955" max="8194" width="10" style="39" customWidth="1"/>
    <col min="8195" max="8204" width="2.3984375" style="39" customWidth="1"/>
    <col min="8205" max="8205" width="25.69921875" style="39" customWidth="1"/>
    <col min="8206" max="8206" width="19.19921875" style="39" customWidth="1"/>
    <col min="8207" max="8209" width="10" style="39" customWidth="1"/>
    <col min="8210" max="8210" width="65.3984375" style="39" customWidth="1"/>
    <col min="8211" max="8450" width="10" style="39" customWidth="1"/>
    <col min="8451" max="8460" width="2.3984375" style="39" customWidth="1"/>
    <col min="8461" max="8461" width="25.69921875" style="39" customWidth="1"/>
    <col min="8462" max="8462" width="19.19921875" style="39" customWidth="1"/>
    <col min="8463" max="8465" width="10" style="39" customWidth="1"/>
    <col min="8466" max="8466" width="65.3984375" style="39" customWidth="1"/>
    <col min="8467" max="8706" width="10" style="39" customWidth="1"/>
    <col min="8707" max="8716" width="2.3984375" style="39" customWidth="1"/>
    <col min="8717" max="8717" width="25.69921875" style="39" customWidth="1"/>
    <col min="8718" max="8718" width="19.19921875" style="39" customWidth="1"/>
    <col min="8719" max="8721" width="10" style="39" customWidth="1"/>
    <col min="8722" max="8722" width="65.3984375" style="39" customWidth="1"/>
    <col min="8723" max="8962" width="10" style="39" customWidth="1"/>
    <col min="8963" max="8972" width="2.3984375" style="39" customWidth="1"/>
    <col min="8973" max="8973" width="25.69921875" style="39" customWidth="1"/>
    <col min="8974" max="8974" width="19.19921875" style="39" customWidth="1"/>
    <col min="8975" max="8977" width="10" style="39" customWidth="1"/>
    <col min="8978" max="8978" width="65.3984375" style="39" customWidth="1"/>
    <col min="8979" max="9218" width="10" style="39" customWidth="1"/>
    <col min="9219" max="9228" width="2.3984375" style="39" customWidth="1"/>
    <col min="9229" max="9229" width="25.69921875" style="39" customWidth="1"/>
    <col min="9230" max="9230" width="19.19921875" style="39" customWidth="1"/>
    <col min="9231" max="9233" width="10" style="39" customWidth="1"/>
    <col min="9234" max="9234" width="65.3984375" style="39" customWidth="1"/>
    <col min="9235" max="9474" width="10" style="39" customWidth="1"/>
    <col min="9475" max="9484" width="2.3984375" style="39" customWidth="1"/>
    <col min="9485" max="9485" width="25.69921875" style="39" customWidth="1"/>
    <col min="9486" max="9486" width="19.19921875" style="39" customWidth="1"/>
    <col min="9487" max="9489" width="10" style="39" customWidth="1"/>
    <col min="9490" max="9490" width="65.3984375" style="39" customWidth="1"/>
    <col min="9491" max="9730" width="10" style="39" customWidth="1"/>
    <col min="9731" max="9740" width="2.3984375" style="39" customWidth="1"/>
    <col min="9741" max="9741" width="25.69921875" style="39" customWidth="1"/>
    <col min="9742" max="9742" width="19.19921875" style="39" customWidth="1"/>
    <col min="9743" max="9745" width="10" style="39" customWidth="1"/>
    <col min="9746" max="9746" width="65.3984375" style="39" customWidth="1"/>
    <col min="9747" max="9986" width="10" style="39" customWidth="1"/>
    <col min="9987" max="9996" width="2.3984375" style="39" customWidth="1"/>
    <col min="9997" max="9997" width="25.69921875" style="39" customWidth="1"/>
    <col min="9998" max="9998" width="19.19921875" style="39" customWidth="1"/>
    <col min="9999" max="10001" width="10" style="39" customWidth="1"/>
    <col min="10002" max="10002" width="65.3984375" style="39" customWidth="1"/>
    <col min="10003" max="10242" width="10" style="39" customWidth="1"/>
    <col min="10243" max="10252" width="2.3984375" style="39" customWidth="1"/>
    <col min="10253" max="10253" width="25.69921875" style="39" customWidth="1"/>
    <col min="10254" max="10254" width="19.19921875" style="39" customWidth="1"/>
    <col min="10255" max="10257" width="10" style="39" customWidth="1"/>
    <col min="10258" max="10258" width="65.3984375" style="39" customWidth="1"/>
    <col min="10259" max="10498" width="10" style="39" customWidth="1"/>
    <col min="10499" max="10508" width="2.3984375" style="39" customWidth="1"/>
    <col min="10509" max="10509" width="25.69921875" style="39" customWidth="1"/>
    <col min="10510" max="10510" width="19.19921875" style="39" customWidth="1"/>
    <col min="10511" max="10513" width="10" style="39" customWidth="1"/>
    <col min="10514" max="10514" width="65.3984375" style="39" customWidth="1"/>
    <col min="10515" max="10754" width="10" style="39" customWidth="1"/>
    <col min="10755" max="10764" width="2.3984375" style="39" customWidth="1"/>
    <col min="10765" max="10765" width="25.69921875" style="39" customWidth="1"/>
    <col min="10766" max="10766" width="19.19921875" style="39" customWidth="1"/>
    <col min="10767" max="10769" width="10" style="39" customWidth="1"/>
    <col min="10770" max="10770" width="65.3984375" style="39" customWidth="1"/>
    <col min="10771" max="11010" width="10" style="39" customWidth="1"/>
    <col min="11011" max="11020" width="2.3984375" style="39" customWidth="1"/>
    <col min="11021" max="11021" width="25.69921875" style="39" customWidth="1"/>
    <col min="11022" max="11022" width="19.19921875" style="39" customWidth="1"/>
    <col min="11023" max="11025" width="10" style="39" customWidth="1"/>
    <col min="11026" max="11026" width="65.3984375" style="39" customWidth="1"/>
    <col min="11027" max="11266" width="10" style="39" customWidth="1"/>
    <col min="11267" max="11276" width="2.3984375" style="39" customWidth="1"/>
    <col min="11277" max="11277" width="25.69921875" style="39" customWidth="1"/>
    <col min="11278" max="11278" width="19.19921875" style="39" customWidth="1"/>
    <col min="11279" max="11281" width="10" style="39" customWidth="1"/>
    <col min="11282" max="11282" width="65.3984375" style="39" customWidth="1"/>
    <col min="11283" max="11522" width="10" style="39" customWidth="1"/>
    <col min="11523" max="11532" width="2.3984375" style="39" customWidth="1"/>
    <col min="11533" max="11533" width="25.69921875" style="39" customWidth="1"/>
    <col min="11534" max="11534" width="19.19921875" style="39" customWidth="1"/>
    <col min="11535" max="11537" width="10" style="39" customWidth="1"/>
    <col min="11538" max="11538" width="65.3984375" style="39" customWidth="1"/>
    <col min="11539" max="11778" width="10" style="39" customWidth="1"/>
    <col min="11779" max="11788" width="2.3984375" style="39" customWidth="1"/>
    <col min="11789" max="11789" width="25.69921875" style="39" customWidth="1"/>
    <col min="11790" max="11790" width="19.19921875" style="39" customWidth="1"/>
    <col min="11791" max="11793" width="10" style="39" customWidth="1"/>
    <col min="11794" max="11794" width="65.3984375" style="39" customWidth="1"/>
    <col min="11795" max="12034" width="10" style="39" customWidth="1"/>
    <col min="12035" max="12044" width="2.3984375" style="39" customWidth="1"/>
    <col min="12045" max="12045" width="25.69921875" style="39" customWidth="1"/>
    <col min="12046" max="12046" width="19.19921875" style="39" customWidth="1"/>
    <col min="12047" max="12049" width="10" style="39" customWidth="1"/>
    <col min="12050" max="12050" width="65.3984375" style="39" customWidth="1"/>
    <col min="12051" max="12290" width="10" style="39" customWidth="1"/>
    <col min="12291" max="12300" width="2.3984375" style="39" customWidth="1"/>
    <col min="12301" max="12301" width="25.69921875" style="39" customWidth="1"/>
    <col min="12302" max="12302" width="19.19921875" style="39" customWidth="1"/>
    <col min="12303" max="12305" width="10" style="39" customWidth="1"/>
    <col min="12306" max="12306" width="65.3984375" style="39" customWidth="1"/>
    <col min="12307" max="12546" width="10" style="39" customWidth="1"/>
    <col min="12547" max="12556" width="2.3984375" style="39" customWidth="1"/>
    <col min="12557" max="12557" width="25.69921875" style="39" customWidth="1"/>
    <col min="12558" max="12558" width="19.19921875" style="39" customWidth="1"/>
    <col min="12559" max="12561" width="10" style="39" customWidth="1"/>
    <col min="12562" max="12562" width="65.3984375" style="39" customWidth="1"/>
    <col min="12563" max="12802" width="10" style="39" customWidth="1"/>
    <col min="12803" max="12812" width="2.3984375" style="39" customWidth="1"/>
    <col min="12813" max="12813" width="25.69921875" style="39" customWidth="1"/>
    <col min="12814" max="12814" width="19.19921875" style="39" customWidth="1"/>
    <col min="12815" max="12817" width="10" style="39" customWidth="1"/>
    <col min="12818" max="12818" width="65.3984375" style="39" customWidth="1"/>
    <col min="12819" max="13058" width="10" style="39" customWidth="1"/>
    <col min="13059" max="13068" width="2.3984375" style="39" customWidth="1"/>
    <col min="13069" max="13069" width="25.69921875" style="39" customWidth="1"/>
    <col min="13070" max="13070" width="19.19921875" style="39" customWidth="1"/>
    <col min="13071" max="13073" width="10" style="39" customWidth="1"/>
    <col min="13074" max="13074" width="65.3984375" style="39" customWidth="1"/>
    <col min="13075" max="13314" width="10" style="39" customWidth="1"/>
    <col min="13315" max="13324" width="2.3984375" style="39" customWidth="1"/>
    <col min="13325" max="13325" width="25.69921875" style="39" customWidth="1"/>
    <col min="13326" max="13326" width="19.19921875" style="39" customWidth="1"/>
    <col min="13327" max="13329" width="10" style="39" customWidth="1"/>
    <col min="13330" max="13330" width="65.3984375" style="39" customWidth="1"/>
    <col min="13331" max="13570" width="10" style="39" customWidth="1"/>
    <col min="13571" max="13580" width="2.3984375" style="39" customWidth="1"/>
    <col min="13581" max="13581" width="25.69921875" style="39" customWidth="1"/>
    <col min="13582" max="13582" width="19.19921875" style="39" customWidth="1"/>
    <col min="13583" max="13585" width="10" style="39" customWidth="1"/>
    <col min="13586" max="13586" width="65.3984375" style="39" customWidth="1"/>
    <col min="13587" max="13826" width="10" style="39" customWidth="1"/>
    <col min="13827" max="13836" width="2.3984375" style="39" customWidth="1"/>
    <col min="13837" max="13837" width="25.69921875" style="39" customWidth="1"/>
    <col min="13838" max="13838" width="19.19921875" style="39" customWidth="1"/>
    <col min="13839" max="13841" width="10" style="39" customWidth="1"/>
    <col min="13842" max="13842" width="65.3984375" style="39" customWidth="1"/>
    <col min="13843" max="14082" width="10" style="39" customWidth="1"/>
    <col min="14083" max="14092" width="2.3984375" style="39" customWidth="1"/>
    <col min="14093" max="14093" width="25.69921875" style="39" customWidth="1"/>
    <col min="14094" max="14094" width="19.19921875" style="39" customWidth="1"/>
    <col min="14095" max="14097" width="10" style="39" customWidth="1"/>
    <col min="14098" max="14098" width="65.3984375" style="39" customWidth="1"/>
    <col min="14099" max="14338" width="10" style="39" customWidth="1"/>
    <col min="14339" max="14348" width="2.3984375" style="39" customWidth="1"/>
    <col min="14349" max="14349" width="25.69921875" style="39" customWidth="1"/>
    <col min="14350" max="14350" width="19.19921875" style="39" customWidth="1"/>
    <col min="14351" max="14353" width="10" style="39" customWidth="1"/>
    <col min="14354" max="14354" width="65.3984375" style="39" customWidth="1"/>
    <col min="14355" max="14594" width="10" style="39" customWidth="1"/>
    <col min="14595" max="14604" width="2.3984375" style="39" customWidth="1"/>
    <col min="14605" max="14605" width="25.69921875" style="39" customWidth="1"/>
    <col min="14606" max="14606" width="19.19921875" style="39" customWidth="1"/>
    <col min="14607" max="14609" width="10" style="39" customWidth="1"/>
    <col min="14610" max="14610" width="65.3984375" style="39" customWidth="1"/>
    <col min="14611" max="14850" width="10" style="39" customWidth="1"/>
    <col min="14851" max="14860" width="2.3984375" style="39" customWidth="1"/>
    <col min="14861" max="14861" width="25.69921875" style="39" customWidth="1"/>
    <col min="14862" max="14862" width="19.19921875" style="39" customWidth="1"/>
    <col min="14863" max="14865" width="10" style="39" customWidth="1"/>
    <col min="14866" max="14866" width="65.3984375" style="39" customWidth="1"/>
    <col min="14867" max="15106" width="10" style="39" customWidth="1"/>
    <col min="15107" max="15116" width="2.3984375" style="39" customWidth="1"/>
    <col min="15117" max="15117" width="25.69921875" style="39" customWidth="1"/>
    <col min="15118" max="15118" width="19.19921875" style="39" customWidth="1"/>
    <col min="15119" max="15121" width="10" style="39" customWidth="1"/>
    <col min="15122" max="15122" width="65.3984375" style="39" customWidth="1"/>
    <col min="15123" max="15362" width="10" style="39" customWidth="1"/>
    <col min="15363" max="15372" width="2.3984375" style="39" customWidth="1"/>
    <col min="15373" max="15373" width="25.69921875" style="39" customWidth="1"/>
    <col min="15374" max="15374" width="19.19921875" style="39" customWidth="1"/>
    <col min="15375" max="15377" width="10" style="39" customWidth="1"/>
    <col min="15378" max="15378" width="65.3984375" style="39" customWidth="1"/>
    <col min="15379" max="15618" width="10" style="39" customWidth="1"/>
    <col min="15619" max="15628" width="2.3984375" style="39" customWidth="1"/>
    <col min="15629" max="15629" width="25.69921875" style="39" customWidth="1"/>
    <col min="15630" max="15630" width="19.19921875" style="39" customWidth="1"/>
    <col min="15631" max="15633" width="10" style="39" customWidth="1"/>
    <col min="15634" max="15634" width="65.3984375" style="39" customWidth="1"/>
    <col min="15635" max="15874" width="10" style="39" customWidth="1"/>
    <col min="15875" max="15884" width="2.3984375" style="39" customWidth="1"/>
    <col min="15885" max="15885" width="25.69921875" style="39" customWidth="1"/>
    <col min="15886" max="15886" width="19.19921875" style="39" customWidth="1"/>
    <col min="15887" max="15889" width="10" style="39" customWidth="1"/>
    <col min="15890" max="15890" width="65.3984375" style="39" customWidth="1"/>
    <col min="15891" max="16130" width="10" style="39" customWidth="1"/>
    <col min="16131" max="16140" width="2.3984375" style="39" customWidth="1"/>
    <col min="16141" max="16141" width="25.69921875" style="39" customWidth="1"/>
    <col min="16142" max="16142" width="19.19921875" style="39" customWidth="1"/>
    <col min="16143" max="16145" width="10" style="39" customWidth="1"/>
    <col min="16146" max="16146" width="65.3984375" style="39" customWidth="1"/>
    <col min="16147" max="16384" width="10" style="39" customWidth="1"/>
  </cols>
  <sheetData>
    <row r="2" spans="2:18">
      <c r="M2" s="459" t="s">
        <v>911</v>
      </c>
      <c r="N2" s="460">
        <v>2</v>
      </c>
      <c r="O2" s="460"/>
      <c r="P2" s="460"/>
      <c r="Q2" s="460"/>
      <c r="R2" s="460"/>
    </row>
    <row r="3" spans="2:18">
      <c r="B3" s="461"/>
      <c r="C3" s="461"/>
      <c r="D3" s="461"/>
      <c r="E3" s="461"/>
      <c r="F3" s="461"/>
      <c r="G3" s="461"/>
      <c r="H3" s="461"/>
      <c r="M3" s="459" t="s">
        <v>912</v>
      </c>
      <c r="N3" s="460"/>
      <c r="O3" s="460"/>
      <c r="P3" s="460"/>
      <c r="Q3" s="460"/>
      <c r="R3" s="460"/>
    </row>
    <row r="4" spans="2:18">
      <c r="B4" s="461"/>
      <c r="C4" s="462" t="s">
        <v>913</v>
      </c>
      <c r="D4" s="461"/>
      <c r="E4" s="461"/>
      <c r="F4" s="461"/>
      <c r="G4" s="461"/>
      <c r="H4" s="461"/>
      <c r="M4" s="95"/>
    </row>
    <row r="5" spans="2:18">
      <c r="B5" s="461"/>
      <c r="C5" s="462" t="s">
        <v>914</v>
      </c>
      <c r="D5" s="461">
        <v>1</v>
      </c>
      <c r="E5" s="461"/>
      <c r="F5" s="461"/>
      <c r="G5" s="461"/>
      <c r="H5" s="461"/>
      <c r="M5" s="95"/>
    </row>
    <row r="6" spans="2:18">
      <c r="B6" s="461"/>
      <c r="C6" s="462" t="s">
        <v>915</v>
      </c>
      <c r="D6" s="461">
        <v>2</v>
      </c>
      <c r="E6" s="461"/>
      <c r="F6" s="461"/>
      <c r="G6" s="461"/>
      <c r="H6" s="461"/>
      <c r="M6" s="95"/>
    </row>
    <row r="7" spans="2:18" ht="18">
      <c r="B7" s="461"/>
      <c r="C7" s="462" t="s">
        <v>916</v>
      </c>
      <c r="D7" s="461">
        <v>3</v>
      </c>
      <c r="E7" s="461"/>
      <c r="F7" s="461"/>
      <c r="G7" s="461"/>
      <c r="H7" s="461"/>
      <c r="M7" s="415" t="str">
        <f>IF($N$2=1,M27,IF($N$2=2,M45,IF($N$2=3,M62)))</f>
        <v>Data input</v>
      </c>
    </row>
    <row r="8" spans="2:18" ht="18.600000000000001" thickBot="1">
      <c r="B8" s="461"/>
      <c r="C8" s="461"/>
      <c r="D8" s="461"/>
      <c r="E8" s="461"/>
      <c r="F8" s="461"/>
      <c r="G8" s="461"/>
      <c r="H8" s="461"/>
      <c r="M8" s="415" t="str">
        <f>IF($N$2=1,M28,IF($N$2=2,M46,IF($N$2=3,M63)))</f>
        <v>• Input</v>
      </c>
      <c r="N8" s="416" t="str">
        <f>IF($N$2=1,N28,IF($N$2=2,N46,IF($N$2=3,N63)))</f>
        <v>• Safety temperature limiter</v>
      </c>
      <c r="O8" s="417">
        <f>IF($N$2=1,O28,IF($N$2=2,O46,IF($N$2=3,O63)))</f>
        <v>0</v>
      </c>
      <c r="P8" s="463">
        <f>IF($N$2=1,P28,IF($N$2=2,P46,IF($N$2=3,P63)))</f>
        <v>0</v>
      </c>
      <c r="Q8" s="416">
        <f>IF($N$2=1,Q28,IF($N$2=2,Q46,IF($N$2=3,Q63)))</f>
        <v>0</v>
      </c>
      <c r="R8" s="419" t="str">
        <f>IF($N$2=1,R28,IF($N$2=2,R46,IF($N$2=3,R63)))</f>
        <v>calculation only for TAZ&lt;= 150°C !!!</v>
      </c>
    </row>
    <row r="9" spans="2:18" ht="18.600000000000001" thickBot="1">
      <c r="M9" s="420">
        <f t="shared" ref="M9:R20" si="0">IF($N$2=1,M29,IF($N$2=2,M47,IF($N$2=3,M64)))</f>
        <v>0</v>
      </c>
      <c r="N9" s="416" t="str">
        <f t="shared" si="0"/>
        <v>• Maximum system temperature</v>
      </c>
      <c r="O9" s="417">
        <f t="shared" si="0"/>
        <v>0</v>
      </c>
      <c r="P9" s="464">
        <f t="shared" si="0"/>
        <v>0</v>
      </c>
      <c r="Q9" s="416">
        <f t="shared" si="0"/>
        <v>0</v>
      </c>
      <c r="R9" s="414">
        <f t="shared" si="0"/>
        <v>0</v>
      </c>
    </row>
    <row r="10" spans="2:18" ht="18.600000000000001" thickBot="1">
      <c r="M10" s="412">
        <f t="shared" si="0"/>
        <v>0</v>
      </c>
      <c r="N10" s="421" t="str">
        <f t="shared" si="0"/>
        <v>• Power of heat generator</v>
      </c>
      <c r="O10" s="422">
        <f t="shared" si="0"/>
        <v>0</v>
      </c>
      <c r="P10" s="465">
        <f t="shared" si="0"/>
        <v>0</v>
      </c>
      <c r="Q10" s="421">
        <f t="shared" si="0"/>
        <v>0</v>
      </c>
      <c r="R10" s="414">
        <f t="shared" si="0"/>
        <v>0</v>
      </c>
    </row>
    <row r="11" spans="2:18" ht="18">
      <c r="C11" s="95"/>
      <c r="M11" s="412">
        <f t="shared" si="0"/>
        <v>0</v>
      </c>
      <c r="N11" s="421" t="str">
        <f t="shared" si="0"/>
        <v>• Static head</v>
      </c>
      <c r="O11" s="423">
        <f t="shared" si="0"/>
        <v>0</v>
      </c>
      <c r="P11" s="466">
        <f t="shared" si="0"/>
        <v>0</v>
      </c>
      <c r="Q11" s="421">
        <f t="shared" si="0"/>
        <v>0</v>
      </c>
      <c r="R11" s="414">
        <f t="shared" si="0"/>
        <v>0</v>
      </c>
    </row>
    <row r="12" spans="2:18" ht="18.600000000000001" thickBot="1">
      <c r="M12" s="412">
        <f t="shared" si="0"/>
        <v>0</v>
      </c>
      <c r="N12" s="421" t="str">
        <f t="shared" si="0"/>
        <v>• Addition of antifreeze</v>
      </c>
      <c r="O12" s="467">
        <f t="shared" si="0"/>
        <v>0</v>
      </c>
      <c r="P12" s="468">
        <f t="shared" si="0"/>
        <v>0</v>
      </c>
      <c r="Q12" s="421">
        <f t="shared" si="0"/>
        <v>0</v>
      </c>
      <c r="R12" s="414">
        <f t="shared" si="0"/>
        <v>0</v>
      </c>
    </row>
    <row r="13" spans="2:18" ht="18">
      <c r="M13" s="412">
        <f t="shared" si="0"/>
        <v>0</v>
      </c>
      <c r="N13" s="425">
        <f t="shared" si="0"/>
        <v>0</v>
      </c>
      <c r="O13" s="425">
        <f t="shared" si="0"/>
        <v>0</v>
      </c>
      <c r="P13" s="426">
        <f t="shared" si="0"/>
        <v>0</v>
      </c>
      <c r="Q13" s="425">
        <f t="shared" si="0"/>
        <v>0</v>
      </c>
      <c r="R13" s="414">
        <f t="shared" si="0"/>
        <v>0</v>
      </c>
    </row>
    <row r="14" spans="2:18" ht="18">
      <c r="M14" s="415" t="str">
        <f t="shared" si="0"/>
        <v>• Output</v>
      </c>
      <c r="N14" s="416" t="str">
        <f t="shared" si="0"/>
        <v>• Evaporation pressure</v>
      </c>
      <c r="O14" s="416">
        <f t="shared" si="0"/>
        <v>0</v>
      </c>
      <c r="P14" s="427">
        <f t="shared" si="0"/>
        <v>0</v>
      </c>
      <c r="Q14" s="416">
        <f t="shared" si="0"/>
        <v>0</v>
      </c>
      <c r="R14" s="414">
        <f t="shared" si="0"/>
        <v>0</v>
      </c>
    </row>
    <row r="15" spans="2:18" ht="18">
      <c r="M15" s="420">
        <f t="shared" si="0"/>
        <v>0</v>
      </c>
      <c r="N15" s="421" t="str">
        <f t="shared" si="0"/>
        <v>• Minimal pressure, BrainCube calculation</v>
      </c>
      <c r="O15" s="421">
        <f t="shared" si="0"/>
        <v>0</v>
      </c>
      <c r="P15" s="428">
        <f t="shared" si="0"/>
        <v>0</v>
      </c>
      <c r="Q15" s="421">
        <f t="shared" si="0"/>
        <v>0</v>
      </c>
      <c r="R15" s="429" t="str">
        <f t="shared" si="0"/>
        <v>BrainCube calculation, display in Info-Menu</v>
      </c>
    </row>
    <row r="16" spans="2:18" ht="18">
      <c r="M16" s="412">
        <f t="shared" si="0"/>
        <v>0</v>
      </c>
      <c r="N16" s="421" t="str">
        <f t="shared" si="0"/>
        <v>• Preset pressure, pump on</v>
      </c>
      <c r="O16" s="421">
        <f t="shared" si="0"/>
        <v>0</v>
      </c>
      <c r="P16" s="430">
        <f t="shared" si="0"/>
        <v>0</v>
      </c>
      <c r="Q16" s="421">
        <f t="shared" si="0"/>
        <v>0</v>
      </c>
      <c r="R16" s="431" t="str">
        <f t="shared" si="0"/>
        <v>BrainCube calculation</v>
      </c>
    </row>
    <row r="17" spans="13:18" ht="18">
      <c r="M17" s="412">
        <f t="shared" si="0"/>
        <v>0</v>
      </c>
      <c r="N17" s="421" t="str">
        <f t="shared" si="0"/>
        <v>• Pump off, relief valve closed</v>
      </c>
      <c r="O17" s="432">
        <f t="shared" si="0"/>
        <v>0</v>
      </c>
      <c r="P17" s="433">
        <f t="shared" si="0"/>
        <v>0</v>
      </c>
      <c r="Q17" s="421">
        <f t="shared" si="0"/>
        <v>0</v>
      </c>
      <c r="R17" s="431">
        <f t="shared" si="0"/>
        <v>0</v>
      </c>
    </row>
    <row r="18" spans="13:18" ht="18">
      <c r="M18" s="412">
        <f t="shared" si="0"/>
        <v>0</v>
      </c>
      <c r="N18" s="421" t="str">
        <f t="shared" si="0"/>
        <v>• End pressure, relief valve open</v>
      </c>
      <c r="O18" s="434">
        <f t="shared" si="0"/>
        <v>0</v>
      </c>
      <c r="P18" s="435">
        <f t="shared" si="0"/>
        <v>0</v>
      </c>
      <c r="Q18" s="434">
        <f t="shared" si="0"/>
        <v>0</v>
      </c>
      <c r="R18" s="431" t="str">
        <f t="shared" si="0"/>
        <v>BrainCube calculation</v>
      </c>
    </row>
    <row r="19" spans="13:18" ht="18">
      <c r="M19" s="412">
        <f t="shared" si="0"/>
        <v>0</v>
      </c>
      <c r="N19" s="421" t="str">
        <f t="shared" si="0"/>
        <v>• Specific flowrate of equalization volume</v>
      </c>
      <c r="O19" s="421">
        <f t="shared" si="0"/>
        <v>0</v>
      </c>
      <c r="P19" s="436">
        <f t="shared" si="0"/>
        <v>0</v>
      </c>
      <c r="Q19" s="421">
        <f t="shared" si="0"/>
        <v>0</v>
      </c>
      <c r="R19" s="414">
        <f t="shared" si="0"/>
        <v>0</v>
      </c>
    </row>
    <row r="20" spans="13:18" ht="18">
      <c r="M20" s="437">
        <f t="shared" si="0"/>
        <v>0</v>
      </c>
      <c r="N20" s="421" t="str">
        <f t="shared" si="0"/>
        <v>• Necessary flowrate of equalization volume</v>
      </c>
      <c r="O20" s="432">
        <f t="shared" si="0"/>
        <v>0</v>
      </c>
      <c r="P20" s="438">
        <f t="shared" si="0"/>
        <v>0</v>
      </c>
      <c r="Q20" s="421">
        <f t="shared" si="0"/>
        <v>0</v>
      </c>
      <c r="R20" s="439">
        <f t="shared" si="0"/>
        <v>0</v>
      </c>
    </row>
    <row r="22" spans="13:18">
      <c r="M22" s="95"/>
    </row>
    <row r="24" spans="13:18">
      <c r="M24" s="444" t="s">
        <v>917</v>
      </c>
      <c r="N24" s="452"/>
      <c r="O24" s="452"/>
      <c r="P24" s="452"/>
      <c r="Q24" s="452"/>
      <c r="R24" s="452"/>
    </row>
    <row r="25" spans="13:18">
      <c r="M25" s="444" t="s">
        <v>918</v>
      </c>
      <c r="N25" s="452"/>
      <c r="O25" s="452"/>
      <c r="P25" s="452"/>
      <c r="Q25" s="452"/>
      <c r="R25" s="452"/>
    </row>
    <row r="26" spans="13:18" s="89" customFormat="1">
      <c r="M26" s="373"/>
    </row>
    <row r="27" spans="13:18" s="89" customFormat="1">
      <c r="M27" s="373" t="s">
        <v>919</v>
      </c>
    </row>
    <row r="28" spans="13:18" ht="18.600000000000001" thickBot="1">
      <c r="M28" s="415" t="s">
        <v>920</v>
      </c>
      <c r="N28" s="416" t="s">
        <v>921</v>
      </c>
      <c r="O28" s="417"/>
      <c r="P28" s="463"/>
      <c r="Q28" s="416"/>
      <c r="R28" s="419" t="s">
        <v>922</v>
      </c>
    </row>
    <row r="29" spans="13:18" ht="18.600000000000001" thickBot="1">
      <c r="M29" s="420"/>
      <c r="N29" s="416" t="s">
        <v>923</v>
      </c>
      <c r="O29" s="417"/>
      <c r="P29" s="464"/>
      <c r="Q29" s="416"/>
      <c r="R29" s="414"/>
    </row>
    <row r="30" spans="13:18" ht="18.600000000000001" thickBot="1">
      <c r="M30" s="412"/>
      <c r="N30" s="421" t="s">
        <v>924</v>
      </c>
      <c r="O30" s="422"/>
      <c r="P30" s="465"/>
      <c r="Q30" s="421"/>
      <c r="R30" s="414"/>
    </row>
    <row r="31" spans="13:18" ht="18">
      <c r="M31" s="412"/>
      <c r="N31" s="421" t="s">
        <v>925</v>
      </c>
      <c r="O31" s="423"/>
      <c r="P31" s="466"/>
      <c r="Q31" s="421"/>
      <c r="R31" s="414"/>
    </row>
    <row r="32" spans="13:18" ht="18.600000000000001" thickBot="1">
      <c r="M32" s="412"/>
      <c r="N32" s="421" t="s">
        <v>926</v>
      </c>
      <c r="O32" s="467"/>
      <c r="P32" s="468"/>
      <c r="Q32" s="421"/>
      <c r="R32" s="414"/>
    </row>
    <row r="33" spans="13:18" ht="18">
      <c r="M33" s="412"/>
      <c r="N33" s="425"/>
      <c r="O33" s="425"/>
      <c r="P33" s="426"/>
      <c r="Q33" s="425"/>
      <c r="R33" s="414"/>
    </row>
    <row r="34" spans="13:18" ht="18">
      <c r="M34" s="415" t="s">
        <v>927</v>
      </c>
      <c r="N34" s="416" t="s">
        <v>928</v>
      </c>
      <c r="O34" s="416"/>
      <c r="P34" s="427"/>
      <c r="Q34" s="416"/>
      <c r="R34" s="414"/>
    </row>
    <row r="35" spans="13:18" ht="18">
      <c r="M35" s="420"/>
      <c r="N35" s="421" t="s">
        <v>929</v>
      </c>
      <c r="O35" s="421"/>
      <c r="P35" s="428"/>
      <c r="Q35" s="421"/>
      <c r="R35" s="429" t="s">
        <v>930</v>
      </c>
    </row>
    <row r="36" spans="13:18" ht="18">
      <c r="M36" s="412"/>
      <c r="N36" s="421" t="s">
        <v>931</v>
      </c>
      <c r="O36" s="421"/>
      <c r="P36" s="430"/>
      <c r="Q36" s="421"/>
      <c r="R36" s="431" t="s">
        <v>932</v>
      </c>
    </row>
    <row r="37" spans="13:18" ht="18">
      <c r="M37" s="412"/>
      <c r="N37" s="421" t="s">
        <v>933</v>
      </c>
      <c r="O37" s="432"/>
      <c r="P37" s="433"/>
      <c r="Q37" s="421"/>
      <c r="R37" s="431"/>
    </row>
    <row r="38" spans="13:18" ht="18">
      <c r="M38" s="412"/>
      <c r="N38" s="421" t="s">
        <v>934</v>
      </c>
      <c r="O38" s="434"/>
      <c r="P38" s="435"/>
      <c r="Q38" s="434"/>
      <c r="R38" s="431" t="s">
        <v>932</v>
      </c>
    </row>
    <row r="39" spans="13:18" ht="18">
      <c r="M39" s="412"/>
      <c r="N39" s="421" t="s">
        <v>935</v>
      </c>
      <c r="O39" s="421"/>
      <c r="P39" s="436"/>
      <c r="Q39" s="421"/>
      <c r="R39" s="414"/>
    </row>
    <row r="40" spans="13:18" ht="18">
      <c r="M40" s="437"/>
      <c r="N40" s="421" t="s">
        <v>936</v>
      </c>
      <c r="O40" s="432"/>
      <c r="P40" s="438"/>
      <c r="Q40" s="421"/>
      <c r="R40" s="439"/>
    </row>
    <row r="43" spans="13:18">
      <c r="M43" s="444" t="s">
        <v>937</v>
      </c>
      <c r="N43" s="452"/>
      <c r="O43" s="452"/>
      <c r="P43" s="452"/>
      <c r="Q43" s="452"/>
      <c r="R43" s="452"/>
    </row>
    <row r="44" spans="13:18" s="89" customFormat="1">
      <c r="M44" s="373"/>
    </row>
    <row r="45" spans="13:18" s="89" customFormat="1">
      <c r="M45" s="373" t="s">
        <v>938</v>
      </c>
    </row>
    <row r="46" spans="13:18" ht="18" thickBot="1">
      <c r="M46" s="469" t="s">
        <v>284</v>
      </c>
      <c r="N46" s="44" t="s">
        <v>285</v>
      </c>
      <c r="O46" s="106"/>
      <c r="P46" s="107"/>
      <c r="Q46" s="44"/>
      <c r="R46" s="470" t="s">
        <v>368</v>
      </c>
    </row>
    <row r="47" spans="13:18" ht="18" thickBot="1">
      <c r="M47" s="353"/>
      <c r="N47" s="44" t="s">
        <v>288</v>
      </c>
      <c r="O47" s="106"/>
      <c r="P47" s="109"/>
      <c r="Q47" s="44"/>
      <c r="R47" s="357"/>
    </row>
    <row r="48" spans="13:18" ht="18" thickBot="1">
      <c r="M48" s="356"/>
      <c r="N48" s="52" t="s">
        <v>290</v>
      </c>
      <c r="O48" s="110"/>
      <c r="P48" s="57"/>
      <c r="Q48" s="52"/>
      <c r="R48" s="357"/>
    </row>
    <row r="49" spans="13:18" ht="17.399999999999999">
      <c r="M49" s="356"/>
      <c r="N49" s="52" t="s">
        <v>292</v>
      </c>
      <c r="O49" s="111"/>
      <c r="P49" s="112"/>
      <c r="Q49" s="52"/>
      <c r="R49" s="357"/>
    </row>
    <row r="50" spans="13:18" ht="18" thickBot="1">
      <c r="M50" s="356"/>
      <c r="N50" s="52" t="s">
        <v>369</v>
      </c>
      <c r="O50" s="113"/>
      <c r="P50" s="114"/>
      <c r="Q50" s="52"/>
      <c r="R50" s="357"/>
    </row>
    <row r="51" spans="13:18" ht="17.399999999999999">
      <c r="M51" s="356"/>
      <c r="N51" s="59"/>
      <c r="O51" s="59"/>
      <c r="P51" s="60"/>
      <c r="Q51" s="59"/>
      <c r="R51" s="357"/>
    </row>
    <row r="52" spans="13:18" ht="17.399999999999999">
      <c r="M52" s="469" t="s">
        <v>296</v>
      </c>
      <c r="N52" s="44" t="s">
        <v>297</v>
      </c>
      <c r="O52" s="44"/>
      <c r="P52" s="61"/>
      <c r="Q52" s="44"/>
      <c r="R52" s="357"/>
    </row>
    <row r="53" spans="13:18" ht="17.399999999999999">
      <c r="M53" s="353"/>
      <c r="N53" s="52" t="s">
        <v>299</v>
      </c>
      <c r="O53" s="52"/>
      <c r="P53" s="115"/>
      <c r="Q53" s="52"/>
      <c r="R53" s="471" t="s">
        <v>370</v>
      </c>
    </row>
    <row r="54" spans="13:18" ht="17.399999999999999">
      <c r="M54" s="356"/>
      <c r="N54" s="52" t="s">
        <v>371</v>
      </c>
      <c r="O54" s="52"/>
      <c r="P54" s="63"/>
      <c r="Q54" s="52"/>
      <c r="R54" s="472" t="s">
        <v>303</v>
      </c>
    </row>
    <row r="55" spans="13:18" ht="17.399999999999999">
      <c r="M55" s="356"/>
      <c r="N55" s="52" t="s">
        <v>372</v>
      </c>
      <c r="O55" s="68"/>
      <c r="P55" s="69"/>
      <c r="Q55" s="52"/>
      <c r="R55" s="472"/>
    </row>
    <row r="56" spans="13:18" ht="17.399999999999999">
      <c r="M56" s="356"/>
      <c r="N56" s="52" t="s">
        <v>373</v>
      </c>
      <c r="O56" s="58"/>
      <c r="P56" s="73"/>
      <c r="Q56" s="58"/>
      <c r="R56" s="472" t="s">
        <v>303</v>
      </c>
    </row>
    <row r="57" spans="13:18" ht="17.399999999999999">
      <c r="M57" s="356"/>
      <c r="N57" s="52" t="s">
        <v>308</v>
      </c>
      <c r="O57" s="52"/>
      <c r="P57" s="74"/>
      <c r="Q57" s="52"/>
      <c r="R57" s="357"/>
    </row>
    <row r="58" spans="13:18" ht="17.399999999999999">
      <c r="M58" s="358"/>
      <c r="N58" s="52" t="s">
        <v>311</v>
      </c>
      <c r="O58" s="68"/>
      <c r="P58" s="78"/>
      <c r="Q58" s="52"/>
      <c r="R58" s="359"/>
    </row>
    <row r="60" spans="13:18">
      <c r="M60" s="444" t="s">
        <v>939</v>
      </c>
      <c r="N60" s="452"/>
      <c r="O60" s="452"/>
      <c r="P60" s="452"/>
      <c r="Q60" s="452"/>
      <c r="R60" s="452"/>
    </row>
    <row r="61" spans="13:18" s="89" customFormat="1">
      <c r="M61" s="373"/>
    </row>
    <row r="62" spans="13:18" s="89" customFormat="1">
      <c r="M62" s="373" t="s">
        <v>940</v>
      </c>
    </row>
    <row r="63" spans="13:18" ht="18" thickBot="1">
      <c r="M63" s="43" t="s">
        <v>941</v>
      </c>
      <c r="N63" s="44" t="s">
        <v>942</v>
      </c>
      <c r="O63" s="106" t="s">
        <v>286</v>
      </c>
      <c r="P63" s="107">
        <v>90</v>
      </c>
      <c r="Q63" s="44" t="s">
        <v>49</v>
      </c>
      <c r="R63" s="108" t="s">
        <v>943</v>
      </c>
    </row>
    <row r="64" spans="13:18" ht="18" thickBot="1">
      <c r="N64" s="44" t="s">
        <v>944</v>
      </c>
      <c r="O64" s="106" t="s">
        <v>289</v>
      </c>
      <c r="P64" s="109">
        <v>70</v>
      </c>
      <c r="Q64" s="44" t="s">
        <v>49</v>
      </c>
      <c r="R64" s="40"/>
    </row>
    <row r="65" spans="13:18" ht="18" thickBot="1">
      <c r="M65" s="40"/>
      <c r="N65" s="52" t="s">
        <v>945</v>
      </c>
      <c r="O65" s="110" t="s">
        <v>291</v>
      </c>
      <c r="P65" s="57">
        <v>2000</v>
      </c>
      <c r="Q65" s="52" t="s">
        <v>212</v>
      </c>
      <c r="R65" s="40"/>
    </row>
    <row r="66" spans="13:18" ht="19.8">
      <c r="M66" s="40"/>
      <c r="N66" s="52" t="s">
        <v>946</v>
      </c>
      <c r="O66" s="111" t="s">
        <v>293</v>
      </c>
      <c r="P66" s="112">
        <v>20</v>
      </c>
      <c r="Q66" s="52" t="s">
        <v>7</v>
      </c>
      <c r="R66" s="40"/>
    </row>
    <row r="67" spans="13:18" ht="18" thickBot="1">
      <c r="M67" s="40"/>
      <c r="N67" s="52" t="s">
        <v>947</v>
      </c>
      <c r="O67" s="113" t="s">
        <v>295</v>
      </c>
      <c r="P67" s="114">
        <v>0</v>
      </c>
      <c r="Q67" s="52" t="s">
        <v>5</v>
      </c>
      <c r="R67" s="40"/>
    </row>
    <row r="68" spans="13:18" ht="17.399999999999999">
      <c r="M68" s="40"/>
      <c r="N68" s="59"/>
      <c r="O68" s="59"/>
      <c r="P68" s="60"/>
      <c r="Q68" s="59"/>
      <c r="R68" s="40"/>
    </row>
    <row r="69" spans="13:18" ht="19.8">
      <c r="M69" s="43" t="s">
        <v>948</v>
      </c>
      <c r="N69" s="44" t="s">
        <v>949</v>
      </c>
      <c r="O69" s="44" t="s">
        <v>298</v>
      </c>
      <c r="P69" s="61">
        <f>IF(P63&lt;100,0,IF(('[3]T Daten'!$B$278*POWER('[3]T Auswahl'!$P$17,2)+'[3]T Daten'!$C$278*'[3]T Auswahl'!$P$17+'[3]T Daten'!D319)*POWER('[3]T Auswahl'!$P$13,2)+('[3]T Daten'!$E$278*POWER('[3]T Auswahl'!$P$17,2)+'[3]T Daten'!$F$278*'[3]T Auswahl'!$P$17+'[3]T Daten'!$G$278)*'[3]T Auswahl'!$P$13+('[3]T Daten'!$H$278*POWER('[3]T Auswahl'!$P$17,2)+'[3]T Daten'!$I$278*'[3]T Auswahl'!$P$17+'[3]T Daten'!$J$278)-1&lt;0,0,('[3]T Daten'!$B$278*POWER('[3]T Auswahl'!$P$17,2)+'[3]T Daten'!$C$278*'[3]T Auswahl'!$P$17+'[3]T Daten'!D319)*POWER('[3]T Auswahl'!$P$13,2)+('[3]T Daten'!$E$278*POWER('[3]T Auswahl'!$P$17,2)+'[3]T Daten'!$F$278*'[3]T Auswahl'!$P$17+'[3]T Daten'!$G$278)*'[3]T Auswahl'!$P$13+('[3]T Daten'!$H$278*POWER('[3]T Auswahl'!$P$17,2)+'[3]T Daten'!$I$278*'[3]T Auswahl'!$P$17+'[3]T Daten'!$J$278)-1))</f>
        <v>0</v>
      </c>
      <c r="Q69" s="44" t="s">
        <v>3</v>
      </c>
      <c r="R69" s="40"/>
    </row>
    <row r="70" spans="13:18" ht="17.399999999999999">
      <c r="N70" s="52" t="s">
        <v>950</v>
      </c>
      <c r="O70" s="52" t="s">
        <v>300</v>
      </c>
      <c r="P70" s="115">
        <f>P66/10+0.3+P69</f>
        <v>2.2999999999999998</v>
      </c>
      <c r="Q70" s="52" t="s">
        <v>3</v>
      </c>
      <c r="R70" s="47" t="s">
        <v>951</v>
      </c>
    </row>
    <row r="71" spans="13:18" ht="17.399999999999999">
      <c r="M71" s="40"/>
      <c r="N71" s="52" t="s">
        <v>952</v>
      </c>
      <c r="O71" s="52" t="s">
        <v>157</v>
      </c>
      <c r="P71" s="63">
        <f>P72-0.2</f>
        <v>2.5999999999999996</v>
      </c>
      <c r="Q71" s="52" t="s">
        <v>3</v>
      </c>
      <c r="R71" s="64" t="s">
        <v>953</v>
      </c>
    </row>
    <row r="72" spans="13:18" ht="17.399999999999999">
      <c r="M72" s="40"/>
      <c r="N72" s="52" t="s">
        <v>954</v>
      </c>
      <c r="O72" s="68" t="s">
        <v>305</v>
      </c>
      <c r="P72" s="69">
        <f>P70+0.5</f>
        <v>2.8</v>
      </c>
      <c r="Q72" s="52" t="s">
        <v>3</v>
      </c>
      <c r="R72" s="64"/>
    </row>
    <row r="73" spans="13:18" ht="17.399999999999999">
      <c r="M73" s="40"/>
      <c r="N73" s="52" t="s">
        <v>955</v>
      </c>
      <c r="O73" s="58" t="s">
        <v>307</v>
      </c>
      <c r="P73" s="73">
        <f>P72+0.2</f>
        <v>3</v>
      </c>
      <c r="Q73" s="58"/>
      <c r="R73" s="64" t="s">
        <v>953</v>
      </c>
    </row>
    <row r="74" spans="13:18" ht="19.8">
      <c r="M74" s="40"/>
      <c r="N74" s="52" t="s">
        <v>956</v>
      </c>
      <c r="O74" s="52" t="s">
        <v>309</v>
      </c>
      <c r="P74" s="74">
        <f>IF(0.0058*P64+ 0.094&lt;0.384,0.384,0.0058*P64+ 0.094)</f>
        <v>0.5</v>
      </c>
      <c r="Q74" s="52" t="s">
        <v>310</v>
      </c>
      <c r="R74" s="42"/>
    </row>
    <row r="75" spans="13:18" ht="19.8">
      <c r="M75" s="77"/>
      <c r="N75" s="52" t="s">
        <v>957</v>
      </c>
      <c r="O75" s="68" t="s">
        <v>312</v>
      </c>
      <c r="P75" s="78">
        <f>P74*P65</f>
        <v>1000</v>
      </c>
      <c r="Q75" s="52" t="s">
        <v>313</v>
      </c>
      <c r="R75" s="359"/>
    </row>
    <row r="78" spans="13:18">
      <c r="M78" s="95"/>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4">
    <pageSetUpPr fitToPage="1"/>
  </sheetPr>
  <dimension ref="A1:BA752"/>
  <sheetViews>
    <sheetView showGridLines="0" showRowColHeaders="0" zoomScaleNormal="100" zoomScaleSheetLayoutView="100" workbookViewId="0">
      <selection activeCell="F5" activeCellId="8" sqref="K26 K21 K19 L17 K13 K11 K9 F7:K7 F5:K5"/>
    </sheetView>
  </sheetViews>
  <sheetFormatPr defaultColWidth="0" defaultRowHeight="15" customHeight="1" zeroHeight="1"/>
  <cols>
    <col min="1" max="1" width="8.59765625" style="156" customWidth="1"/>
    <col min="2" max="2" width="3.09765625" style="157" customWidth="1"/>
    <col min="3" max="3" width="7.19921875" style="157" customWidth="1"/>
    <col min="4" max="4" width="6.69921875" style="157" customWidth="1"/>
    <col min="5" max="5" width="7.5" style="157" customWidth="1"/>
    <col min="6" max="6" width="7.8984375" style="157" customWidth="1"/>
    <col min="7" max="7" width="6.69921875" style="157" customWidth="1"/>
    <col min="8" max="8" width="6.5" style="157" customWidth="1"/>
    <col min="9" max="9" width="6.8984375" style="157" customWidth="1"/>
    <col min="10" max="10" width="7.59765625" style="158" customWidth="1"/>
    <col min="11" max="11" width="9.3984375" style="157" customWidth="1"/>
    <col min="12" max="12" width="9.19921875" style="157" customWidth="1"/>
    <col min="13" max="13" width="8" style="157" customWidth="1"/>
    <col min="14" max="14" width="5.69921875" style="156" customWidth="1"/>
    <col min="15" max="21" width="9" style="157" customWidth="1"/>
    <col min="22" max="22" width="10.19921875" style="157" customWidth="1"/>
    <col min="23" max="23" width="10.3984375" style="157" customWidth="1"/>
    <col min="24" max="24" width="10.59765625" style="157" customWidth="1"/>
    <col min="25" max="25" width="10.8984375" style="157" customWidth="1"/>
    <col min="26" max="26" width="9" style="157" customWidth="1"/>
    <col min="27" max="53" width="0" style="157" hidden="1" customWidth="1"/>
    <col min="54" max="16384" width="9" style="157" hidden="1"/>
  </cols>
  <sheetData>
    <row r="1" spans="2:53" ht="52.5" customHeight="1">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row>
    <row r="2" spans="2:53" ht="17.399999999999999" customHeight="1">
      <c r="B2" s="160"/>
      <c r="C2" s="161"/>
      <c r="D2" s="162"/>
      <c r="E2" s="162"/>
      <c r="F2" s="162"/>
      <c r="G2" s="162"/>
      <c r="H2" s="162"/>
      <c r="I2" s="162"/>
      <c r="J2" s="161"/>
      <c r="K2" s="160"/>
      <c r="L2" s="160"/>
      <c r="M2" s="160"/>
      <c r="O2" s="163"/>
      <c r="P2" s="164"/>
      <c r="Q2" s="164"/>
      <c r="R2" s="164"/>
      <c r="S2" s="164"/>
      <c r="T2" s="164"/>
      <c r="U2" s="164"/>
      <c r="V2" s="164"/>
      <c r="W2" s="164"/>
      <c r="X2" s="164"/>
      <c r="Y2" s="164"/>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row>
    <row r="3" spans="2:53" ht="17.399999999999999" customHeight="1">
      <c r="B3" s="160"/>
      <c r="C3" s="328" t="s">
        <v>2</v>
      </c>
      <c r="D3" s="162"/>
      <c r="E3" s="162"/>
      <c r="F3" s="162"/>
      <c r="G3" s="162"/>
      <c r="H3" s="162"/>
      <c r="I3" s="162"/>
      <c r="J3" s="161"/>
      <c r="K3" s="160"/>
      <c r="L3" s="160"/>
      <c r="M3" s="160"/>
      <c r="O3" s="164"/>
      <c r="P3" s="166"/>
      <c r="Q3" s="166"/>
      <c r="R3" s="166"/>
      <c r="S3" s="166"/>
      <c r="T3" s="166"/>
      <c r="U3" s="166"/>
      <c r="V3" s="166"/>
      <c r="W3" s="166"/>
      <c r="X3" s="166"/>
      <c r="Y3" s="166"/>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row>
    <row r="4" spans="2:53" ht="17.399999999999999" customHeight="1">
      <c r="B4" s="160"/>
      <c r="C4" s="165"/>
      <c r="D4" s="162"/>
      <c r="E4" s="162"/>
      <c r="F4" s="162"/>
      <c r="G4" s="162"/>
      <c r="H4" s="162"/>
      <c r="I4" s="162"/>
      <c r="J4" s="161"/>
      <c r="K4" s="160"/>
      <c r="L4" s="160"/>
      <c r="M4" s="160"/>
      <c r="O4" s="164"/>
      <c r="P4" s="166"/>
      <c r="Q4" s="166"/>
      <c r="R4" s="166"/>
      <c r="S4" s="166"/>
      <c r="T4" s="166"/>
      <c r="U4" s="166"/>
      <c r="V4" s="166"/>
      <c r="W4" s="166"/>
      <c r="X4" s="166"/>
      <c r="Y4" s="166"/>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row>
    <row r="5" spans="2:53" ht="17.399999999999999" customHeight="1">
      <c r="B5" s="160"/>
      <c r="C5" s="165" t="s">
        <v>766</v>
      </c>
      <c r="D5" s="162"/>
      <c r="E5" s="162"/>
      <c r="F5" s="481"/>
      <c r="G5" s="482"/>
      <c r="H5" s="482"/>
      <c r="I5" s="482"/>
      <c r="J5" s="482"/>
      <c r="K5" s="483"/>
      <c r="L5" s="160"/>
      <c r="M5" s="160"/>
      <c r="O5" s="164"/>
      <c r="P5" s="166"/>
      <c r="Q5" s="166"/>
      <c r="R5" s="166"/>
      <c r="S5" s="166"/>
      <c r="T5" s="166"/>
      <c r="U5" s="166"/>
      <c r="V5" s="166"/>
      <c r="W5" s="166"/>
      <c r="X5" s="166"/>
      <c r="Y5" s="166"/>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row>
    <row r="6" spans="2:53" ht="17.399999999999999" customHeight="1">
      <c r="B6" s="160"/>
      <c r="C6" s="165"/>
      <c r="D6" s="162"/>
      <c r="E6" s="162"/>
      <c r="F6" s="162"/>
      <c r="G6" s="162"/>
      <c r="H6" s="162"/>
      <c r="I6" s="162"/>
      <c r="J6" s="161"/>
      <c r="K6" s="160"/>
      <c r="L6" s="160"/>
      <c r="M6" s="160"/>
      <c r="O6" s="164"/>
      <c r="P6" s="166"/>
      <c r="Q6" s="166"/>
      <c r="R6" s="166"/>
      <c r="S6" s="166"/>
      <c r="T6" s="166"/>
      <c r="U6" s="166"/>
      <c r="V6" s="166"/>
      <c r="W6" s="166"/>
      <c r="X6" s="166"/>
      <c r="Y6" s="166"/>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row>
    <row r="7" spans="2:53" ht="17.399999999999999" customHeight="1">
      <c r="B7" s="160"/>
      <c r="C7" s="165" t="s">
        <v>767</v>
      </c>
      <c r="D7" s="162"/>
      <c r="E7" s="162"/>
      <c r="F7" s="484" t="s">
        <v>994</v>
      </c>
      <c r="G7" s="482"/>
      <c r="H7" s="482"/>
      <c r="I7" s="482"/>
      <c r="J7" s="482"/>
      <c r="K7" s="483"/>
      <c r="L7" s="160"/>
      <c r="M7" s="160"/>
      <c r="O7" s="164"/>
      <c r="P7" s="166"/>
      <c r="Q7" s="166"/>
      <c r="R7" s="166"/>
      <c r="S7" s="166"/>
      <c r="T7" s="166"/>
      <c r="U7" s="166"/>
      <c r="V7" s="166"/>
      <c r="W7" s="166"/>
      <c r="X7" s="166"/>
      <c r="Y7" s="166"/>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row>
    <row r="8" spans="2:53" ht="17.399999999999999" customHeight="1">
      <c r="B8" s="160"/>
      <c r="C8" s="173"/>
      <c r="D8" s="162"/>
      <c r="E8" s="162"/>
      <c r="F8" s="162"/>
      <c r="G8" s="162"/>
      <c r="H8" s="162"/>
      <c r="I8" s="162"/>
      <c r="J8" s="170"/>
      <c r="K8" s="162"/>
      <c r="L8" s="162"/>
      <c r="M8" s="162"/>
      <c r="N8" s="167"/>
      <c r="O8" s="168"/>
      <c r="P8" s="169"/>
      <c r="Q8" s="169"/>
      <c r="R8" s="169"/>
      <c r="S8" s="169"/>
      <c r="T8" s="169"/>
      <c r="U8" s="169"/>
      <c r="V8" s="169"/>
      <c r="W8" s="169"/>
      <c r="X8" s="169"/>
      <c r="Y8" s="16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row>
    <row r="9" spans="2:53" ht="17.399999999999999" customHeight="1">
      <c r="B9" s="160"/>
      <c r="C9" s="162" t="s">
        <v>690</v>
      </c>
      <c r="D9" s="162"/>
      <c r="E9" s="162"/>
      <c r="F9" s="162"/>
      <c r="G9" s="162"/>
      <c r="H9" s="162"/>
      <c r="I9" s="162"/>
      <c r="J9" s="174"/>
      <c r="K9" s="2">
        <v>30</v>
      </c>
      <c r="L9" s="172" t="s">
        <v>12</v>
      </c>
      <c r="M9" s="162"/>
      <c r="N9" s="167"/>
      <c r="O9" s="168"/>
      <c r="P9" s="164"/>
      <c r="Q9" s="164"/>
      <c r="R9" s="164"/>
      <c r="S9" s="164"/>
      <c r="T9" s="164"/>
      <c r="U9" s="164"/>
      <c r="V9" s="169"/>
      <c r="W9" s="169"/>
      <c r="X9" s="169"/>
      <c r="Y9" s="16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row>
    <row r="10" spans="2:53" ht="17.399999999999999" customHeight="1">
      <c r="B10" s="160"/>
      <c r="C10" s="162"/>
      <c r="D10" s="162"/>
      <c r="E10" s="162"/>
      <c r="F10" s="162"/>
      <c r="G10" s="162"/>
      <c r="H10" s="162"/>
      <c r="I10" s="162"/>
      <c r="J10" s="170"/>
      <c r="K10" s="162"/>
      <c r="L10" s="162"/>
      <c r="M10" s="162"/>
      <c r="N10" s="167"/>
      <c r="O10" s="168"/>
      <c r="P10" s="164"/>
      <c r="Q10" s="164"/>
      <c r="R10" s="164"/>
      <c r="S10" s="164"/>
      <c r="T10" s="164"/>
      <c r="U10" s="164"/>
      <c r="V10" s="169"/>
      <c r="W10" s="169"/>
      <c r="X10" s="169"/>
      <c r="Y10" s="16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row>
    <row r="11" spans="2:53" ht="17.399999999999999" customHeight="1">
      <c r="B11" s="160"/>
      <c r="C11" s="162" t="s">
        <v>689</v>
      </c>
      <c r="D11" s="162"/>
      <c r="E11" s="162"/>
      <c r="F11" s="162"/>
      <c r="G11" s="162"/>
      <c r="H11" s="162"/>
      <c r="I11" s="162"/>
      <c r="J11" s="170"/>
      <c r="K11" s="2">
        <v>7</v>
      </c>
      <c r="L11" s="172" t="s">
        <v>12</v>
      </c>
      <c r="M11" s="162"/>
      <c r="N11" s="167"/>
      <c r="O11" s="168"/>
      <c r="P11" s="164"/>
      <c r="Q11" s="164"/>
      <c r="R11" s="164"/>
      <c r="S11" s="164"/>
      <c r="T11" s="164"/>
      <c r="U11" s="164"/>
      <c r="V11" s="169"/>
      <c r="W11" s="169"/>
      <c r="X11" s="169"/>
      <c r="Y11" s="16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row>
    <row r="12" spans="2:53" ht="17.399999999999999" customHeight="1">
      <c r="B12" s="160"/>
      <c r="C12" s="173" t="str">
        <f>IF(K11&lt;-34,"Min. temperatura powrotu nie może być niższa niż -34˚C","")</f>
        <v/>
      </c>
      <c r="D12" s="162"/>
      <c r="E12" s="162"/>
      <c r="F12" s="162"/>
      <c r="G12" s="162"/>
      <c r="H12" s="162"/>
      <c r="I12" s="162"/>
      <c r="J12" s="170"/>
      <c r="K12" s="162"/>
      <c r="L12" s="162"/>
      <c r="M12" s="162"/>
      <c r="N12" s="167"/>
      <c r="O12" s="168"/>
      <c r="P12" s="164"/>
      <c r="Q12" s="164"/>
      <c r="R12" s="164"/>
      <c r="S12" s="164"/>
      <c r="T12" s="164"/>
      <c r="U12" s="164"/>
      <c r="V12" s="169"/>
      <c r="W12" s="169"/>
      <c r="X12" s="169"/>
      <c r="Y12" s="16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row>
    <row r="13" spans="2:53" ht="17.399999999999999" customHeight="1">
      <c r="B13" s="160"/>
      <c r="C13" s="162" t="s">
        <v>636</v>
      </c>
      <c r="D13" s="162"/>
      <c r="E13" s="162"/>
      <c r="F13" s="162"/>
      <c r="G13" s="162"/>
      <c r="H13" s="162"/>
      <c r="I13" s="162"/>
      <c r="J13" s="170"/>
      <c r="K13" s="2">
        <v>10</v>
      </c>
      <c r="L13" s="172" t="s">
        <v>12</v>
      </c>
      <c r="M13" s="162"/>
      <c r="N13" s="167"/>
      <c r="O13" s="168"/>
      <c r="P13" s="164"/>
      <c r="Q13" s="164"/>
      <c r="R13" s="164"/>
      <c r="S13" s="164"/>
      <c r="T13" s="164"/>
      <c r="U13" s="164"/>
      <c r="V13" s="169"/>
      <c r="W13" s="169"/>
      <c r="X13" s="169"/>
      <c r="Y13" s="16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row>
    <row r="14" spans="2:53" ht="17.399999999999999" customHeight="1">
      <c r="B14" s="160"/>
      <c r="C14" s="173"/>
      <c r="D14" s="162"/>
      <c r="E14" s="162"/>
      <c r="F14" s="162"/>
      <c r="G14" s="162"/>
      <c r="H14" s="162"/>
      <c r="I14" s="162"/>
      <c r="J14" s="170"/>
      <c r="K14" s="162"/>
      <c r="L14" s="162"/>
      <c r="M14" s="162"/>
      <c r="N14" s="167"/>
      <c r="O14" s="168"/>
      <c r="P14" s="164"/>
      <c r="Q14" s="164"/>
      <c r="R14" s="164"/>
      <c r="S14" s="164"/>
      <c r="T14" s="164"/>
      <c r="U14" s="164"/>
      <c r="V14" s="169"/>
      <c r="W14" s="169"/>
      <c r="X14" s="169"/>
      <c r="Y14" s="16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row>
    <row r="15" spans="2:53" ht="17.399999999999999" customHeight="1">
      <c r="B15" s="160"/>
      <c r="C15" s="162" t="s">
        <v>13</v>
      </c>
      <c r="D15" s="162"/>
      <c r="E15" s="162"/>
      <c r="F15" s="162"/>
      <c r="G15" s="162"/>
      <c r="H15" s="162"/>
      <c r="I15" s="162"/>
      <c r="J15" s="170"/>
      <c r="K15" s="162"/>
      <c r="L15" s="162"/>
      <c r="M15" s="162"/>
      <c r="N15" s="167"/>
      <c r="O15" s="168"/>
      <c r="P15" s="164"/>
      <c r="Q15" s="164"/>
      <c r="R15" s="164"/>
      <c r="S15" s="164"/>
      <c r="T15" s="164"/>
      <c r="U15" s="164"/>
      <c r="V15" s="169"/>
      <c r="W15" s="169"/>
      <c r="X15" s="169"/>
      <c r="Y15" s="16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row>
    <row r="16" spans="2:53" ht="17.399999999999999" customHeight="1">
      <c r="B16" s="160"/>
      <c r="C16" s="173"/>
      <c r="D16" s="162"/>
      <c r="E16" s="162"/>
      <c r="F16" s="162"/>
      <c r="G16" s="162"/>
      <c r="H16" s="162"/>
      <c r="I16" s="162"/>
      <c r="J16" s="170"/>
      <c r="K16" s="162"/>
      <c r="L16" s="162"/>
      <c r="M16" s="162"/>
      <c r="N16" s="167"/>
      <c r="O16" s="168"/>
      <c r="P16" s="164"/>
      <c r="Q16" s="164"/>
      <c r="R16" s="164"/>
      <c r="S16" s="164"/>
      <c r="T16" s="164"/>
      <c r="U16" s="164"/>
      <c r="V16" s="169"/>
      <c r="W16" s="169"/>
      <c r="X16" s="169"/>
      <c r="Y16" s="16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row>
    <row r="17" spans="2:53" ht="17.399999999999999" customHeight="1">
      <c r="B17" s="160"/>
      <c r="C17" s="162" t="s">
        <v>769</v>
      </c>
      <c r="D17" s="162"/>
      <c r="E17" s="162"/>
      <c r="F17" s="162"/>
      <c r="G17" s="162"/>
      <c r="H17" s="162"/>
      <c r="I17" s="162"/>
      <c r="J17" s="176"/>
      <c r="K17" s="177"/>
      <c r="L17" s="333">
        <v>6.2</v>
      </c>
      <c r="M17" s="162"/>
      <c r="N17" s="167"/>
      <c r="O17" s="168"/>
      <c r="P17" s="164"/>
      <c r="Q17" s="164"/>
      <c r="R17" s="164"/>
      <c r="S17" s="164"/>
      <c r="T17" s="164"/>
      <c r="U17" s="164"/>
      <c r="V17" s="169"/>
      <c r="W17" s="169"/>
      <c r="X17" s="169"/>
      <c r="Y17" s="16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row>
    <row r="18" spans="2:53" ht="17.399999999999999" customHeight="1">
      <c r="B18" s="160"/>
      <c r="C18" s="162"/>
      <c r="D18" s="162"/>
      <c r="E18" s="162"/>
      <c r="F18" s="162"/>
      <c r="G18" s="162"/>
      <c r="H18" s="162"/>
      <c r="I18" s="162"/>
      <c r="J18" s="176"/>
      <c r="K18" s="177"/>
      <c r="L18" s="162"/>
      <c r="M18" s="162"/>
      <c r="O18" s="156"/>
      <c r="P18" s="156"/>
      <c r="Q18" s="156"/>
      <c r="R18" s="164"/>
      <c r="S18" s="164"/>
      <c r="T18" s="164"/>
      <c r="U18" s="164"/>
      <c r="V18" s="169"/>
      <c r="W18" s="169"/>
      <c r="X18" s="169"/>
      <c r="Y18" s="16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row>
    <row r="19" spans="2:53" ht="17.399999999999999" customHeight="1">
      <c r="B19" s="160"/>
      <c r="C19" s="162" t="s">
        <v>14</v>
      </c>
      <c r="D19" s="162"/>
      <c r="E19" s="162"/>
      <c r="F19" s="162"/>
      <c r="G19" s="162"/>
      <c r="H19" s="162"/>
      <c r="I19" s="162"/>
      <c r="J19" s="176"/>
      <c r="K19" s="2">
        <v>7</v>
      </c>
      <c r="L19" s="178" t="s">
        <v>7</v>
      </c>
      <c r="M19" s="162"/>
      <c r="O19" s="156"/>
      <c r="P19" s="156"/>
      <c r="Q19" s="156"/>
      <c r="R19" s="164"/>
      <c r="S19" s="164"/>
      <c r="T19" s="164"/>
      <c r="U19" s="164"/>
      <c r="V19" s="169"/>
      <c r="W19" s="169"/>
      <c r="X19" s="169"/>
      <c r="Y19" s="16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row>
    <row r="20" spans="2:53" ht="17.399999999999999" customHeight="1">
      <c r="B20" s="160"/>
      <c r="C20" s="162"/>
      <c r="D20" s="162"/>
      <c r="E20" s="162"/>
      <c r="F20" s="162"/>
      <c r="G20" s="162"/>
      <c r="H20" s="162"/>
      <c r="I20" s="162"/>
      <c r="J20" s="176"/>
      <c r="K20" s="177"/>
      <c r="L20" s="162"/>
      <c r="M20" s="162"/>
      <c r="O20" s="156"/>
      <c r="P20" s="156"/>
      <c r="Q20" s="156"/>
      <c r="R20" s="164"/>
      <c r="S20" s="164"/>
      <c r="T20" s="164"/>
      <c r="U20" s="164"/>
      <c r="V20" s="169"/>
      <c r="W20" s="169"/>
      <c r="X20" s="169"/>
      <c r="Y20" s="16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row>
    <row r="21" spans="2:53" ht="17.399999999999999" customHeight="1">
      <c r="B21" s="160"/>
      <c r="C21" s="162" t="s">
        <v>678</v>
      </c>
      <c r="D21" s="162"/>
      <c r="E21" s="162"/>
      <c r="F21" s="162"/>
      <c r="G21" s="162"/>
      <c r="H21" s="162"/>
      <c r="I21" s="162"/>
      <c r="J21" s="176"/>
      <c r="K21" s="179">
        <f>'2'!C47/10</f>
        <v>3</v>
      </c>
      <c r="L21" s="178" t="s">
        <v>3</v>
      </c>
      <c r="M21" s="162"/>
      <c r="N21" s="167"/>
      <c r="O21" s="168"/>
      <c r="P21" s="164"/>
      <c r="Q21" s="164"/>
      <c r="R21" s="164"/>
      <c r="S21" s="164"/>
      <c r="T21" s="164"/>
      <c r="U21" s="164"/>
      <c r="V21" s="169"/>
      <c r="W21" s="169"/>
      <c r="X21" s="169"/>
      <c r="Y21" s="16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row>
    <row r="22" spans="2:53" ht="17.399999999999999" customHeight="1">
      <c r="B22" s="160"/>
      <c r="C22" s="272" t="str">
        <f>IF(K21&lt;'2'!C51,"Wybierz ZB o wyższym PSV!!!","")</f>
        <v/>
      </c>
      <c r="D22" s="162"/>
      <c r="E22" s="162"/>
      <c r="F22" s="272"/>
      <c r="G22" s="273" t="str">
        <f>IF(K21&lt;'2'!C51,"PSV min=","")</f>
        <v/>
      </c>
      <c r="H22" s="274" t="str">
        <f>IF(K21&lt;'2'!C51,'2'!C51,"")</f>
        <v/>
      </c>
      <c r="I22" s="274" t="str">
        <f>IF(K21&lt;'2'!C51,"bar","")</f>
        <v/>
      </c>
      <c r="J22" s="290"/>
      <c r="K22" s="177"/>
      <c r="L22" s="162"/>
      <c r="M22" s="162"/>
      <c r="N22" s="167"/>
      <c r="O22" s="168"/>
      <c r="P22" s="164"/>
      <c r="Q22" s="164"/>
      <c r="R22" s="164"/>
      <c r="S22" s="164"/>
      <c r="T22" s="164"/>
      <c r="U22" s="164"/>
      <c r="V22" s="169"/>
      <c r="W22" s="169"/>
      <c r="X22" s="169"/>
      <c r="Y22" s="16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row>
    <row r="23" spans="2:53" ht="17.399999999999999" customHeight="1">
      <c r="B23" s="160"/>
      <c r="C23" s="272"/>
      <c r="D23" s="162"/>
      <c r="E23" s="162"/>
      <c r="F23" s="162"/>
      <c r="G23" s="162"/>
      <c r="H23" s="162"/>
      <c r="I23" s="162"/>
      <c r="J23" s="176"/>
      <c r="K23" s="177"/>
      <c r="L23" s="162"/>
      <c r="M23" s="162"/>
      <c r="N23" s="167"/>
      <c r="O23" s="168"/>
      <c r="P23" s="164"/>
      <c r="Q23" s="164"/>
      <c r="R23" s="164"/>
      <c r="S23" s="164"/>
      <c r="T23" s="164"/>
      <c r="U23" s="164"/>
      <c r="V23" s="169"/>
      <c r="W23" s="169"/>
      <c r="X23" s="169"/>
      <c r="Y23" s="16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row>
    <row r="24" spans="2:53" ht="17.399999999999999" customHeight="1">
      <c r="B24" s="160"/>
      <c r="C24" s="162" t="s">
        <v>18</v>
      </c>
      <c r="D24" s="162"/>
      <c r="E24" s="162"/>
      <c r="F24" s="162"/>
      <c r="G24" s="162"/>
      <c r="H24" s="162"/>
      <c r="I24" s="162"/>
      <c r="J24" s="176"/>
      <c r="K24" s="177"/>
      <c r="L24" s="162"/>
      <c r="M24" s="162"/>
      <c r="N24" s="167"/>
      <c r="O24" s="168"/>
      <c r="P24" s="164"/>
      <c r="Q24" s="164"/>
      <c r="R24" s="164"/>
      <c r="S24" s="164"/>
      <c r="T24" s="164"/>
      <c r="U24" s="164"/>
      <c r="V24" s="169"/>
      <c r="W24" s="169"/>
      <c r="X24" s="169"/>
      <c r="Y24" s="16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row>
    <row r="25" spans="2:53" ht="17.399999999999999" customHeight="1">
      <c r="B25" s="160"/>
      <c r="C25" s="162"/>
      <c r="D25" s="162"/>
      <c r="E25" s="162"/>
      <c r="F25" s="162"/>
      <c r="G25" s="162"/>
      <c r="H25" s="162"/>
      <c r="I25" s="162"/>
      <c r="J25" s="170"/>
      <c r="K25" s="162"/>
      <c r="L25" s="162"/>
      <c r="M25" s="162"/>
      <c r="N25" s="167"/>
      <c r="O25" s="168"/>
      <c r="P25" s="164"/>
      <c r="Q25" s="164"/>
      <c r="R25" s="164"/>
      <c r="S25" s="164"/>
      <c r="T25" s="164"/>
      <c r="U25" s="164"/>
      <c r="V25" s="169"/>
      <c r="W25" s="169"/>
      <c r="X25" s="169"/>
      <c r="Y25" s="16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row>
    <row r="26" spans="2:53" ht="17.399999999999999" customHeight="1">
      <c r="B26" s="160"/>
      <c r="C26" s="162" t="s">
        <v>474</v>
      </c>
      <c r="D26" s="162"/>
      <c r="E26" s="162"/>
      <c r="F26" s="162"/>
      <c r="G26" s="162"/>
      <c r="H26" s="162"/>
      <c r="I26" s="162"/>
      <c r="J26" s="170"/>
      <c r="K26" s="178">
        <f>'2'!H33/10</f>
        <v>0.5</v>
      </c>
      <c r="L26" s="182" t="s">
        <v>5</v>
      </c>
      <c r="M26" s="162"/>
      <c r="N26" s="167"/>
      <c r="O26" s="168"/>
      <c r="P26" s="164"/>
      <c r="Q26" s="164"/>
      <c r="R26" s="164"/>
      <c r="S26" s="164"/>
      <c r="T26" s="164"/>
      <c r="U26" s="164"/>
      <c r="V26" s="169"/>
      <c r="W26" s="169"/>
      <c r="X26" s="169"/>
      <c r="Y26" s="16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row>
    <row r="27" spans="2:53" ht="17.399999999999999" customHeight="1">
      <c r="B27" s="160"/>
      <c r="C27" s="162"/>
      <c r="D27" s="162"/>
      <c r="E27" s="162"/>
      <c r="F27" s="162"/>
      <c r="G27" s="162"/>
      <c r="H27" s="162"/>
      <c r="I27" s="162"/>
      <c r="J27" s="170"/>
      <c r="K27" s="162"/>
      <c r="L27" s="162"/>
      <c r="M27" s="162"/>
      <c r="N27" s="167"/>
      <c r="O27" s="168"/>
      <c r="P27" s="164"/>
      <c r="Q27" s="164"/>
      <c r="R27" s="164"/>
      <c r="S27" s="164"/>
      <c r="T27" s="164"/>
      <c r="U27" s="164"/>
      <c r="V27" s="169"/>
      <c r="W27" s="169"/>
      <c r="X27" s="169"/>
      <c r="Y27" s="16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row>
    <row r="28" spans="2:53" ht="17.399999999999999" customHeight="1">
      <c r="C28" s="183" t="s">
        <v>721</v>
      </c>
      <c r="O28" s="168"/>
      <c r="P28" s="164"/>
      <c r="Q28" s="164"/>
      <c r="R28" s="164"/>
      <c r="S28" s="164"/>
      <c r="T28" s="164"/>
      <c r="U28" s="164"/>
      <c r="V28" s="169"/>
      <c r="W28" s="169"/>
      <c r="X28" s="169"/>
      <c r="Y28" s="16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row>
    <row r="29" spans="2:53" ht="17.399999999999999" customHeight="1">
      <c r="C29" s="183"/>
      <c r="O29" s="168"/>
      <c r="P29" s="164"/>
      <c r="Q29" s="164"/>
      <c r="R29" s="164"/>
      <c r="S29" s="164"/>
      <c r="T29" s="164"/>
      <c r="U29" s="164"/>
      <c r="V29" s="169"/>
      <c r="W29" s="169"/>
      <c r="X29" s="169"/>
      <c r="Y29" s="16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row>
    <row r="30" spans="2:53" ht="17.399999999999999" customHeight="1">
      <c r="C30" s="183" t="s">
        <v>766</v>
      </c>
      <c r="F30" s="489" t="str">
        <f>IF(F5="","",F5)</f>
        <v/>
      </c>
      <c r="G30" s="490"/>
      <c r="H30" s="490"/>
      <c r="I30" s="490"/>
      <c r="J30" s="490"/>
      <c r="K30" s="490"/>
      <c r="O30" s="168"/>
      <c r="P30" s="164"/>
      <c r="Q30" s="164"/>
      <c r="R30" s="164"/>
      <c r="S30" s="164"/>
      <c r="T30" s="164"/>
      <c r="U30" s="164"/>
      <c r="V30" s="169"/>
      <c r="W30" s="169"/>
      <c r="X30" s="169"/>
      <c r="Y30" s="16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row>
    <row r="31" spans="2:53" ht="17.399999999999999" customHeight="1">
      <c r="C31" s="183" t="s">
        <v>767</v>
      </c>
      <c r="F31" s="491" t="str">
        <f>IF(F7="","",F7)</f>
        <v>IMI Hydronic Engineering</v>
      </c>
      <c r="G31" s="490"/>
      <c r="H31" s="490"/>
      <c r="I31" s="490"/>
      <c r="J31" s="490"/>
      <c r="K31" s="490"/>
      <c r="O31" s="168"/>
      <c r="P31" s="164"/>
      <c r="Q31" s="164"/>
      <c r="R31" s="164"/>
      <c r="S31" s="164"/>
      <c r="T31" s="164"/>
      <c r="U31" s="164"/>
      <c r="V31" s="169"/>
      <c r="W31" s="169"/>
      <c r="X31" s="169"/>
      <c r="Y31" s="16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row>
    <row r="32" spans="2:53" ht="17.399999999999999" customHeight="1">
      <c r="C32" s="332" t="s">
        <v>768</v>
      </c>
      <c r="D32" s="331"/>
      <c r="E32" s="330"/>
      <c r="F32" s="493">
        <f ca="1">NOW()</f>
        <v>44656.337238425927</v>
      </c>
      <c r="G32" s="493"/>
      <c r="J32" s="329"/>
      <c r="O32" s="168"/>
      <c r="P32" s="164"/>
      <c r="Q32" s="164"/>
      <c r="R32" s="164"/>
      <c r="S32" s="164"/>
      <c r="T32" s="164"/>
      <c r="U32" s="164"/>
      <c r="V32" s="169"/>
      <c r="W32" s="169"/>
      <c r="X32" s="169"/>
      <c r="Y32" s="16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row>
    <row r="33" spans="3:53" ht="17.399999999999999" customHeight="1">
      <c r="C33" s="183"/>
      <c r="J33" s="329"/>
      <c r="O33" s="168"/>
      <c r="P33" s="164"/>
      <c r="Q33" s="164"/>
      <c r="R33" s="164"/>
      <c r="S33" s="164"/>
      <c r="T33" s="164"/>
      <c r="U33" s="164"/>
      <c r="V33" s="169"/>
      <c r="W33" s="169"/>
      <c r="X33" s="169"/>
      <c r="Y33" s="16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row>
    <row r="34" spans="3:53" ht="17.399999999999999" customHeight="1">
      <c r="C34" s="183" t="s">
        <v>660</v>
      </c>
      <c r="O34" s="168"/>
      <c r="P34" s="164"/>
      <c r="Q34" s="164"/>
      <c r="R34" s="164"/>
      <c r="S34" s="164"/>
      <c r="T34" s="164"/>
      <c r="U34" s="164"/>
      <c r="V34" s="169"/>
      <c r="W34" s="169"/>
      <c r="X34" s="169"/>
      <c r="Y34" s="16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row>
    <row r="35" spans="3:53" ht="17.399999999999999" customHeight="1">
      <c r="C35" s="183"/>
      <c r="O35" s="168"/>
      <c r="P35" s="164"/>
      <c r="Q35" s="164"/>
      <c r="R35" s="164"/>
      <c r="S35" s="164"/>
      <c r="T35" s="164"/>
      <c r="U35" s="164"/>
      <c r="V35" s="169"/>
      <c r="W35" s="169"/>
      <c r="X35" s="169"/>
      <c r="Y35" s="16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row>
    <row r="36" spans="3:53" ht="17.399999999999999" customHeight="1">
      <c r="C36" s="183" t="s">
        <v>691</v>
      </c>
      <c r="K36" s="183">
        <f>K9</f>
        <v>30</v>
      </c>
      <c r="L36" s="183" t="str">
        <f>L9</f>
        <v>˚C</v>
      </c>
      <c r="O36" s="168"/>
      <c r="P36" s="164"/>
      <c r="Q36" s="164"/>
      <c r="R36" s="164"/>
      <c r="S36" s="164"/>
      <c r="T36" s="164"/>
      <c r="U36" s="164"/>
      <c r="V36" s="169"/>
      <c r="W36" s="169"/>
      <c r="X36" s="169"/>
      <c r="Y36" s="16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row>
    <row r="37" spans="3:53" ht="17.399999999999999" customHeight="1">
      <c r="C37" s="183" t="s">
        <v>692</v>
      </c>
      <c r="K37" s="183">
        <f>K11</f>
        <v>7</v>
      </c>
      <c r="L37" s="183" t="str">
        <f>L11</f>
        <v>˚C</v>
      </c>
      <c r="O37" s="168"/>
      <c r="P37" s="164"/>
      <c r="Q37" s="164"/>
      <c r="R37" s="164"/>
      <c r="S37" s="164"/>
      <c r="T37" s="164"/>
      <c r="U37" s="164"/>
      <c r="V37" s="169"/>
      <c r="W37" s="169"/>
      <c r="X37" s="169"/>
      <c r="Y37" s="16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row>
    <row r="38" spans="3:53" ht="17.399999999999999" customHeight="1">
      <c r="C38" s="183" t="s">
        <v>663</v>
      </c>
      <c r="K38" s="183">
        <f>K13</f>
        <v>10</v>
      </c>
      <c r="L38" s="183" t="str">
        <f>L13</f>
        <v>˚C</v>
      </c>
      <c r="O38" s="168"/>
      <c r="P38" s="164"/>
      <c r="Q38" s="164"/>
      <c r="R38" s="164"/>
      <c r="S38" s="164"/>
      <c r="T38" s="164"/>
      <c r="U38" s="164"/>
      <c r="V38" s="169"/>
      <c r="W38" s="169"/>
      <c r="X38" s="169"/>
      <c r="Y38" s="16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row>
    <row r="39" spans="3:53" ht="17.399999999999999" customHeight="1">
      <c r="C39" s="183" t="s">
        <v>13</v>
      </c>
      <c r="J39" s="487" t="str">
        <f>'2'!AC114</f>
        <v>woda</v>
      </c>
      <c r="K39" s="488"/>
      <c r="L39" s="488"/>
      <c r="M39" s="488"/>
      <c r="O39" s="168"/>
      <c r="P39" s="164"/>
      <c r="Q39" s="164"/>
      <c r="R39" s="164"/>
      <c r="S39" s="164"/>
      <c r="T39" s="164"/>
      <c r="U39" s="164"/>
      <c r="V39" s="169"/>
      <c r="W39" s="169"/>
      <c r="X39" s="169"/>
      <c r="Y39" s="16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row>
    <row r="40" spans="3:53" ht="17.399999999999999" customHeight="1">
      <c r="C40" s="183" t="s">
        <v>773</v>
      </c>
      <c r="K40" s="334">
        <f>L17</f>
        <v>6.2</v>
      </c>
      <c r="L40" s="183" t="s">
        <v>771</v>
      </c>
      <c r="O40" s="168"/>
      <c r="P40" s="164"/>
      <c r="Q40" s="164"/>
      <c r="R40" s="164"/>
      <c r="S40" s="164"/>
      <c r="T40" s="164"/>
      <c r="U40" s="164"/>
      <c r="V40" s="169"/>
      <c r="W40" s="169"/>
      <c r="X40" s="169"/>
      <c r="Y40" s="16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row>
    <row r="41" spans="3:53" ht="17.399999999999999" customHeight="1">
      <c r="C41" s="183" t="s">
        <v>665</v>
      </c>
      <c r="K41" s="183">
        <f>K19</f>
        <v>7</v>
      </c>
      <c r="L41" s="183" t="str">
        <f>L19</f>
        <v>m</v>
      </c>
      <c r="M41" s="1"/>
      <c r="O41" s="168"/>
      <c r="P41" s="164"/>
      <c r="Q41" s="164"/>
      <c r="R41" s="164"/>
      <c r="S41" s="164"/>
      <c r="T41" s="164"/>
      <c r="U41" s="164"/>
      <c r="V41" s="169"/>
      <c r="W41" s="169"/>
      <c r="X41" s="169"/>
      <c r="Y41" s="16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row>
    <row r="42" spans="3:53" ht="17.399999999999999" customHeight="1">
      <c r="C42" s="183" t="s">
        <v>15</v>
      </c>
      <c r="K42" s="216">
        <f>K21</f>
        <v>3</v>
      </c>
      <c r="L42" s="183" t="str">
        <f>L21</f>
        <v>bar</v>
      </c>
      <c r="O42" s="168"/>
      <c r="P42" s="164"/>
      <c r="Q42" s="164"/>
      <c r="R42" s="164"/>
      <c r="S42" s="164"/>
      <c r="T42" s="164"/>
      <c r="U42" s="164"/>
      <c r="V42" s="169"/>
      <c r="W42" s="169"/>
      <c r="X42" s="169"/>
      <c r="Y42" s="16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row>
    <row r="43" spans="3:53" ht="17.399999999999999" customHeight="1">
      <c r="C43" s="183"/>
      <c r="O43" s="168"/>
      <c r="P43" s="164"/>
      <c r="Q43" s="164"/>
      <c r="R43" s="164"/>
      <c r="S43" s="164"/>
      <c r="T43" s="164"/>
      <c r="U43" s="164"/>
      <c r="V43" s="169"/>
      <c r="W43" s="169"/>
      <c r="X43" s="169"/>
      <c r="Y43" s="16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row>
    <row r="44" spans="3:53" ht="17.399999999999999" customHeight="1">
      <c r="C44" s="183" t="s">
        <v>232</v>
      </c>
      <c r="M44" s="184"/>
      <c r="O44" s="168"/>
      <c r="P44" s="164"/>
      <c r="Q44" s="164"/>
      <c r="R44" s="164"/>
      <c r="S44" s="164"/>
      <c r="T44" s="164"/>
      <c r="U44" s="164"/>
      <c r="V44" s="169"/>
      <c r="W44" s="169"/>
      <c r="X44" s="169"/>
      <c r="Y44" s="16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row>
    <row r="45" spans="3:53" ht="17.399999999999999" customHeight="1">
      <c r="L45" s="185"/>
      <c r="O45" s="168"/>
      <c r="P45" s="166"/>
      <c r="Q45" s="164"/>
      <c r="R45" s="166"/>
      <c r="S45" s="164"/>
      <c r="T45" s="166"/>
      <c r="U45" s="164"/>
      <c r="V45" s="169"/>
      <c r="W45" s="169"/>
      <c r="X45" s="169"/>
      <c r="Y45" s="16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row>
    <row r="46" spans="3:53" ht="17.399999999999999" customHeight="1">
      <c r="L46" s="184"/>
      <c r="O46" s="168"/>
      <c r="P46" s="164"/>
      <c r="Q46" s="164"/>
      <c r="R46" s="164"/>
      <c r="S46" s="164"/>
      <c r="T46" s="164"/>
      <c r="U46" s="164"/>
      <c r="V46" s="169"/>
      <c r="W46" s="169"/>
      <c r="X46" s="169"/>
      <c r="Y46" s="16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row>
    <row r="47" spans="3:53" ht="17.399999999999999" customHeight="1">
      <c r="J47" s="188" t="s">
        <v>21</v>
      </c>
      <c r="O47" s="168"/>
      <c r="P47" s="164"/>
      <c r="Q47" s="164"/>
      <c r="R47" s="164"/>
      <c r="S47" s="164"/>
      <c r="T47" s="164"/>
      <c r="U47" s="164"/>
      <c r="V47" s="169"/>
      <c r="W47" s="169"/>
      <c r="X47" s="169"/>
      <c r="Y47" s="16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row>
    <row r="48" spans="3:53" ht="17.399999999999999" customHeight="1">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row>
    <row r="49" spans="3:53" ht="17.399999999999999" customHeight="1">
      <c r="C49" s="1" t="s">
        <v>0</v>
      </c>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row>
    <row r="50" spans="3:53" ht="17.399999999999999" customHeight="1">
      <c r="D50" s="157" t="s">
        <v>233</v>
      </c>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row>
    <row r="51" spans="3:53" ht="17.399999999999999" customHeight="1">
      <c r="D51" s="157" t="s">
        <v>234</v>
      </c>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row>
    <row r="52" spans="3:53" ht="17.399999999999999" customHeight="1">
      <c r="D52" s="157" t="s">
        <v>235</v>
      </c>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row>
    <row r="53" spans="3:53" ht="17.399999999999999" customHeight="1">
      <c r="D53" s="157" t="s">
        <v>236</v>
      </c>
      <c r="N53" s="186"/>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row>
    <row r="54" spans="3:53" ht="17.399999999999999" customHeight="1">
      <c r="D54" s="157" t="s">
        <v>45</v>
      </c>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row>
    <row r="55" spans="3:53" ht="17.399999999999999" customHeight="1">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row>
    <row r="56" spans="3:53" ht="17.399999999999999" customHeight="1">
      <c r="C56" s="183" t="s">
        <v>247</v>
      </c>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row>
    <row r="57" spans="3:53" ht="17.399999999999999" customHeight="1">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row>
    <row r="58" spans="3:53" ht="17.399999999999999" customHeight="1">
      <c r="E58" s="187"/>
      <c r="F58" s="187"/>
      <c r="G58" s="157" t="s">
        <v>21</v>
      </c>
      <c r="H58" s="188"/>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row>
    <row r="59" spans="3:53" ht="17.399999999999999" customHeight="1">
      <c r="C59" s="1" t="s">
        <v>0</v>
      </c>
      <c r="I59" s="1"/>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row>
    <row r="60" spans="3:53" ht="17.399999999999999" customHeight="1">
      <c r="D60" s="157" t="s">
        <v>237</v>
      </c>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row>
    <row r="61" spans="3:53" ht="17.399999999999999" customHeight="1">
      <c r="D61" s="157" t="s">
        <v>239</v>
      </c>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row>
    <row r="62" spans="3:53" ht="17.399999999999999" customHeight="1">
      <c r="D62" s="157" t="s">
        <v>238</v>
      </c>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row>
    <row r="63" spans="3:53" ht="17.399999999999999" customHeight="1">
      <c r="D63" s="157" t="s">
        <v>693</v>
      </c>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row>
    <row r="64" spans="3:53" ht="17.399999999999999" customHeight="1">
      <c r="E64" s="1"/>
      <c r="F64" s="1"/>
      <c r="G64" s="189"/>
      <c r="H64" s="189"/>
      <c r="I64" s="188"/>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row>
    <row r="65" spans="3:53" ht="17.399999999999999" customHeight="1">
      <c r="C65" s="1" t="s">
        <v>28</v>
      </c>
      <c r="E65" s="1"/>
      <c r="F65" s="1"/>
      <c r="G65" s="188"/>
      <c r="H65" s="188"/>
      <c r="I65" s="188"/>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row>
    <row r="66" spans="3:53" ht="17.399999999999999" customHeight="1">
      <c r="D66" s="1" t="s">
        <v>240</v>
      </c>
      <c r="E66" s="199">
        <f>L17</f>
        <v>6.2</v>
      </c>
      <c r="F66" s="157" t="s">
        <v>246</v>
      </c>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row>
    <row r="67" spans="3:53" ht="17.399999999999999" customHeight="1">
      <c r="D67" s="1" t="s">
        <v>241</v>
      </c>
      <c r="E67" s="187">
        <f>'2'!AC124</f>
        <v>999.9</v>
      </c>
      <c r="F67" s="189" t="s">
        <v>244</v>
      </c>
      <c r="G67" s="192" t="s">
        <v>36</v>
      </c>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row>
    <row r="68" spans="3:53" ht="17.399999999999999" customHeight="1">
      <c r="D68" s="30" t="s">
        <v>242</v>
      </c>
      <c r="E68" s="291">
        <f>'2'!AC127</f>
        <v>4.2185598493564846E-3</v>
      </c>
      <c r="F68" s="157" t="s">
        <v>245</v>
      </c>
      <c r="G68" s="1" t="s">
        <v>695</v>
      </c>
      <c r="H68" s="157">
        <f>K11</f>
        <v>7</v>
      </c>
      <c r="I68" s="193" t="s">
        <v>33</v>
      </c>
      <c r="J68" s="157" t="s">
        <v>654</v>
      </c>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row>
    <row r="69" spans="3:53" ht="17.399999999999999" customHeight="1">
      <c r="G69" s="192" t="s">
        <v>694</v>
      </c>
      <c r="H69" s="157">
        <f>K9</f>
        <v>30</v>
      </c>
      <c r="I69" s="193" t="s">
        <v>33</v>
      </c>
      <c r="J69" s="157" t="str">
        <f>J39</f>
        <v>woda</v>
      </c>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row>
    <row r="70" spans="3:53" ht="17.399999999999999" customHeight="1">
      <c r="C70" s="1" t="s">
        <v>32</v>
      </c>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row>
    <row r="71" spans="3:53" ht="17.399999999999999" customHeight="1">
      <c r="D71" s="1" t="s">
        <v>243</v>
      </c>
      <c r="E71" s="184">
        <f>E66*E67*E68</f>
        <v>26.152455558903604</v>
      </c>
      <c r="F71" s="157" t="s">
        <v>230</v>
      </c>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row>
    <row r="72" spans="3:53" ht="17.399999999999999" customHeight="1">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row>
    <row r="73" spans="3:53" ht="17.399999999999999" customHeight="1">
      <c r="C73" s="183" t="s">
        <v>252</v>
      </c>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row>
    <row r="74" spans="3:53" ht="17.399999999999999" customHeight="1">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row>
    <row r="75" spans="3:53" ht="17.399999999999999" customHeight="1">
      <c r="G75" s="157" t="s">
        <v>41</v>
      </c>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row>
    <row r="76" spans="3:53" ht="17.399999999999999" customHeight="1">
      <c r="C76" s="1" t="s">
        <v>0</v>
      </c>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row>
    <row r="77" spans="3:53" ht="17.399999999999999" customHeight="1">
      <c r="D77" s="157" t="s">
        <v>253</v>
      </c>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row>
    <row r="78" spans="3:53" ht="17.399999999999999" customHeight="1">
      <c r="C78" s="183"/>
      <c r="D78" s="157" t="s">
        <v>43</v>
      </c>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row>
    <row r="79" spans="3:53" ht="17.399999999999999" customHeight="1">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row>
    <row r="80" spans="3:53" ht="17.399999999999999" customHeight="1">
      <c r="C80" s="1" t="s">
        <v>28</v>
      </c>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row>
    <row r="81" spans="3:53" ht="17.399999999999999" customHeight="1">
      <c r="D81" s="1" t="s">
        <v>62</v>
      </c>
      <c r="E81" s="157">
        <f>K19</f>
        <v>7</v>
      </c>
      <c r="F81" s="157" t="s">
        <v>231</v>
      </c>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row>
    <row r="82" spans="3:53" ht="17.399999999999999" customHeight="1">
      <c r="C82" s="1" t="s">
        <v>32</v>
      </c>
      <c r="G82" s="191"/>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row>
    <row r="83" spans="3:53" ht="17.399999999999999" customHeight="1">
      <c r="D83" s="1" t="s">
        <v>254</v>
      </c>
      <c r="E83" s="184">
        <f>E81/10+0.2</f>
        <v>0.89999999999999991</v>
      </c>
      <c r="F83" s="199" t="s">
        <v>3</v>
      </c>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row>
    <row r="84" spans="3:53" ht="17.399999999999999" customHeight="1">
      <c r="E84" s="1"/>
      <c r="F84" s="1"/>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row>
    <row r="85" spans="3:53" ht="17.399999999999999" customHeight="1">
      <c r="C85" s="183" t="s">
        <v>257</v>
      </c>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row>
    <row r="86" spans="3:53" ht="17.399999999999999" customHeight="1">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row>
    <row r="87" spans="3:53" ht="17.399999999999999" customHeight="1">
      <c r="G87" s="157" t="s">
        <v>41</v>
      </c>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row>
    <row r="88" spans="3:53" ht="17.399999999999999" customHeight="1">
      <c r="C88" s="1" t="s">
        <v>0</v>
      </c>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row>
    <row r="89" spans="3:53" ht="17.399999999999999" customHeight="1">
      <c r="D89" s="157" t="s">
        <v>255</v>
      </c>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row>
    <row r="90" spans="3:53" ht="17.399999999999999" customHeight="1">
      <c r="D90" s="157" t="s">
        <v>67</v>
      </c>
      <c r="E90" s="190"/>
      <c r="F90" s="190"/>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row>
    <row r="91" spans="3:53" ht="17.399999999999999" customHeight="1">
      <c r="D91" s="157" t="s">
        <v>68</v>
      </c>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row>
    <row r="92" spans="3:53" ht="17.399999999999999" customHeight="1">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row>
    <row r="93" spans="3:53" ht="17.399999999999999" customHeight="1">
      <c r="C93" s="1" t="s">
        <v>28</v>
      </c>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row>
    <row r="94" spans="3:53" ht="17.399999999999999" customHeight="1">
      <c r="D94" s="1" t="s">
        <v>69</v>
      </c>
      <c r="E94" s="184">
        <f>K21</f>
        <v>3</v>
      </c>
      <c r="F94" s="200" t="s">
        <v>41</v>
      </c>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row>
    <row r="95" spans="3:53" ht="17.399999999999999" customHeight="1">
      <c r="C95" s="1"/>
      <c r="D95" s="201" t="s">
        <v>70</v>
      </c>
      <c r="E95" s="202">
        <f>IF(E94&gt;5,0.1*E94,0.5)</f>
        <v>0.5</v>
      </c>
      <c r="F95" s="200" t="s">
        <v>41</v>
      </c>
      <c r="G95" s="203"/>
      <c r="H95" s="203"/>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row>
    <row r="96" spans="3:53" ht="17.399999999999999" customHeight="1">
      <c r="C96" s="1" t="s">
        <v>32</v>
      </c>
      <c r="E96" s="204"/>
      <c r="F96" s="205"/>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row>
    <row r="97" spans="3:53" ht="17.399999999999999" customHeight="1">
      <c r="D97" s="1" t="s">
        <v>256</v>
      </c>
      <c r="E97" s="184">
        <f>E94-E95</f>
        <v>2.5</v>
      </c>
      <c r="F97" s="200" t="s">
        <v>3</v>
      </c>
      <c r="J97" s="485"/>
      <c r="K97" s="486"/>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row>
    <row r="98" spans="3:53" ht="17.399999999999999" customHeight="1">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row>
    <row r="99" spans="3:53" ht="17.399999999999999" customHeight="1">
      <c r="C99" s="183" t="s">
        <v>258</v>
      </c>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row>
    <row r="100" spans="3:53" ht="17.399999999999999" customHeight="1">
      <c r="E100" s="194"/>
      <c r="F100" s="194"/>
      <c r="G100" s="188"/>
      <c r="H100" s="188"/>
      <c r="I100" s="188"/>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row>
    <row r="101" spans="3:53" ht="17.399999999999999" customHeight="1">
      <c r="H101" s="157" t="s">
        <v>21</v>
      </c>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row>
    <row r="102" spans="3:53" ht="17.399999999999999" customHeight="1">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row>
    <row r="103" spans="3:53" ht="17.399999999999999" customHeight="1">
      <c r="C103" s="1" t="s">
        <v>0</v>
      </c>
      <c r="E103" s="1"/>
      <c r="F103" s="1"/>
      <c r="G103" s="189"/>
      <c r="H103" s="189"/>
      <c r="I103" s="188"/>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row>
    <row r="104" spans="3:53" ht="17.399999999999999" customHeight="1">
      <c r="D104" s="157" t="s">
        <v>250</v>
      </c>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row>
    <row r="105" spans="3:53" ht="17.399999999999999" customHeight="1">
      <c r="C105" s="183"/>
      <c r="D105" s="157" t="s">
        <v>248</v>
      </c>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row>
    <row r="106" spans="3:53" ht="17.399999999999999" customHeight="1">
      <c r="C106" s="183"/>
      <c r="D106" s="157" t="s">
        <v>249</v>
      </c>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row>
    <row r="107" spans="3:53" ht="17.399999999999999" customHeight="1">
      <c r="C107" s="183"/>
      <c r="D107" s="157" t="s">
        <v>251</v>
      </c>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row>
    <row r="108" spans="3:53" ht="17.399999999999999" customHeight="1">
      <c r="C108" s="183"/>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row>
    <row r="109" spans="3:53" ht="17.399999999999999" customHeight="1">
      <c r="C109" s="1" t="s">
        <v>28</v>
      </c>
      <c r="E109" s="1"/>
      <c r="F109" s="1"/>
      <c r="G109" s="195"/>
      <c r="H109" s="195"/>
      <c r="I109" s="188"/>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row>
    <row r="110" spans="3:53" ht="17.399999999999999" customHeight="1">
      <c r="D110" s="1" t="s">
        <v>243</v>
      </c>
      <c r="E110" s="184">
        <f>E71</f>
        <v>26.152455558903604</v>
      </c>
      <c r="F110" s="157" t="s">
        <v>21</v>
      </c>
      <c r="G110" s="196"/>
      <c r="H110" s="196"/>
      <c r="I110" s="197"/>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row>
    <row r="111" spans="3:53" ht="17.399999999999999" customHeight="1">
      <c r="D111" s="1" t="s">
        <v>256</v>
      </c>
      <c r="E111" s="184">
        <f>E97</f>
        <v>2.5</v>
      </c>
      <c r="F111" s="200" t="s">
        <v>41</v>
      </c>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row>
    <row r="112" spans="3:53" ht="17.399999999999999" customHeight="1">
      <c r="D112" s="1" t="s">
        <v>254</v>
      </c>
      <c r="E112" s="184">
        <f>E83</f>
        <v>0.89999999999999991</v>
      </c>
      <c r="F112" s="199" t="s">
        <v>41</v>
      </c>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row>
    <row r="113" spans="3:53" ht="17.399999999999999" customHeight="1">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row>
    <row r="114" spans="3:53" ht="17.399999999999999" customHeight="1">
      <c r="C114" s="1" t="s">
        <v>32</v>
      </c>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row>
    <row r="115" spans="3:53" ht="17.399999999999999" customHeight="1">
      <c r="D115" s="1" t="s">
        <v>259</v>
      </c>
      <c r="E115" s="184">
        <f>E110*((E111+1)/(E111-E112))</f>
        <v>57.208496535101631</v>
      </c>
      <c r="F115" s="157" t="s">
        <v>230</v>
      </c>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row>
    <row r="116" spans="3:53" ht="17.399999999999999" customHeight="1">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row>
    <row r="117" spans="3:53" ht="17.399999999999999" customHeight="1">
      <c r="C117" s="183" t="s">
        <v>260</v>
      </c>
      <c r="J117" s="207"/>
      <c r="K117" s="183"/>
      <c r="L117" s="183"/>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row>
    <row r="118" spans="3:53" ht="17.399999999999999" customHeight="1">
      <c r="J118" s="207"/>
      <c r="K118" s="183"/>
      <c r="L118" s="183"/>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row>
    <row r="119" spans="3:53" ht="17.399999999999999" customHeight="1">
      <c r="H119" s="157" t="s">
        <v>21</v>
      </c>
      <c r="J119" s="207"/>
      <c r="K119" s="183"/>
      <c r="L119" s="183"/>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row>
    <row r="120" spans="3:53" ht="17.399999999999999" customHeight="1">
      <c r="J120" s="207"/>
      <c r="K120" s="183"/>
      <c r="L120" s="183"/>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row>
    <row r="121" spans="3:53" ht="17.399999999999999" customHeight="1">
      <c r="C121" s="1" t="s">
        <v>0</v>
      </c>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row>
    <row r="122" spans="3:53" ht="17.399999999999999" customHeight="1">
      <c r="D122" s="157" t="s">
        <v>261</v>
      </c>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row>
    <row r="123" spans="3:53" ht="17.399999999999999" customHeight="1">
      <c r="D123" s="157" t="s">
        <v>248</v>
      </c>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row>
    <row r="124" spans="3:53" ht="17.399999999999999" customHeight="1">
      <c r="D124" s="157" t="s">
        <v>239</v>
      </c>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row>
    <row r="125" spans="3:53" ht="17.399999999999999" customHeight="1">
      <c r="C125" s="208"/>
      <c r="D125" s="157" t="s">
        <v>262</v>
      </c>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row>
    <row r="126" spans="3:53" ht="17.399999999999999" customHeight="1">
      <c r="C126" s="208"/>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row>
    <row r="127" spans="3:53" ht="17.399999999999999" customHeight="1">
      <c r="C127" s="1" t="s">
        <v>28</v>
      </c>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row>
    <row r="128" spans="3:53" ht="17.399999999999999" customHeight="1">
      <c r="D128" s="1" t="s">
        <v>243</v>
      </c>
      <c r="E128" s="184">
        <f>E71</f>
        <v>26.152455558903604</v>
      </c>
      <c r="F128" s="157" t="s">
        <v>21</v>
      </c>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row>
    <row r="129" spans="3:53" ht="17.399999999999999" customHeight="1">
      <c r="D129" s="1" t="s">
        <v>240</v>
      </c>
      <c r="E129" s="199">
        <f>L17</f>
        <v>6.2</v>
      </c>
      <c r="F129" s="157" t="s">
        <v>246</v>
      </c>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row>
    <row r="130" spans="3:53" ht="17.399999999999999" customHeight="1">
      <c r="D130" s="1" t="s">
        <v>263</v>
      </c>
      <c r="E130" s="184">
        <f>K26</f>
        <v>0.5</v>
      </c>
      <c r="F130" s="200" t="s">
        <v>264</v>
      </c>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row>
    <row r="131" spans="3:53" ht="17.399999999999999" customHeight="1">
      <c r="D131" s="1"/>
      <c r="E131" s="184"/>
      <c r="F131" s="200"/>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row>
    <row r="132" spans="3:53" ht="17.399999999999999" customHeight="1">
      <c r="C132" s="1" t="s">
        <v>32</v>
      </c>
      <c r="J132" s="207"/>
      <c r="K132" s="183"/>
      <c r="L132" s="183"/>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row>
    <row r="133" spans="3:53" ht="17.399999999999999" customHeight="1">
      <c r="D133" s="1" t="s">
        <v>265</v>
      </c>
      <c r="E133" s="184">
        <f>E128+(E129*E130*10)</f>
        <v>57.152455558903604</v>
      </c>
      <c r="F133" s="157" t="s">
        <v>230</v>
      </c>
      <c r="J133" s="209"/>
      <c r="K133" s="183"/>
      <c r="L133" s="183"/>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row>
    <row r="134" spans="3:53" ht="17.399999999999999" customHeight="1">
      <c r="J134" s="207"/>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row>
    <row r="135" spans="3:53" ht="17.399999999999999" customHeight="1">
      <c r="C135" s="183" t="s">
        <v>266</v>
      </c>
      <c r="J135" s="207"/>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row>
    <row r="136" spans="3:53" ht="17.399999999999999" customHeight="1">
      <c r="J136" s="207"/>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row>
    <row r="137" spans="3:53" ht="17.399999999999999" customHeight="1">
      <c r="J137" s="207"/>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row>
    <row r="138" spans="3:53" ht="17.399999999999999" customHeight="1">
      <c r="J138" s="207"/>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row>
    <row r="139" spans="3:53" ht="17.399999999999999" customHeight="1">
      <c r="I139" s="157" t="s">
        <v>41</v>
      </c>
      <c r="J139" s="207"/>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row>
    <row r="140" spans="3:53" ht="17.399999999999999" customHeight="1">
      <c r="J140" s="207"/>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row>
    <row r="141" spans="3:53" ht="17.399999999999999" customHeight="1">
      <c r="J141" s="207"/>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row>
    <row r="142" spans="3:53" ht="17.399999999999999" customHeight="1">
      <c r="J142" s="207"/>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row>
    <row r="143" spans="3:53" ht="17.399999999999999" customHeight="1">
      <c r="C143" s="1" t="s">
        <v>0</v>
      </c>
      <c r="J143" s="207"/>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row>
    <row r="144" spans="3:53" ht="17.399999999999999" customHeight="1">
      <c r="D144" s="157" t="s">
        <v>267</v>
      </c>
      <c r="J144" s="207"/>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row>
    <row r="145" spans="3:53" ht="17.399999999999999" customHeight="1">
      <c r="D145" s="157" t="s">
        <v>249</v>
      </c>
      <c r="J145" s="207"/>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row>
    <row r="146" spans="3:53" ht="17.399999999999999" customHeight="1">
      <c r="D146" s="157" t="s">
        <v>248</v>
      </c>
      <c r="J146" s="207"/>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row>
    <row r="147" spans="3:53" ht="17.399999999999999" customHeight="1">
      <c r="D147" s="157" t="s">
        <v>261</v>
      </c>
      <c r="J147" s="207"/>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row>
    <row r="148" spans="3:53" ht="17.399999999999999" customHeight="1">
      <c r="D148" s="157" t="s">
        <v>251</v>
      </c>
      <c r="J148" s="207"/>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row>
    <row r="149" spans="3:53" ht="17.399999999999999" customHeight="1">
      <c r="J149" s="207"/>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row>
    <row r="150" spans="3:53" ht="17.399999999999999" customHeight="1">
      <c r="C150" s="1" t="s">
        <v>28</v>
      </c>
      <c r="J150" s="207"/>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row>
    <row r="151" spans="3:53" ht="17.399999999999999" customHeight="1">
      <c r="D151" s="1" t="s">
        <v>256</v>
      </c>
      <c r="E151" s="184">
        <f>E97</f>
        <v>2.5</v>
      </c>
      <c r="F151" s="200" t="s">
        <v>41</v>
      </c>
      <c r="J151" s="207"/>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row>
    <row r="152" spans="3:53" ht="17.399999999999999" customHeight="1">
      <c r="D152" s="1" t="s">
        <v>243</v>
      </c>
      <c r="E152" s="184">
        <f>E110</f>
        <v>26.152455558903604</v>
      </c>
      <c r="F152" s="157" t="s">
        <v>21</v>
      </c>
      <c r="J152" s="207"/>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row>
    <row r="153" spans="3:53" ht="17.399999999999999" customHeight="1">
      <c r="D153" s="1" t="s">
        <v>265</v>
      </c>
      <c r="E153" s="184">
        <f>E133</f>
        <v>57.152455558903604</v>
      </c>
      <c r="F153" s="157" t="s">
        <v>230</v>
      </c>
      <c r="J153" s="207"/>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row>
    <row r="154" spans="3:53" ht="17.399999999999999" customHeight="1">
      <c r="D154" s="1" t="s">
        <v>254</v>
      </c>
      <c r="E154" s="184">
        <f>E83</f>
        <v>0.89999999999999991</v>
      </c>
      <c r="F154" s="199" t="s">
        <v>41</v>
      </c>
      <c r="J154" s="207"/>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row>
    <row r="155" spans="3:53" ht="17.399999999999999" customHeight="1">
      <c r="C155" s="1" t="s">
        <v>32</v>
      </c>
      <c r="J155" s="207"/>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row>
    <row r="156" spans="3:53" ht="17.399999999999999" customHeight="1">
      <c r="D156" s="1" t="s">
        <v>268</v>
      </c>
      <c r="E156" s="184">
        <f>((E151+1)/(1+(E152/(E153*(((E151+1)/(E151-E154))-1)))))-1</f>
        <v>1.5264558148775884</v>
      </c>
      <c r="F156" s="157" t="s">
        <v>3</v>
      </c>
      <c r="J156" s="207"/>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row>
    <row r="157" spans="3:53" ht="17.399999999999999" customHeight="1">
      <c r="J157" s="207"/>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row>
    <row r="158" spans="3:53" ht="17.399999999999999" customHeight="1">
      <c r="C158" s="183" t="s">
        <v>269</v>
      </c>
      <c r="J158" s="207"/>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row>
    <row r="159" spans="3:53" ht="17.399999999999999" customHeight="1">
      <c r="J159" s="207"/>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row>
    <row r="160" spans="3:53" ht="17.399999999999999" customHeight="1">
      <c r="I160" s="188" t="s">
        <v>21</v>
      </c>
      <c r="J160" s="207"/>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row>
    <row r="161" spans="3:53" ht="17.399999999999999" customHeight="1">
      <c r="J161" s="207"/>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row>
    <row r="162" spans="3:53" ht="17.399999999999999" customHeight="1">
      <c r="J162" s="207"/>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row>
    <row r="163" spans="3:53" ht="17.399999999999999" customHeight="1">
      <c r="C163" s="1" t="s">
        <v>0</v>
      </c>
      <c r="J163" s="207"/>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row>
    <row r="164" spans="3:53" ht="17.399999999999999" customHeight="1">
      <c r="D164" s="157" t="s">
        <v>233</v>
      </c>
      <c r="J164" s="207"/>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row>
    <row r="165" spans="3:53" ht="17.399999999999999" customHeight="1">
      <c r="D165" s="157" t="s">
        <v>234</v>
      </c>
      <c r="J165" s="207"/>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row>
    <row r="166" spans="3:53" ht="17.399999999999999" customHeight="1">
      <c r="D166" s="157" t="s">
        <v>235</v>
      </c>
      <c r="J166" s="207"/>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row>
    <row r="167" spans="3:53" ht="17.399999999999999" customHeight="1">
      <c r="D167" s="157" t="s">
        <v>236</v>
      </c>
      <c r="J167" s="207"/>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row>
    <row r="168" spans="3:53" ht="17.399999999999999" customHeight="1">
      <c r="D168" s="157" t="s">
        <v>45</v>
      </c>
      <c r="J168" s="207"/>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row>
    <row r="169" spans="3:53" ht="17.399999999999999" customHeight="1">
      <c r="J169" s="207"/>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row>
    <row r="170" spans="3:53" ht="17.399999999999999" customHeight="1">
      <c r="C170" s="1" t="s">
        <v>28</v>
      </c>
      <c r="J170" s="207"/>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row>
    <row r="171" spans="3:53" ht="17.399999999999999" customHeight="1">
      <c r="D171" s="1" t="s">
        <v>265</v>
      </c>
      <c r="E171" s="184">
        <f>E133</f>
        <v>57.152455558903604</v>
      </c>
      <c r="F171" s="157" t="s">
        <v>21</v>
      </c>
      <c r="J171" s="207"/>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row>
    <row r="172" spans="3:53" ht="17.399999999999999" customHeight="1">
      <c r="D172" s="1" t="s">
        <v>256</v>
      </c>
      <c r="E172" s="184">
        <f>E97</f>
        <v>2.5</v>
      </c>
      <c r="F172" s="200" t="s">
        <v>41</v>
      </c>
      <c r="J172" s="207"/>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row>
    <row r="173" spans="3:53" ht="17.399999999999999" customHeight="1">
      <c r="D173" s="1" t="s">
        <v>268</v>
      </c>
      <c r="E173" s="184">
        <f>E156</f>
        <v>1.5264558148775884</v>
      </c>
      <c r="F173" s="200" t="s">
        <v>41</v>
      </c>
      <c r="J173" s="207"/>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row>
    <row r="174" spans="3:53" ht="17.399999999999999" customHeight="1">
      <c r="D174" s="1"/>
      <c r="E174" s="184"/>
      <c r="F174" s="199"/>
      <c r="J174" s="207"/>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row>
    <row r="175" spans="3:53" ht="17.399999999999999" customHeight="1">
      <c r="C175" s="1" t="s">
        <v>32</v>
      </c>
      <c r="J175" s="207"/>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row>
    <row r="176" spans="3:53" ht="17.399999999999999" customHeight="1">
      <c r="D176" s="275" t="s">
        <v>700</v>
      </c>
      <c r="E176" s="239">
        <f>(E171+'2'!D53)*((E172+1)/(E172-E173))</f>
        <v>205.46945635652969</v>
      </c>
      <c r="F176" s="217" t="s">
        <v>664</v>
      </c>
      <c r="J176" s="207"/>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row>
    <row r="177" spans="2:53" ht="17.399999999999999" customHeight="1">
      <c r="J177" s="207"/>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row>
    <row r="178" spans="2:53" ht="17.399999999999999" customHeight="1">
      <c r="C178" s="183" t="s">
        <v>123</v>
      </c>
      <c r="J178" s="207"/>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row>
    <row r="179" spans="2:53" ht="17.399999999999999" customHeight="1">
      <c r="B179" s="276"/>
      <c r="C179" s="276"/>
      <c r="D179" s="276"/>
      <c r="E179" s="276"/>
      <c r="F179" s="276"/>
      <c r="G179" s="276"/>
      <c r="H179" s="276"/>
      <c r="I179" s="276"/>
      <c r="J179" s="292"/>
      <c r="K179" s="276"/>
      <c r="L179" s="276"/>
      <c r="M179" s="276"/>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row>
    <row r="180" spans="2:53" ht="17.399999999999999" customHeight="1">
      <c r="B180" s="276"/>
      <c r="C180" s="276"/>
      <c r="D180" s="276"/>
      <c r="E180" s="276"/>
      <c r="F180" s="285" t="s">
        <v>124</v>
      </c>
      <c r="G180" s="286">
        <v>1</v>
      </c>
      <c r="H180" s="287" t="s">
        <v>1</v>
      </c>
      <c r="I180" s="276"/>
      <c r="J180" s="281"/>
      <c r="K180" s="276"/>
      <c r="L180" s="276"/>
      <c r="M180" s="276"/>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row>
    <row r="181" spans="2:53" ht="17.399999999999999" customHeight="1">
      <c r="B181" s="276"/>
      <c r="C181" s="338" t="str">
        <f>C201</f>
        <v>Dobrane naczynia nie spełniają wymogów normy PN-B-02414</v>
      </c>
      <c r="D181" s="276"/>
      <c r="E181" s="276"/>
      <c r="F181" s="278"/>
      <c r="G181" s="276"/>
      <c r="H181" s="276"/>
      <c r="I181" s="276"/>
      <c r="J181" s="281"/>
      <c r="K181" s="276"/>
      <c r="L181" s="276"/>
      <c r="M181" s="276"/>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row>
    <row r="182" spans="2:53" ht="17.399999999999999" customHeight="1">
      <c r="B182" s="276"/>
      <c r="C182" s="280" t="str">
        <f>C202</f>
        <v>Dobierz naczynie wzbiorcze o większej pojemności lub zwiększ ich liczbę!!!</v>
      </c>
      <c r="D182" s="276"/>
      <c r="E182" s="276"/>
      <c r="F182" s="278"/>
      <c r="G182" s="276"/>
      <c r="H182" s="276"/>
      <c r="I182" s="276"/>
      <c r="J182" s="281"/>
      <c r="K182" s="276"/>
      <c r="L182" s="276"/>
      <c r="M182" s="276"/>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row>
    <row r="183" spans="2:53" ht="17.399999999999999" customHeight="1">
      <c r="B183" s="276"/>
      <c r="C183" s="280" t="str">
        <f>IF('2'!F56&lt;'NW wg PN-B-02414'!K21,"Ciśnienie nominalne dla naczynia wzbiorczego jest mniejsze niż wybrane PSV","")</f>
        <v/>
      </c>
      <c r="D183" s="276"/>
      <c r="E183" s="282"/>
      <c r="F183" s="282"/>
      <c r="G183" s="283"/>
      <c r="H183" s="283"/>
      <c r="I183" s="284"/>
      <c r="J183" s="281"/>
      <c r="K183" s="276"/>
      <c r="L183" s="276"/>
      <c r="M183" s="276"/>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row>
    <row r="184" spans="2:53" ht="17.399999999999999" customHeight="1">
      <c r="B184" s="276"/>
      <c r="C184" s="280" t="str">
        <f>IF(C183="Ciśnienie nominalne dla naczynia wzbiorczego jest mniejsze niż wybrane PSV","Wybierz naczynie o wyższym ciśnieniu nominalnym!!!","")</f>
        <v/>
      </c>
      <c r="D184" s="276"/>
      <c r="E184" s="282"/>
      <c r="F184" s="282"/>
      <c r="G184" s="283"/>
      <c r="H184" s="283"/>
      <c r="I184" s="284"/>
      <c r="J184" s="281"/>
      <c r="K184" s="276"/>
      <c r="L184" s="276"/>
      <c r="M184" s="276"/>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row>
    <row r="185" spans="2:53" ht="17.399999999999999" customHeight="1">
      <c r="C185" s="157" t="s">
        <v>129</v>
      </c>
      <c r="I185" s="157" t="str">
        <f>VLOOKUP('2'!B59,'2'!A61:F106,2,0)</f>
        <v>Statico SD 80.10</v>
      </c>
      <c r="K185" s="157" t="s">
        <v>130</v>
      </c>
      <c r="L185" s="188">
        <f>G180</f>
        <v>1</v>
      </c>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row>
    <row r="186" spans="2:53" ht="17.399999999999999" customHeight="1">
      <c r="C186" s="157" t="s">
        <v>131</v>
      </c>
      <c r="F186" s="157">
        <f>'2'!F55*'NW wg PN-B-02414'!L185</f>
        <v>80</v>
      </c>
      <c r="G186" s="157" t="s">
        <v>230</v>
      </c>
      <c r="L186" s="158"/>
      <c r="O186" s="159"/>
      <c r="P186" s="180" t="s">
        <v>226</v>
      </c>
      <c r="Q186" s="180"/>
      <c r="R186" s="180"/>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row>
    <row r="187" spans="2:53" ht="17.399999999999999" customHeight="1">
      <c r="O187" s="159"/>
      <c r="P187" s="180" t="s">
        <v>227</v>
      </c>
      <c r="R187" s="151" t="s">
        <v>229</v>
      </c>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row>
    <row r="188" spans="2:53" ht="17.399999999999999" customHeight="1">
      <c r="C188" s="183" t="s">
        <v>701</v>
      </c>
      <c r="O188" s="159"/>
      <c r="P188" s="180" t="s">
        <v>228</v>
      </c>
      <c r="R188" s="151" t="s">
        <v>229</v>
      </c>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row>
    <row r="189" spans="2:53" ht="17.399999999999999" customHeight="1">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row>
    <row r="190" spans="2:53" ht="17.399999999999999" customHeight="1">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row>
    <row r="191" spans="2:53" ht="17.399999999999999" customHeight="1">
      <c r="C191" s="1" t="s">
        <v>0</v>
      </c>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row>
    <row r="192" spans="2:53" ht="17.399999999999999" customHeight="1">
      <c r="D192" s="157" t="s">
        <v>270</v>
      </c>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row>
    <row r="193" spans="3:53" ht="17.399999999999999" customHeight="1">
      <c r="D193" s="157" t="s">
        <v>133</v>
      </c>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row>
    <row r="194" spans="3:53" ht="17.399999999999999" customHeight="1">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row>
    <row r="195" spans="3:53" ht="17.399999999999999" customHeight="1">
      <c r="C195" s="1" t="s">
        <v>28</v>
      </c>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row>
    <row r="196" spans="3:53" ht="17.399999999999999" customHeight="1">
      <c r="D196" s="1" t="s">
        <v>271</v>
      </c>
      <c r="E196" s="187">
        <f>E176</f>
        <v>205.46945635652969</v>
      </c>
      <c r="F196" s="157" t="s">
        <v>21</v>
      </c>
      <c r="G196" s="158"/>
      <c r="H196" s="158"/>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row>
    <row r="197" spans="3:53" ht="17.399999999999999" customHeight="1">
      <c r="D197" s="1" t="s">
        <v>137</v>
      </c>
      <c r="E197" s="1">
        <f>F186</f>
        <v>80</v>
      </c>
      <c r="F197" s="157" t="s">
        <v>21</v>
      </c>
      <c r="G197" s="158"/>
      <c r="H197" s="158"/>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row>
    <row r="198" spans="3:53" ht="17.399999999999999" customHeight="1">
      <c r="E198" s="1"/>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row>
    <row r="199" spans="3:53" ht="17.399999999999999" customHeight="1">
      <c r="F199" s="157" t="s">
        <v>135</v>
      </c>
      <c r="G199" s="157" t="str">
        <f>IF(E197&gt;E196,"większe od",IF(E197=E196,"równe","mniejsze od"))</f>
        <v>mniejsze od</v>
      </c>
      <c r="I199" s="157" t="s">
        <v>272</v>
      </c>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row>
    <row r="200" spans="3:53" ht="17.399999999999999" customHeight="1">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row>
    <row r="201" spans="3:53" ht="17.399999999999999" customHeight="1">
      <c r="C201" s="225" t="str">
        <f>IF('2'!F56&lt;'NW wg PN-B-02414'!K21,"Dobrane naczynia nie spełniają wymogów normy PN-B-02414",IF(G199="mniejsze od","Dobrane naczynia nie spełniają wymogów normy PN-B-02414","Dobrane naczynia spełniają wymagania normy PN-B-02414"))</f>
        <v>Dobrane naczynia nie spełniają wymogów normy PN-B-02414</v>
      </c>
      <c r="J201" s="212"/>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row>
    <row r="202" spans="3:53" ht="17.399999999999999" customHeight="1">
      <c r="C202" s="212" t="str">
        <f>IF(G199="mniejsze od","Dobierz naczynie wzbiorcze o większej pojemności lub zwiększ ich liczbę!!!","")</f>
        <v>Dobierz naczynie wzbiorcze o większej pojemności lub zwiększ ich liczbę!!!</v>
      </c>
      <c r="I202" s="212"/>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row>
    <row r="203" spans="3:53" ht="17.399999999999999" customHeight="1">
      <c r="C203" s="183" t="s">
        <v>702</v>
      </c>
      <c r="I203" s="212"/>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row>
    <row r="204" spans="3:53" ht="17.399999999999999" customHeight="1">
      <c r="C204" s="212"/>
      <c r="I204" s="212"/>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row>
    <row r="205" spans="3:53" ht="17.399999999999999" customHeight="1">
      <c r="C205" s="212"/>
      <c r="G205" s="157" t="s">
        <v>211</v>
      </c>
      <c r="I205" s="212"/>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row>
    <row r="206" spans="3:53" ht="17.399999999999999" customHeight="1">
      <c r="C206" s="1" t="s">
        <v>0</v>
      </c>
      <c r="I206" s="212"/>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row>
    <row r="207" spans="3:53" ht="17.399999999999999" customHeight="1">
      <c r="D207" s="157" t="s">
        <v>273</v>
      </c>
      <c r="I207" s="212"/>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row>
    <row r="208" spans="3:53" ht="17.399999999999999" customHeight="1">
      <c r="D208" s="157" t="s">
        <v>248</v>
      </c>
      <c r="I208" s="212"/>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row>
    <row r="209" spans="3:53" ht="17.399999999999999" customHeight="1">
      <c r="C209" s="1" t="s">
        <v>28</v>
      </c>
      <c r="I209" s="212"/>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row>
    <row r="210" spans="3:53" ht="17.399999999999999" customHeight="1">
      <c r="D210" s="1" t="s">
        <v>243</v>
      </c>
      <c r="E210" s="184">
        <f>E71</f>
        <v>26.152455558903604</v>
      </c>
      <c r="F210" s="157" t="s">
        <v>21</v>
      </c>
      <c r="I210" s="212"/>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row>
    <row r="211" spans="3:53" ht="17.399999999999999" customHeight="1">
      <c r="C211" s="1" t="s">
        <v>32</v>
      </c>
      <c r="E211" s="1"/>
      <c r="I211" s="212"/>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row>
    <row r="212" spans="3:53" ht="17.399999999999999" customHeight="1">
      <c r="D212" s="1" t="s">
        <v>274</v>
      </c>
      <c r="E212" s="190">
        <f>IF('2'!F37&lt;21,20,'2'!F37)</f>
        <v>20</v>
      </c>
      <c r="F212" s="157" t="s">
        <v>214</v>
      </c>
      <c r="I212" s="212"/>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row>
    <row r="213" spans="3:53" ht="17.399999999999999" customHeight="1">
      <c r="C213" s="212"/>
      <c r="I213" s="212"/>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row>
    <row r="214" spans="3:53" ht="17.399999999999999" customHeight="1">
      <c r="C214" s="183" t="s">
        <v>703</v>
      </c>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row>
    <row r="215" spans="3:53" ht="17.399999999999999" customHeight="1">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row>
    <row r="216" spans="3:53" ht="17.399999999999999" customHeight="1">
      <c r="C216" s="157" t="s">
        <v>139</v>
      </c>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row>
    <row r="217" spans="3:53" ht="17.399999999999999" customHeight="1">
      <c r="D217" s="183" t="str">
        <f>I185</f>
        <v>Statico SD 80.10</v>
      </c>
      <c r="F217" s="157" t="s">
        <v>130</v>
      </c>
      <c r="I217" s="183">
        <f>G180</f>
        <v>1</v>
      </c>
      <c r="J217" s="183" t="s">
        <v>1</v>
      </c>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row>
    <row r="218" spans="3:53" ht="17.399999999999999" customHeight="1">
      <c r="D218" s="157" t="s">
        <v>140</v>
      </c>
      <c r="I218" s="157">
        <f>VLOOKUP('2'!B59,'2'!A61:F106,3,0)</f>
        <v>80</v>
      </c>
      <c r="J218" s="188" t="s">
        <v>141</v>
      </c>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row>
    <row r="219" spans="3:53" ht="17.399999999999999" customHeight="1">
      <c r="D219" s="157" t="s">
        <v>159</v>
      </c>
      <c r="I219" s="157">
        <f>VLOOKUP('2'!B59,'2'!A61:F106,4,0)</f>
        <v>10</v>
      </c>
      <c r="J219" s="188" t="s">
        <v>3</v>
      </c>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row>
    <row r="220" spans="3:53" ht="17.399999999999999" customHeight="1">
      <c r="D220" s="157" t="s">
        <v>142</v>
      </c>
      <c r="I220" s="229">
        <f>VLOOKUP('2'!B59,'2'!A61:F106,6,0)</f>
        <v>7103006</v>
      </c>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row>
    <row r="221" spans="3:53" ht="17.399999999999999" customHeight="1">
      <c r="D221" s="157" t="s">
        <v>145</v>
      </c>
      <c r="I221" s="157">
        <f>I218+'2'!F57</f>
        <v>96</v>
      </c>
      <c r="J221" s="188" t="s">
        <v>146</v>
      </c>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row>
    <row r="222" spans="3:53" ht="17.399999999999999" customHeight="1">
      <c r="D222" s="157" t="s">
        <v>147</v>
      </c>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row>
    <row r="223" spans="3:53" ht="17.399999999999999" customHeight="1">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row>
    <row r="224" spans="3:53" ht="17.399999999999999" customHeight="1">
      <c r="C224" s="183" t="s">
        <v>704</v>
      </c>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row>
    <row r="225" spans="3:53" ht="17.399999999999999" customHeight="1">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row>
    <row r="226" spans="3:53" ht="17.399999999999999" customHeight="1">
      <c r="C226" s="157" t="s">
        <v>148</v>
      </c>
      <c r="H226" s="214">
        <f>1/'2'!F38</f>
        <v>0.45714285714285713</v>
      </c>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row>
    <row r="227" spans="3:53" ht="17.399999999999999" customHeight="1">
      <c r="C227" s="215" t="str">
        <f>IF(H226&lt;15%,"Wybierz zawór bezpieczeństwa o wyższym PSV lub dobierz urządzenie automatyczne!!!","")</f>
        <v/>
      </c>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row>
    <row r="228" spans="3:53" ht="17.399999999999999" customHeight="1">
      <c r="C228" s="157" t="s">
        <v>653</v>
      </c>
      <c r="H228" s="214"/>
      <c r="J228" s="158" t="s">
        <v>149</v>
      </c>
      <c r="K228" s="214">
        <f>(I218/(E176/G180))-1</f>
        <v>-0.6106477263404817</v>
      </c>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row>
    <row r="229" spans="3:53" ht="17.399999999999999" customHeight="1">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row>
    <row r="230" spans="3:53" ht="17.399999999999999" customHeight="1">
      <c r="C230" s="183" t="s">
        <v>707</v>
      </c>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row>
    <row r="231" spans="3:53" ht="17.399999999999999" customHeight="1">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row>
    <row r="232" spans="3:53" ht="17.399999999999999" customHeight="1">
      <c r="H232" s="1" t="s">
        <v>21</v>
      </c>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row>
    <row r="233" spans="3:53" ht="17.399999999999999" customHeight="1">
      <c r="C233" s="1" t="s">
        <v>28</v>
      </c>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row>
    <row r="234" spans="3:53" ht="17.399999999999999" customHeight="1">
      <c r="C234" s="1"/>
      <c r="D234" s="1" t="s">
        <v>137</v>
      </c>
      <c r="E234" s="187">
        <f>E197</f>
        <v>80</v>
      </c>
      <c r="F234" s="157" t="s">
        <v>21</v>
      </c>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row>
    <row r="235" spans="3:53" ht="17.399999999999999" customHeight="1">
      <c r="D235" s="1" t="s">
        <v>277</v>
      </c>
      <c r="E235" s="184">
        <f>E83</f>
        <v>0.89999999999999991</v>
      </c>
      <c r="F235" s="200" t="s">
        <v>41</v>
      </c>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row>
    <row r="236" spans="3:53" ht="24" customHeight="1">
      <c r="D236" s="1" t="s">
        <v>278</v>
      </c>
      <c r="E236" s="253">
        <f>IF('2'!AC106&gt;0,'2'!AC110,'NW wg PN-B-02414'!E156)</f>
        <v>2.1825878283156572</v>
      </c>
      <c r="F236" s="200" t="s">
        <v>41</v>
      </c>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row>
    <row r="237" spans="3:53" ht="17.399999999999999" customHeight="1">
      <c r="C237" s="1" t="s">
        <v>32</v>
      </c>
      <c r="E237" s="187"/>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row>
    <row r="238" spans="3:53" ht="17.399999999999999" customHeight="1">
      <c r="D238" s="1" t="s">
        <v>688</v>
      </c>
      <c r="E238" s="184">
        <f>IF('2'!F42&lt;0,0,'2'!F42)</f>
        <v>32.240124012400308</v>
      </c>
      <c r="F238" s="157" t="s">
        <v>230</v>
      </c>
      <c r="H238" s="158" t="s">
        <v>149</v>
      </c>
      <c r="I238" s="214">
        <f>E238/E234</f>
        <v>0.40300155015500383</v>
      </c>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row>
    <row r="239" spans="3:53" ht="17.399999999999999" customHeight="1">
      <c r="C239" s="215"/>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row>
    <row r="240" spans="3:53" ht="17.399999999999999" customHeight="1">
      <c r="C240" s="183" t="s">
        <v>710</v>
      </c>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row>
    <row r="241" spans="3:53" ht="17.399999999999999" customHeight="1">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row>
    <row r="242" spans="3:53" ht="17.399999999999999" customHeight="1">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row>
    <row r="243" spans="3:53" ht="17.399999999999999" customHeight="1">
      <c r="C243" s="216">
        <f>E236</f>
        <v>2.1825878283156572</v>
      </c>
      <c r="D243" s="183" t="s">
        <v>3</v>
      </c>
      <c r="L243" s="216">
        <f>E97</f>
        <v>2.5</v>
      </c>
      <c r="M243" s="183" t="s">
        <v>3</v>
      </c>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row>
    <row r="244" spans="3:53" ht="17.399999999999999" customHeight="1">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row>
    <row r="245" spans="3:53" ht="17.399999999999999" customHeight="1">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row>
    <row r="246" spans="3:53" ht="17.399999999999999" customHeight="1">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row>
    <row r="247" spans="3:53" ht="17.399999999999999" customHeight="1">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row>
    <row r="248" spans="3:53" ht="17.399999999999999" customHeight="1">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row>
    <row r="249" spans="3:53" ht="17.399999999999999" customHeight="1">
      <c r="C249" s="216">
        <f>E83</f>
        <v>0.89999999999999991</v>
      </c>
      <c r="D249" s="183" t="s">
        <v>3</v>
      </c>
      <c r="L249" s="216">
        <f>K21</f>
        <v>3</v>
      </c>
      <c r="M249" s="183" t="s">
        <v>3</v>
      </c>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row>
    <row r="250" spans="3:53" ht="17.399999999999999" customHeight="1">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row>
    <row r="251" spans="3:53" ht="17.399999999999999" customHeight="1">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row>
    <row r="252" spans="3:53" ht="17.399999999999999" customHeight="1">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row>
    <row r="253" spans="3:53" ht="17.399999999999999" customHeight="1">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row>
    <row r="254" spans="3:53" ht="17.399999999999999" customHeight="1">
      <c r="C254" s="183" t="s">
        <v>711</v>
      </c>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row>
    <row r="255" spans="3:53" ht="17.399999999999999" customHeight="1">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row>
    <row r="256" spans="3:53" ht="17.399999999999999" customHeight="1">
      <c r="C256" s="218" t="s">
        <v>279</v>
      </c>
      <c r="D256" s="218"/>
      <c r="E256" s="218"/>
      <c r="F256" s="218"/>
      <c r="G256" s="218"/>
      <c r="H256" s="218"/>
      <c r="I256" s="235"/>
      <c r="J256" s="236">
        <f>C249</f>
        <v>0.89999999999999991</v>
      </c>
      <c r="K256" s="235" t="s">
        <v>3</v>
      </c>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row>
    <row r="257" spans="2:53" ht="17.399999999999999" customHeight="1">
      <c r="C257" s="218" t="s">
        <v>742</v>
      </c>
      <c r="D257" s="218"/>
      <c r="E257" s="218"/>
      <c r="F257" s="218"/>
      <c r="G257" s="218"/>
      <c r="H257" s="218"/>
      <c r="I257" s="235"/>
      <c r="J257" s="236">
        <f>C243</f>
        <v>2.1825878283156572</v>
      </c>
      <c r="K257" s="235" t="s">
        <v>3</v>
      </c>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row>
    <row r="258" spans="2:53" ht="17.399999999999999" customHeight="1">
      <c r="C258" s="218" t="s">
        <v>161</v>
      </c>
      <c r="D258" s="218"/>
      <c r="E258" s="218"/>
      <c r="F258" s="218"/>
      <c r="G258" s="218"/>
      <c r="H258" s="218"/>
      <c r="I258" s="235"/>
      <c r="J258" s="236">
        <f>L249</f>
        <v>3</v>
      </c>
      <c r="K258" s="235" t="s">
        <v>3</v>
      </c>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row>
    <row r="259" spans="2:53" ht="17.399999999999999" customHeight="1">
      <c r="C259" s="218" t="s">
        <v>216</v>
      </c>
      <c r="D259" s="218"/>
      <c r="E259" s="218"/>
      <c r="F259" s="218"/>
      <c r="G259" s="218"/>
      <c r="H259" s="218"/>
      <c r="I259" s="237" t="s">
        <v>213</v>
      </c>
      <c r="J259" s="238">
        <f>E212</f>
        <v>20</v>
      </c>
      <c r="K259" s="235" t="s">
        <v>214</v>
      </c>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row>
    <row r="260" spans="2:53" ht="17.399999999999999" customHeight="1">
      <c r="C260" s="218"/>
      <c r="D260" s="218"/>
      <c r="E260" s="218"/>
      <c r="F260" s="218"/>
      <c r="G260" s="218"/>
      <c r="H260" s="218"/>
      <c r="I260" s="218"/>
      <c r="J260" s="219"/>
      <c r="K260" s="218"/>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row>
    <row r="261" spans="2:53" ht="17.399999999999999" customHeight="1">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row>
    <row r="262" spans="2:53" ht="17.399999999999999" customHeight="1">
      <c r="C262" s="183" t="s">
        <v>712</v>
      </c>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row>
    <row r="263" spans="2:53" ht="17.399999999999999" customHeight="1">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row>
    <row r="264" spans="2:53" ht="17.399999999999999" customHeight="1">
      <c r="C264" s="183" t="s">
        <v>219</v>
      </c>
      <c r="H264" s="183" t="s">
        <v>220</v>
      </c>
      <c r="I264" s="183"/>
      <c r="J264" s="183" t="s">
        <v>221</v>
      </c>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row>
    <row r="265" spans="2:53" ht="17.399999999999999" customHeight="1">
      <c r="C265" s="183"/>
      <c r="H265" s="183"/>
      <c r="I265" s="183"/>
      <c r="J265" s="183"/>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row>
    <row r="266" spans="2:53" ht="17.399999999999999" customHeight="1">
      <c r="C266" s="157" t="str">
        <f>D217</f>
        <v>Statico SD 80.10</v>
      </c>
      <c r="H266" s="157">
        <f>I217</f>
        <v>1</v>
      </c>
      <c r="J266" s="157">
        <f>I220</f>
        <v>7103006</v>
      </c>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row>
    <row r="267" spans="2:53" ht="17.399999999999999" customHeight="1">
      <c r="C267" s="157" t="str">
        <f>'2'!E157</f>
        <v>DLV 20</v>
      </c>
      <c r="H267" s="157">
        <f>H266</f>
        <v>1</v>
      </c>
      <c r="J267" s="157">
        <f>IF('2'!E157="dobierz zawór typ DLV innego producenta","",VLOOKUP('2'!E157,'2'!B156:C157,2,0))</f>
        <v>5351434</v>
      </c>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row>
    <row r="268" spans="2:53" ht="17.399999999999999" customHeight="1">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row>
    <row r="269" spans="2:53" ht="17.399999999999999" customHeight="1">
      <c r="C269" s="210" t="s">
        <v>8</v>
      </c>
      <c r="D269" s="210"/>
      <c r="E269" s="210"/>
      <c r="F269" s="210"/>
      <c r="G269" s="210"/>
      <c r="H269" s="210"/>
      <c r="M269" s="222"/>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row>
    <row r="270" spans="2:53" ht="17.399999999999999" customHeight="1">
      <c r="B270" s="156"/>
      <c r="C270" s="156"/>
      <c r="D270" s="156"/>
      <c r="E270" s="156"/>
      <c r="F270" s="156"/>
      <c r="G270" s="156"/>
      <c r="H270" s="156"/>
      <c r="I270" s="156"/>
      <c r="J270" s="223"/>
      <c r="K270" s="156"/>
      <c r="L270" s="156"/>
      <c r="M270" s="156"/>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row>
    <row r="271" spans="2:53" ht="17.399999999999999" customHeight="1">
      <c r="B271" s="156"/>
      <c r="C271" s="156"/>
      <c r="D271" s="156"/>
      <c r="E271" s="156"/>
      <c r="F271" s="156"/>
      <c r="G271" s="156"/>
      <c r="H271" s="156"/>
      <c r="I271" s="156"/>
      <c r="J271" s="223"/>
      <c r="K271" s="156"/>
      <c r="L271" s="156"/>
      <c r="M271" s="156"/>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row>
    <row r="272" spans="2:53" ht="17.399999999999999" customHeight="1">
      <c r="B272" s="156"/>
      <c r="C272" s="156"/>
      <c r="D272" s="156"/>
      <c r="E272" s="156"/>
      <c r="F272" s="156"/>
      <c r="G272" s="156"/>
      <c r="H272" s="156"/>
      <c r="I272" s="156"/>
      <c r="J272" s="223"/>
      <c r="K272" s="156"/>
      <c r="L272" s="156"/>
      <c r="M272" s="156"/>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row>
    <row r="273" spans="2:53" ht="17.399999999999999" customHeight="1">
      <c r="B273" s="156"/>
      <c r="C273" s="156"/>
      <c r="D273" s="156"/>
      <c r="E273" s="156"/>
      <c r="F273" s="156"/>
      <c r="G273" s="156"/>
      <c r="H273" s="156"/>
      <c r="I273" s="156"/>
      <c r="J273" s="223"/>
      <c r="K273" s="156"/>
      <c r="L273" s="156"/>
      <c r="M273" s="156"/>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row>
    <row r="274" spans="2:53" ht="17.399999999999999" customHeight="1">
      <c r="B274" s="156"/>
      <c r="C274" s="156"/>
      <c r="D274" s="156"/>
      <c r="E274" s="156"/>
      <c r="F274" s="156"/>
      <c r="G274" s="156"/>
      <c r="H274" s="156"/>
      <c r="I274" s="156"/>
      <c r="J274" s="223"/>
      <c r="K274" s="156"/>
      <c r="L274" s="156"/>
      <c r="M274" s="156"/>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row>
    <row r="275" spans="2:53" ht="17.399999999999999" customHeight="1">
      <c r="B275" s="159"/>
      <c r="C275" s="156"/>
      <c r="D275" s="156"/>
      <c r="E275" s="156"/>
      <c r="F275" s="156"/>
      <c r="G275" s="156"/>
      <c r="H275" s="156"/>
      <c r="I275" s="156"/>
      <c r="J275" s="223"/>
      <c r="K275" s="156"/>
      <c r="L275" s="156"/>
      <c r="M275" s="156"/>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row>
    <row r="276" spans="2:53" ht="17.399999999999999" customHeight="1">
      <c r="B276" s="159"/>
      <c r="C276" s="159"/>
      <c r="D276" s="159"/>
      <c r="E276" s="159"/>
      <c r="F276" s="159"/>
      <c r="G276" s="159"/>
      <c r="H276" s="159"/>
      <c r="I276" s="159"/>
      <c r="J276" s="224"/>
      <c r="K276" s="159"/>
      <c r="L276" s="159"/>
      <c r="M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row>
    <row r="277" spans="2:53" ht="17.399999999999999" customHeight="1">
      <c r="B277" s="159"/>
      <c r="C277" s="159"/>
      <c r="D277" s="159"/>
      <c r="E277" s="159"/>
      <c r="F277" s="159"/>
      <c r="G277" s="159"/>
      <c r="H277" s="159"/>
      <c r="I277" s="159"/>
      <c r="J277" s="224"/>
      <c r="K277" s="159"/>
      <c r="L277" s="159"/>
      <c r="M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row>
    <row r="278" spans="2:53" ht="17.399999999999999" customHeight="1">
      <c r="B278" s="159"/>
      <c r="C278" s="159"/>
      <c r="D278" s="159"/>
      <c r="E278" s="159"/>
      <c r="F278" s="159"/>
      <c r="G278" s="159"/>
      <c r="H278" s="159"/>
      <c r="I278" s="159"/>
      <c r="J278" s="224"/>
      <c r="K278" s="159"/>
      <c r="L278" s="159"/>
      <c r="M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row>
    <row r="279" spans="2:53" ht="17.399999999999999" customHeight="1">
      <c r="B279" s="159"/>
      <c r="C279" s="159"/>
      <c r="D279" s="159"/>
      <c r="E279" s="159"/>
      <c r="F279" s="159"/>
      <c r="G279" s="159"/>
      <c r="H279" s="159"/>
      <c r="I279" s="159"/>
      <c r="J279" s="224"/>
      <c r="K279" s="159"/>
      <c r="L279" s="159"/>
      <c r="M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row>
    <row r="280" spans="2:53" ht="17.399999999999999" customHeight="1">
      <c r="B280" s="159"/>
      <c r="C280" s="159"/>
      <c r="D280" s="159"/>
      <c r="E280" s="159"/>
      <c r="F280" s="159"/>
      <c r="G280" s="159"/>
      <c r="H280" s="159"/>
      <c r="I280" s="159"/>
      <c r="J280" s="224"/>
      <c r="K280" s="159"/>
      <c r="L280" s="159"/>
      <c r="M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row>
    <row r="281" spans="2:53" ht="17.399999999999999" customHeight="1">
      <c r="B281" s="159"/>
      <c r="C281" s="159"/>
      <c r="D281" s="159"/>
      <c r="E281" s="159"/>
      <c r="F281" s="159"/>
      <c r="G281" s="159"/>
      <c r="H281" s="159"/>
      <c r="I281" s="159"/>
      <c r="J281" s="224"/>
      <c r="K281" s="159"/>
      <c r="L281" s="159"/>
      <c r="M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row>
    <row r="282" spans="2:53" ht="17.399999999999999" customHeight="1">
      <c r="B282" s="159"/>
      <c r="C282" s="159"/>
      <c r="D282" s="159"/>
      <c r="E282" s="159"/>
      <c r="F282" s="159"/>
      <c r="G282" s="159"/>
      <c r="H282" s="159"/>
      <c r="I282" s="159"/>
      <c r="J282" s="224"/>
      <c r="K282" s="159"/>
      <c r="L282" s="159"/>
      <c r="M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row>
    <row r="283" spans="2:53" ht="17.399999999999999" customHeight="1">
      <c r="B283" s="159"/>
      <c r="C283" s="159"/>
      <c r="D283" s="159"/>
      <c r="E283" s="159"/>
      <c r="F283" s="159"/>
      <c r="G283" s="159"/>
      <c r="H283" s="159"/>
      <c r="I283" s="159"/>
      <c r="J283" s="224"/>
      <c r="K283" s="159"/>
      <c r="L283" s="159"/>
      <c r="M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row>
    <row r="284" spans="2:53" ht="17.399999999999999" customHeight="1">
      <c r="B284" s="159"/>
      <c r="C284" s="159"/>
      <c r="D284" s="159"/>
      <c r="E284" s="159"/>
      <c r="F284" s="159"/>
      <c r="G284" s="159"/>
      <c r="H284" s="159"/>
      <c r="I284" s="159"/>
      <c r="J284" s="224"/>
      <c r="K284" s="159"/>
      <c r="L284" s="159"/>
      <c r="M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row>
    <row r="285" spans="2:53" ht="17.399999999999999" customHeight="1">
      <c r="B285" s="159"/>
      <c r="C285" s="159"/>
      <c r="D285" s="159"/>
      <c r="E285" s="159"/>
      <c r="F285" s="159"/>
      <c r="G285" s="159"/>
      <c r="H285" s="159"/>
      <c r="I285" s="159"/>
      <c r="J285" s="224"/>
      <c r="K285" s="159"/>
      <c r="L285" s="159"/>
      <c r="M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row>
    <row r="286" spans="2:53" ht="17.399999999999999" customHeight="1">
      <c r="B286" s="159"/>
      <c r="C286" s="159"/>
      <c r="D286" s="159"/>
      <c r="E286" s="159"/>
      <c r="F286" s="159"/>
      <c r="G286" s="159"/>
      <c r="H286" s="159"/>
      <c r="I286" s="159"/>
      <c r="J286" s="224"/>
      <c r="K286" s="159"/>
      <c r="L286" s="159"/>
      <c r="M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row>
    <row r="287" spans="2:53" ht="17.399999999999999" customHeight="1">
      <c r="B287" s="159"/>
      <c r="C287" s="159"/>
      <c r="D287" s="159"/>
      <c r="E287" s="159"/>
      <c r="F287" s="159"/>
      <c r="G287" s="159"/>
      <c r="H287" s="159"/>
      <c r="I287" s="159"/>
      <c r="J287" s="224"/>
      <c r="K287" s="159"/>
      <c r="L287" s="159"/>
      <c r="M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row>
    <row r="288" spans="2:53" ht="17.399999999999999" customHeight="1">
      <c r="B288" s="159"/>
      <c r="C288" s="159"/>
      <c r="D288" s="159"/>
      <c r="E288" s="159"/>
      <c r="F288" s="159"/>
      <c r="G288" s="159"/>
      <c r="H288" s="159"/>
      <c r="I288" s="159"/>
      <c r="J288" s="224"/>
      <c r="K288" s="159"/>
      <c r="L288" s="159"/>
      <c r="M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row>
    <row r="289" spans="2:53" ht="17.399999999999999" customHeight="1">
      <c r="B289" s="159"/>
      <c r="C289" s="159"/>
      <c r="D289" s="159"/>
      <c r="E289" s="159"/>
      <c r="F289" s="159"/>
      <c r="G289" s="159"/>
      <c r="H289" s="159"/>
      <c r="I289" s="159"/>
      <c r="J289" s="224"/>
      <c r="K289" s="159"/>
      <c r="L289" s="159"/>
      <c r="M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row>
    <row r="290" spans="2:53" ht="17.399999999999999" customHeight="1">
      <c r="B290" s="159"/>
      <c r="C290" s="159"/>
      <c r="D290" s="159"/>
      <c r="E290" s="159"/>
      <c r="F290" s="159"/>
      <c r="G290" s="159"/>
      <c r="H290" s="159"/>
      <c r="I290" s="159"/>
      <c r="J290" s="224"/>
      <c r="K290" s="159"/>
      <c r="L290" s="159"/>
      <c r="M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row>
    <row r="291" spans="2:53" ht="17.399999999999999" customHeight="1">
      <c r="B291" s="159"/>
      <c r="C291" s="159"/>
      <c r="D291" s="159"/>
      <c r="E291" s="159"/>
      <c r="F291" s="159"/>
      <c r="G291" s="159"/>
      <c r="H291" s="159"/>
      <c r="I291" s="159"/>
      <c r="J291" s="224"/>
      <c r="K291" s="159"/>
      <c r="L291" s="159"/>
      <c r="M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row>
    <row r="292" spans="2:53" ht="17.399999999999999" customHeight="1">
      <c r="B292" s="159"/>
      <c r="C292" s="159"/>
      <c r="D292" s="159"/>
      <c r="E292" s="159"/>
      <c r="F292" s="159"/>
      <c r="G292" s="159"/>
      <c r="H292" s="159"/>
      <c r="I292" s="159"/>
      <c r="J292" s="224"/>
      <c r="K292" s="159"/>
      <c r="L292" s="159"/>
      <c r="M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row>
    <row r="293" spans="2:53" ht="17.399999999999999" customHeight="1">
      <c r="B293" s="159"/>
      <c r="C293" s="159"/>
      <c r="D293" s="159"/>
      <c r="E293" s="159"/>
      <c r="F293" s="159"/>
      <c r="G293" s="159"/>
      <c r="H293" s="159"/>
      <c r="I293" s="159"/>
      <c r="J293" s="224"/>
      <c r="K293" s="159"/>
      <c r="L293" s="159"/>
      <c r="M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row>
    <row r="294" spans="2:53" ht="17.399999999999999" customHeight="1">
      <c r="B294" s="159"/>
      <c r="C294" s="159"/>
      <c r="D294" s="159"/>
      <c r="E294" s="159"/>
      <c r="F294" s="159"/>
      <c r="G294" s="159"/>
      <c r="H294" s="159"/>
      <c r="I294" s="159"/>
      <c r="J294" s="224"/>
      <c r="K294" s="159"/>
      <c r="L294" s="159"/>
      <c r="M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row>
    <row r="295" spans="2:53" ht="17.399999999999999" customHeight="1">
      <c r="B295" s="159"/>
      <c r="C295" s="159"/>
      <c r="D295" s="159"/>
      <c r="E295" s="159"/>
      <c r="F295" s="159"/>
      <c r="G295" s="159"/>
      <c r="H295" s="159"/>
      <c r="I295" s="159"/>
      <c r="J295" s="224"/>
      <c r="K295" s="159"/>
      <c r="L295" s="159"/>
      <c r="M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row>
    <row r="296" spans="2:53" ht="17.399999999999999" customHeight="1">
      <c r="B296" s="159"/>
      <c r="C296" s="159"/>
      <c r="D296" s="159"/>
      <c r="E296" s="159"/>
      <c r="F296" s="159"/>
      <c r="G296" s="159"/>
      <c r="H296" s="159"/>
      <c r="I296" s="159"/>
      <c r="J296" s="224"/>
      <c r="K296" s="159"/>
      <c r="L296" s="159"/>
      <c r="M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row>
    <row r="297" spans="2:53" ht="17.399999999999999" customHeight="1">
      <c r="B297" s="159"/>
      <c r="C297" s="159"/>
      <c r="D297" s="159"/>
      <c r="E297" s="159"/>
      <c r="F297" s="159"/>
      <c r="G297" s="159"/>
      <c r="H297" s="159"/>
      <c r="I297" s="159"/>
      <c r="J297" s="224"/>
      <c r="K297" s="159"/>
      <c r="L297" s="159"/>
      <c r="M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row>
    <row r="298" spans="2:53" ht="17.399999999999999" customHeight="1">
      <c r="B298" s="159"/>
      <c r="C298" s="159"/>
      <c r="D298" s="159"/>
      <c r="E298" s="159"/>
      <c r="F298" s="159"/>
      <c r="G298" s="159"/>
      <c r="H298" s="159"/>
      <c r="I298" s="159"/>
      <c r="J298" s="224"/>
      <c r="K298" s="159"/>
      <c r="L298" s="159"/>
      <c r="M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row>
    <row r="299" spans="2:53" ht="17.399999999999999" customHeight="1">
      <c r="B299" s="159"/>
      <c r="C299" s="159"/>
      <c r="D299" s="159"/>
      <c r="E299" s="159"/>
      <c r="F299" s="159"/>
      <c r="G299" s="159"/>
      <c r="H299" s="159"/>
      <c r="I299" s="159"/>
      <c r="J299" s="224"/>
      <c r="K299" s="159"/>
      <c r="L299" s="159"/>
      <c r="M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row>
    <row r="300" spans="2:53" ht="17.399999999999999" customHeight="1">
      <c r="B300" s="159"/>
      <c r="C300" s="159"/>
      <c r="D300" s="159"/>
      <c r="E300" s="159"/>
      <c r="F300" s="159"/>
      <c r="G300" s="159"/>
      <c r="H300" s="159"/>
      <c r="I300" s="159"/>
      <c r="J300" s="224"/>
      <c r="K300" s="159"/>
      <c r="L300" s="159"/>
      <c r="M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row>
    <row r="301" spans="2:53" ht="17.399999999999999" customHeight="1">
      <c r="B301" s="159"/>
      <c r="C301" s="159"/>
      <c r="D301" s="159"/>
      <c r="E301" s="159"/>
      <c r="F301" s="159"/>
      <c r="G301" s="159"/>
      <c r="H301" s="159"/>
      <c r="I301" s="159"/>
      <c r="J301" s="224"/>
      <c r="K301" s="159"/>
      <c r="L301" s="159"/>
      <c r="M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row>
    <row r="302" spans="2:53" ht="17.399999999999999" customHeight="1">
      <c r="B302" s="159"/>
      <c r="C302" s="159"/>
      <c r="D302" s="159"/>
      <c r="E302" s="159"/>
      <c r="F302" s="159"/>
      <c r="G302" s="159"/>
      <c r="H302" s="159"/>
      <c r="I302" s="159"/>
      <c r="J302" s="224"/>
      <c r="K302" s="159"/>
      <c r="L302" s="159"/>
      <c r="M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row>
    <row r="303" spans="2:53" ht="17.399999999999999" customHeight="1">
      <c r="B303" s="159"/>
      <c r="C303" s="159"/>
      <c r="D303" s="159"/>
      <c r="E303" s="159"/>
      <c r="F303" s="159"/>
      <c r="G303" s="159"/>
      <c r="H303" s="159"/>
      <c r="I303" s="159"/>
      <c r="J303" s="224"/>
      <c r="K303" s="159"/>
      <c r="L303" s="159"/>
      <c r="M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row>
    <row r="304" spans="2:53" ht="17.399999999999999" customHeight="1">
      <c r="B304" s="159"/>
      <c r="C304" s="159"/>
      <c r="D304" s="159"/>
      <c r="E304" s="159"/>
      <c r="F304" s="159"/>
      <c r="G304" s="159"/>
      <c r="H304" s="159"/>
      <c r="I304" s="159"/>
      <c r="J304" s="224"/>
      <c r="K304" s="159"/>
      <c r="L304" s="159"/>
      <c r="M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row>
    <row r="305" spans="2:53" ht="17.399999999999999" customHeight="1">
      <c r="B305" s="159"/>
      <c r="C305" s="159"/>
      <c r="D305" s="159"/>
      <c r="E305" s="159"/>
      <c r="F305" s="159"/>
      <c r="G305" s="159"/>
      <c r="H305" s="159"/>
      <c r="I305" s="159"/>
      <c r="J305" s="224"/>
      <c r="K305" s="159"/>
      <c r="L305" s="159"/>
      <c r="M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row>
    <row r="306" spans="2:53" ht="17.399999999999999" customHeight="1">
      <c r="B306" s="159"/>
      <c r="C306" s="159"/>
      <c r="D306" s="159"/>
      <c r="E306" s="159"/>
      <c r="F306" s="159"/>
      <c r="G306" s="159"/>
      <c r="H306" s="159"/>
      <c r="I306" s="159"/>
      <c r="J306" s="224"/>
      <c r="K306" s="159"/>
      <c r="L306" s="159"/>
      <c r="M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row>
    <row r="307" spans="2:53" ht="17.399999999999999" customHeight="1">
      <c r="B307" s="159"/>
      <c r="C307" s="159"/>
      <c r="D307" s="159"/>
      <c r="E307" s="159"/>
      <c r="F307" s="159"/>
      <c r="G307" s="159"/>
      <c r="H307" s="159"/>
      <c r="I307" s="159"/>
      <c r="J307" s="224"/>
      <c r="K307" s="159"/>
      <c r="L307" s="159"/>
      <c r="M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row>
    <row r="308" spans="2:53" ht="17.399999999999999" customHeight="1">
      <c r="B308" s="159"/>
      <c r="C308" s="159"/>
      <c r="D308" s="159"/>
      <c r="E308" s="159"/>
      <c r="F308" s="159"/>
      <c r="G308" s="159"/>
      <c r="H308" s="159"/>
      <c r="I308" s="159"/>
      <c r="J308" s="224"/>
      <c r="K308" s="159"/>
      <c r="L308" s="159"/>
      <c r="M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row>
    <row r="309" spans="2:53" ht="17.399999999999999" customHeight="1">
      <c r="B309" s="159"/>
      <c r="C309" s="159"/>
      <c r="D309" s="159"/>
      <c r="E309" s="159"/>
      <c r="F309" s="159"/>
      <c r="G309" s="159"/>
      <c r="H309" s="159"/>
      <c r="I309" s="159"/>
      <c r="J309" s="224"/>
      <c r="K309" s="159"/>
      <c r="L309" s="159"/>
      <c r="M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row>
    <row r="310" spans="2:53" ht="17.399999999999999" customHeight="1">
      <c r="B310" s="159"/>
      <c r="C310" s="159"/>
      <c r="D310" s="159"/>
      <c r="E310" s="159"/>
      <c r="F310" s="159"/>
      <c r="G310" s="159"/>
      <c r="H310" s="159"/>
      <c r="I310" s="159"/>
      <c r="J310" s="224"/>
      <c r="K310" s="159"/>
      <c r="L310" s="159"/>
      <c r="M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row>
    <row r="311" spans="2:53" ht="17.399999999999999" customHeight="1">
      <c r="B311" s="159"/>
      <c r="C311" s="159"/>
      <c r="D311" s="159"/>
      <c r="E311" s="159"/>
      <c r="F311" s="159"/>
      <c r="G311" s="159"/>
      <c r="H311" s="159"/>
      <c r="I311" s="159"/>
      <c r="J311" s="224"/>
      <c r="K311" s="159"/>
      <c r="L311" s="159"/>
      <c r="M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row>
    <row r="312" spans="2:53" ht="17.399999999999999" customHeight="1">
      <c r="B312" s="159"/>
      <c r="C312" s="159"/>
      <c r="D312" s="159"/>
      <c r="E312" s="159"/>
      <c r="F312" s="159"/>
      <c r="G312" s="159"/>
      <c r="H312" s="159"/>
      <c r="I312" s="159"/>
      <c r="J312" s="224"/>
      <c r="K312" s="159"/>
      <c r="L312" s="159"/>
      <c r="M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row>
    <row r="313" spans="2:53" ht="17.399999999999999" customHeight="1">
      <c r="B313" s="159"/>
      <c r="C313" s="159"/>
      <c r="D313" s="159"/>
      <c r="E313" s="159"/>
      <c r="F313" s="159"/>
      <c r="G313" s="159"/>
      <c r="H313" s="159"/>
      <c r="I313" s="159"/>
      <c r="J313" s="224"/>
      <c r="K313" s="159"/>
      <c r="L313" s="159"/>
      <c r="M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row>
    <row r="314" spans="2:53" ht="17.399999999999999" customHeight="1">
      <c r="B314" s="159"/>
      <c r="C314" s="159"/>
      <c r="D314" s="159"/>
      <c r="E314" s="159"/>
      <c r="F314" s="159"/>
      <c r="G314" s="159"/>
      <c r="H314" s="159"/>
      <c r="I314" s="159"/>
      <c r="J314" s="224"/>
      <c r="K314" s="159"/>
      <c r="L314" s="159"/>
      <c r="M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row>
    <row r="315" spans="2:53" ht="17.399999999999999" customHeight="1">
      <c r="B315" s="159"/>
      <c r="C315" s="159"/>
      <c r="D315" s="159"/>
      <c r="E315" s="159"/>
      <c r="F315" s="159"/>
      <c r="G315" s="159"/>
      <c r="H315" s="159"/>
      <c r="I315" s="159"/>
      <c r="J315" s="224"/>
      <c r="K315" s="159"/>
      <c r="L315" s="159"/>
      <c r="M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row>
    <row r="316" spans="2:53" ht="17.399999999999999" customHeight="1">
      <c r="B316" s="159"/>
      <c r="C316" s="159"/>
      <c r="D316" s="159"/>
      <c r="E316" s="159"/>
      <c r="F316" s="159"/>
      <c r="G316" s="159"/>
      <c r="H316" s="159"/>
      <c r="I316" s="159"/>
      <c r="J316" s="224"/>
      <c r="K316" s="159"/>
      <c r="L316" s="159"/>
      <c r="M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row>
    <row r="317" spans="2:53" ht="17.399999999999999" customHeight="1">
      <c r="B317" s="159"/>
      <c r="C317" s="159"/>
      <c r="D317" s="159"/>
      <c r="E317" s="159"/>
      <c r="F317" s="159"/>
      <c r="G317" s="159"/>
      <c r="H317" s="159"/>
      <c r="I317" s="159"/>
      <c r="J317" s="224"/>
      <c r="K317" s="159"/>
      <c r="L317" s="159"/>
      <c r="M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row>
    <row r="318" spans="2:53" ht="17.399999999999999" customHeight="1">
      <c r="B318" s="159"/>
      <c r="C318" s="159"/>
      <c r="D318" s="159"/>
      <c r="E318" s="159"/>
      <c r="F318" s="159"/>
      <c r="G318" s="159"/>
      <c r="H318" s="159"/>
      <c r="I318" s="159"/>
      <c r="J318" s="224"/>
      <c r="K318" s="159"/>
      <c r="L318" s="159"/>
      <c r="M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row>
    <row r="319" spans="2:53" ht="17.399999999999999" customHeight="1">
      <c r="B319" s="159"/>
      <c r="C319" s="159"/>
      <c r="D319" s="159"/>
      <c r="E319" s="159"/>
      <c r="F319" s="159"/>
      <c r="G319" s="159"/>
      <c r="H319" s="159"/>
      <c r="I319" s="159"/>
      <c r="J319" s="224"/>
      <c r="K319" s="159"/>
      <c r="L319" s="159"/>
      <c r="M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row>
    <row r="320" spans="2:53" ht="17.399999999999999" customHeight="1">
      <c r="B320" s="159"/>
      <c r="C320" s="159"/>
      <c r="D320" s="159"/>
      <c r="E320" s="159"/>
      <c r="F320" s="159"/>
      <c r="G320" s="159"/>
      <c r="H320" s="159"/>
      <c r="I320" s="159"/>
      <c r="J320" s="224"/>
      <c r="K320" s="159"/>
      <c r="L320" s="159"/>
      <c r="M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row>
    <row r="321" spans="2:53" ht="17.399999999999999" customHeight="1">
      <c r="B321" s="159"/>
      <c r="C321" s="159"/>
      <c r="D321" s="159"/>
      <c r="E321" s="159"/>
      <c r="F321" s="159"/>
      <c r="G321" s="159"/>
      <c r="H321" s="159"/>
      <c r="I321" s="159"/>
      <c r="J321" s="224"/>
      <c r="K321" s="159"/>
      <c r="L321" s="159"/>
      <c r="M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row>
    <row r="322" spans="2:53" ht="17.399999999999999" customHeight="1">
      <c r="B322" s="159"/>
      <c r="C322" s="159"/>
      <c r="D322" s="159"/>
      <c r="E322" s="159"/>
      <c r="F322" s="159"/>
      <c r="G322" s="159"/>
      <c r="H322" s="159"/>
      <c r="I322" s="159"/>
      <c r="J322" s="224"/>
      <c r="K322" s="159"/>
      <c r="L322" s="159"/>
      <c r="M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row>
    <row r="323" spans="2:53" ht="17.399999999999999" customHeight="1">
      <c r="B323" s="159"/>
      <c r="C323" s="159"/>
      <c r="D323" s="159"/>
      <c r="E323" s="159"/>
      <c r="F323" s="159"/>
      <c r="G323" s="159"/>
      <c r="H323" s="159"/>
      <c r="I323" s="159"/>
      <c r="J323" s="224"/>
      <c r="K323" s="159"/>
      <c r="L323" s="159"/>
      <c r="M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row>
    <row r="324" spans="2:53" ht="17.399999999999999" customHeight="1">
      <c r="B324" s="159"/>
      <c r="C324" s="159"/>
      <c r="D324" s="159"/>
      <c r="E324" s="159"/>
      <c r="F324" s="159"/>
      <c r="G324" s="159"/>
      <c r="H324" s="159"/>
      <c r="I324" s="159"/>
      <c r="J324" s="224"/>
      <c r="K324" s="159"/>
      <c r="L324" s="159"/>
      <c r="M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row>
    <row r="325" spans="2:53" ht="17.399999999999999" customHeight="1">
      <c r="B325" s="159"/>
      <c r="C325" s="159"/>
      <c r="D325" s="159"/>
      <c r="E325" s="159"/>
      <c r="F325" s="159"/>
      <c r="G325" s="159"/>
      <c r="H325" s="159"/>
      <c r="I325" s="159"/>
      <c r="J325" s="224"/>
      <c r="K325" s="159"/>
      <c r="L325" s="159"/>
      <c r="M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row>
    <row r="326" spans="2:53" ht="17.399999999999999" customHeight="1">
      <c r="B326" s="159"/>
      <c r="C326" s="159"/>
      <c r="D326" s="159"/>
      <c r="E326" s="159"/>
      <c r="F326" s="159"/>
      <c r="G326" s="159"/>
      <c r="H326" s="159"/>
      <c r="I326" s="159"/>
      <c r="J326" s="224"/>
      <c r="K326" s="159"/>
      <c r="L326" s="159"/>
      <c r="M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row>
    <row r="327" spans="2:53" ht="17.399999999999999" customHeight="1">
      <c r="B327" s="159"/>
      <c r="C327" s="159"/>
      <c r="D327" s="159"/>
      <c r="E327" s="159"/>
      <c r="F327" s="159"/>
      <c r="G327" s="159"/>
      <c r="H327" s="159"/>
      <c r="I327" s="159"/>
      <c r="J327" s="224"/>
      <c r="K327" s="159"/>
      <c r="L327" s="159"/>
      <c r="M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row>
    <row r="328" spans="2:53" ht="17.399999999999999" customHeight="1">
      <c r="B328" s="159"/>
      <c r="C328" s="159"/>
      <c r="D328" s="159"/>
      <c r="E328" s="159"/>
      <c r="F328" s="159"/>
      <c r="G328" s="159"/>
      <c r="H328" s="159"/>
      <c r="I328" s="159"/>
      <c r="J328" s="224"/>
      <c r="K328" s="159"/>
      <c r="L328" s="159"/>
      <c r="M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row>
    <row r="329" spans="2:53" ht="17.399999999999999" customHeight="1">
      <c r="B329" s="159"/>
      <c r="C329" s="159"/>
      <c r="D329" s="159"/>
      <c r="E329" s="159"/>
      <c r="F329" s="159"/>
      <c r="G329" s="159"/>
      <c r="H329" s="159"/>
      <c r="I329" s="159"/>
      <c r="J329" s="224"/>
      <c r="K329" s="159"/>
      <c r="L329" s="159"/>
      <c r="M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row>
    <row r="330" spans="2:53" ht="17.399999999999999" customHeight="1">
      <c r="B330" s="159"/>
      <c r="C330" s="159"/>
      <c r="D330" s="159"/>
      <c r="E330" s="159"/>
      <c r="F330" s="159"/>
      <c r="G330" s="159"/>
      <c r="H330" s="159"/>
      <c r="I330" s="159"/>
      <c r="J330" s="224"/>
      <c r="K330" s="159"/>
      <c r="L330" s="159"/>
      <c r="M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row>
    <row r="331" spans="2:53" ht="17.399999999999999" customHeight="1">
      <c r="B331" s="159"/>
      <c r="C331" s="159"/>
      <c r="D331" s="159"/>
      <c r="E331" s="159"/>
      <c r="F331" s="159"/>
      <c r="G331" s="159"/>
      <c r="H331" s="159"/>
      <c r="I331" s="159"/>
      <c r="J331" s="224"/>
      <c r="K331" s="159"/>
      <c r="L331" s="159"/>
      <c r="M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row>
    <row r="332" spans="2:53" ht="17.399999999999999" customHeight="1">
      <c r="B332" s="159"/>
      <c r="C332" s="159"/>
      <c r="D332" s="159"/>
      <c r="E332" s="159"/>
      <c r="F332" s="159"/>
      <c r="G332" s="159"/>
      <c r="H332" s="159"/>
      <c r="I332" s="159"/>
      <c r="J332" s="224"/>
      <c r="K332" s="159"/>
      <c r="L332" s="159"/>
      <c r="M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row>
    <row r="333" spans="2:53" ht="17.399999999999999" customHeight="1">
      <c r="B333" s="159"/>
      <c r="C333" s="159"/>
      <c r="D333" s="159"/>
      <c r="E333" s="159"/>
      <c r="F333" s="159"/>
      <c r="G333" s="159"/>
      <c r="H333" s="159"/>
      <c r="I333" s="159"/>
      <c r="J333" s="224"/>
      <c r="K333" s="159"/>
      <c r="L333" s="159"/>
      <c r="M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row>
    <row r="334" spans="2:53" ht="17.399999999999999" customHeight="1">
      <c r="B334" s="159"/>
      <c r="C334" s="159"/>
      <c r="D334" s="159"/>
      <c r="E334" s="159"/>
      <c r="F334" s="159"/>
      <c r="G334" s="159"/>
      <c r="H334" s="159"/>
      <c r="I334" s="159"/>
      <c r="J334" s="224"/>
      <c r="K334" s="159"/>
      <c r="L334" s="159"/>
      <c r="M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row>
    <row r="335" spans="2:53" ht="17.399999999999999" customHeight="1">
      <c r="B335" s="159"/>
      <c r="C335" s="159"/>
      <c r="D335" s="159"/>
      <c r="E335" s="159"/>
      <c r="F335" s="159"/>
      <c r="G335" s="159"/>
      <c r="H335" s="159"/>
      <c r="I335" s="159"/>
      <c r="J335" s="224"/>
      <c r="K335" s="159"/>
      <c r="L335" s="159"/>
      <c r="M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row>
    <row r="336" spans="2:53" ht="17.399999999999999" customHeight="1">
      <c r="B336" s="159"/>
      <c r="C336" s="159"/>
      <c r="D336" s="159"/>
      <c r="E336" s="159"/>
      <c r="F336" s="159"/>
      <c r="G336" s="159"/>
      <c r="H336" s="159"/>
      <c r="I336" s="159"/>
      <c r="J336" s="224"/>
      <c r="K336" s="159"/>
      <c r="L336" s="159"/>
      <c r="M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row>
    <row r="337" spans="2:53" ht="17.399999999999999" customHeight="1">
      <c r="B337" s="159"/>
      <c r="C337" s="159"/>
      <c r="D337" s="159"/>
      <c r="E337" s="159"/>
      <c r="F337" s="159"/>
      <c r="G337" s="159"/>
      <c r="H337" s="159"/>
      <c r="I337" s="159"/>
      <c r="J337" s="224"/>
      <c r="K337" s="159"/>
      <c r="L337" s="159"/>
      <c r="M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row>
    <row r="338" spans="2:53" ht="17.399999999999999" customHeight="1">
      <c r="B338" s="159"/>
      <c r="C338" s="159"/>
      <c r="D338" s="159"/>
      <c r="E338" s="159"/>
      <c r="F338" s="159"/>
      <c r="G338" s="159"/>
      <c r="H338" s="159"/>
      <c r="I338" s="159"/>
      <c r="J338" s="224"/>
      <c r="K338" s="159"/>
      <c r="L338" s="159"/>
      <c r="M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row>
    <row r="339" spans="2:53" ht="17.399999999999999" customHeight="1">
      <c r="B339" s="159"/>
      <c r="C339" s="159"/>
      <c r="D339" s="159"/>
      <c r="E339" s="159"/>
      <c r="F339" s="159"/>
      <c r="G339" s="159"/>
      <c r="H339" s="159"/>
      <c r="I339" s="159"/>
      <c r="J339" s="224"/>
      <c r="K339" s="159"/>
      <c r="L339" s="159"/>
      <c r="M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row>
    <row r="340" spans="2:53" ht="17.399999999999999" customHeight="1">
      <c r="B340" s="159"/>
      <c r="C340" s="159"/>
      <c r="D340" s="159"/>
      <c r="E340" s="159"/>
      <c r="F340" s="159"/>
      <c r="G340" s="159"/>
      <c r="H340" s="159"/>
      <c r="I340" s="159"/>
      <c r="J340" s="224"/>
      <c r="K340" s="159"/>
      <c r="L340" s="159"/>
      <c r="M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row>
    <row r="341" spans="2:53" ht="17.399999999999999" customHeight="1">
      <c r="B341" s="159"/>
      <c r="C341" s="159"/>
      <c r="D341" s="159"/>
      <c r="E341" s="159"/>
      <c r="F341" s="159"/>
      <c r="G341" s="159"/>
      <c r="H341" s="159"/>
      <c r="I341" s="159"/>
      <c r="J341" s="224"/>
      <c r="K341" s="159"/>
      <c r="L341" s="159"/>
      <c r="M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row>
    <row r="342" spans="2:53" ht="17.399999999999999" customHeight="1">
      <c r="B342" s="159"/>
      <c r="C342" s="159"/>
      <c r="D342" s="159"/>
      <c r="E342" s="159"/>
      <c r="F342" s="159"/>
      <c r="G342" s="159"/>
      <c r="H342" s="159"/>
      <c r="I342" s="159"/>
      <c r="J342" s="224"/>
      <c r="K342" s="159"/>
      <c r="L342" s="159"/>
      <c r="M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row>
    <row r="343" spans="2:53" ht="17.399999999999999" customHeight="1">
      <c r="B343" s="159"/>
      <c r="C343" s="159"/>
      <c r="D343" s="159"/>
      <c r="E343" s="159"/>
      <c r="F343" s="159"/>
      <c r="G343" s="159"/>
      <c r="H343" s="159"/>
      <c r="I343" s="159"/>
      <c r="J343" s="224"/>
      <c r="K343" s="159"/>
      <c r="L343" s="159"/>
      <c r="M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row>
    <row r="344" spans="2:53" ht="17.399999999999999" customHeight="1">
      <c r="B344" s="159"/>
      <c r="C344" s="159"/>
      <c r="D344" s="159"/>
      <c r="E344" s="159"/>
      <c r="F344" s="159"/>
      <c r="G344" s="159"/>
      <c r="H344" s="159"/>
      <c r="I344" s="159"/>
      <c r="J344" s="224"/>
      <c r="K344" s="159"/>
      <c r="L344" s="159"/>
      <c r="M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row>
    <row r="345" spans="2:53" ht="17.399999999999999" customHeight="1">
      <c r="B345" s="159"/>
      <c r="C345" s="159"/>
      <c r="D345" s="159"/>
      <c r="E345" s="159"/>
      <c r="F345" s="159"/>
      <c r="G345" s="159"/>
      <c r="H345" s="159"/>
      <c r="I345" s="159"/>
      <c r="J345" s="224"/>
      <c r="K345" s="159"/>
      <c r="L345" s="159"/>
      <c r="M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c r="AT345" s="159"/>
      <c r="AU345" s="159"/>
      <c r="AV345" s="159"/>
      <c r="AW345" s="159"/>
      <c r="AX345" s="159"/>
      <c r="AY345" s="159"/>
      <c r="AZ345" s="159"/>
      <c r="BA345" s="159"/>
    </row>
    <row r="346" spans="2:53" ht="17.399999999999999" customHeight="1">
      <c r="B346" s="159"/>
      <c r="C346" s="159"/>
      <c r="D346" s="159"/>
      <c r="E346" s="159"/>
      <c r="F346" s="159"/>
      <c r="G346" s="159"/>
      <c r="H346" s="159"/>
      <c r="I346" s="159"/>
      <c r="J346" s="224"/>
      <c r="K346" s="159"/>
      <c r="L346" s="159"/>
      <c r="M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row>
    <row r="347" spans="2:53" ht="17.399999999999999" customHeight="1">
      <c r="B347" s="159"/>
      <c r="C347" s="159"/>
      <c r="D347" s="159"/>
      <c r="E347" s="159"/>
      <c r="F347" s="159"/>
      <c r="G347" s="159"/>
      <c r="H347" s="159"/>
      <c r="I347" s="159"/>
      <c r="J347" s="224"/>
      <c r="K347" s="159"/>
      <c r="L347" s="159"/>
      <c r="M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row>
    <row r="348" spans="2:53" ht="17.399999999999999" customHeight="1">
      <c r="B348" s="159"/>
      <c r="C348" s="159"/>
      <c r="D348" s="159"/>
      <c r="E348" s="159"/>
      <c r="F348" s="159"/>
      <c r="G348" s="159"/>
      <c r="H348" s="159"/>
      <c r="I348" s="159"/>
      <c r="J348" s="224"/>
      <c r="K348" s="159"/>
      <c r="L348" s="159"/>
      <c r="M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59"/>
      <c r="AY348" s="159"/>
      <c r="AZ348" s="159"/>
      <c r="BA348" s="159"/>
    </row>
    <row r="349" spans="2:53" ht="17.399999999999999" customHeight="1">
      <c r="B349" s="159"/>
      <c r="C349" s="159"/>
      <c r="D349" s="159"/>
      <c r="E349" s="159"/>
      <c r="F349" s="159"/>
      <c r="G349" s="159"/>
      <c r="H349" s="159"/>
      <c r="I349" s="159"/>
      <c r="J349" s="224"/>
      <c r="K349" s="159"/>
      <c r="L349" s="159"/>
      <c r="M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c r="AT349" s="159"/>
      <c r="AU349" s="159"/>
      <c r="AV349" s="159"/>
      <c r="AW349" s="159"/>
      <c r="AX349" s="159"/>
      <c r="AY349" s="159"/>
      <c r="AZ349" s="159"/>
      <c r="BA349" s="159"/>
    </row>
    <row r="350" spans="2:53" ht="17.399999999999999" customHeight="1">
      <c r="B350" s="159"/>
      <c r="C350" s="159"/>
      <c r="D350" s="159"/>
      <c r="E350" s="159"/>
      <c r="F350" s="159"/>
      <c r="G350" s="159"/>
      <c r="H350" s="159"/>
      <c r="I350" s="159"/>
      <c r="J350" s="224"/>
      <c r="K350" s="159"/>
      <c r="L350" s="159"/>
      <c r="M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c r="AT350" s="159"/>
      <c r="AU350" s="159"/>
      <c r="AV350" s="159"/>
      <c r="AW350" s="159"/>
      <c r="AX350" s="159"/>
      <c r="AY350" s="159"/>
      <c r="AZ350" s="159"/>
      <c r="BA350" s="159"/>
    </row>
    <row r="351" spans="2:53" ht="17.399999999999999" customHeight="1">
      <c r="B351" s="159"/>
      <c r="C351" s="159"/>
      <c r="D351" s="159"/>
      <c r="E351" s="159"/>
      <c r="F351" s="159"/>
      <c r="G351" s="159"/>
      <c r="H351" s="159"/>
      <c r="I351" s="159"/>
      <c r="J351" s="224"/>
      <c r="K351" s="159"/>
      <c r="L351" s="159"/>
      <c r="M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c r="AT351" s="159"/>
      <c r="AU351" s="159"/>
      <c r="AV351" s="159"/>
      <c r="AW351" s="159"/>
      <c r="AX351" s="159"/>
      <c r="AY351" s="159"/>
      <c r="AZ351" s="159"/>
      <c r="BA351" s="159"/>
    </row>
    <row r="352" spans="2:53" ht="17.399999999999999" customHeight="1">
      <c r="B352" s="159"/>
      <c r="C352" s="159"/>
      <c r="D352" s="159"/>
      <c r="E352" s="159"/>
      <c r="F352" s="159"/>
      <c r="G352" s="159"/>
      <c r="H352" s="159"/>
      <c r="I352" s="159"/>
      <c r="J352" s="224"/>
      <c r="K352" s="159"/>
      <c r="L352" s="159"/>
      <c r="M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row>
    <row r="353" spans="2:53" ht="17.399999999999999" customHeight="1">
      <c r="B353" s="159"/>
      <c r="C353" s="159"/>
      <c r="D353" s="159"/>
      <c r="E353" s="159"/>
      <c r="F353" s="159"/>
      <c r="G353" s="159"/>
      <c r="H353" s="159"/>
      <c r="I353" s="159"/>
      <c r="J353" s="224"/>
      <c r="K353" s="159"/>
      <c r="L353" s="159"/>
      <c r="M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row>
    <row r="354" spans="2:53" ht="17.399999999999999" customHeight="1">
      <c r="B354" s="159"/>
      <c r="C354" s="159"/>
      <c r="D354" s="159"/>
      <c r="E354" s="159"/>
      <c r="F354" s="159"/>
      <c r="G354" s="159"/>
      <c r="H354" s="159"/>
      <c r="I354" s="159"/>
      <c r="J354" s="224"/>
      <c r="K354" s="159"/>
      <c r="L354" s="159"/>
      <c r="M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row>
    <row r="355" spans="2:53" ht="17.399999999999999" customHeight="1">
      <c r="B355" s="159"/>
      <c r="C355" s="159"/>
      <c r="D355" s="159"/>
      <c r="E355" s="159"/>
      <c r="F355" s="159"/>
      <c r="G355" s="159"/>
      <c r="H355" s="159"/>
      <c r="I355" s="159"/>
      <c r="J355" s="224"/>
      <c r="K355" s="159"/>
      <c r="L355" s="159"/>
      <c r="M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row>
    <row r="356" spans="2:53" ht="17.399999999999999" customHeight="1">
      <c r="B356" s="159"/>
      <c r="C356" s="159"/>
      <c r="D356" s="159"/>
      <c r="E356" s="159"/>
      <c r="F356" s="159"/>
      <c r="G356" s="159"/>
      <c r="H356" s="159"/>
      <c r="I356" s="159"/>
      <c r="J356" s="224"/>
      <c r="K356" s="159"/>
      <c r="L356" s="159"/>
      <c r="M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row>
    <row r="357" spans="2:53" ht="17.399999999999999" customHeight="1">
      <c r="B357" s="159"/>
      <c r="C357" s="159"/>
      <c r="D357" s="159"/>
      <c r="E357" s="159"/>
      <c r="F357" s="159"/>
      <c r="G357" s="159"/>
      <c r="H357" s="159"/>
      <c r="I357" s="159"/>
      <c r="J357" s="224"/>
      <c r="K357" s="159"/>
      <c r="L357" s="159"/>
      <c r="M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row>
    <row r="358" spans="2:53" ht="17.399999999999999" customHeight="1">
      <c r="B358" s="159"/>
      <c r="C358" s="159"/>
      <c r="D358" s="159"/>
      <c r="E358" s="159"/>
      <c r="F358" s="159"/>
      <c r="G358" s="159"/>
      <c r="H358" s="159"/>
      <c r="I358" s="159"/>
      <c r="J358" s="224"/>
      <c r="K358" s="159"/>
      <c r="L358" s="159"/>
      <c r="M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row>
    <row r="359" spans="2:53" ht="17.399999999999999" customHeight="1">
      <c r="B359" s="159"/>
      <c r="C359" s="159"/>
      <c r="D359" s="159"/>
      <c r="E359" s="159"/>
      <c r="F359" s="159"/>
      <c r="G359" s="159"/>
      <c r="H359" s="159"/>
      <c r="I359" s="159"/>
      <c r="J359" s="224"/>
      <c r="K359" s="159"/>
      <c r="L359" s="159"/>
      <c r="M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row>
    <row r="360" spans="2:53" ht="17.399999999999999" customHeight="1">
      <c r="B360" s="159"/>
      <c r="C360" s="159"/>
      <c r="D360" s="159"/>
      <c r="E360" s="159"/>
      <c r="F360" s="159"/>
      <c r="G360" s="159"/>
      <c r="H360" s="159"/>
      <c r="I360" s="159"/>
      <c r="J360" s="224"/>
      <c r="K360" s="159"/>
      <c r="L360" s="159"/>
      <c r="M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row>
    <row r="361" spans="2:53" ht="17.399999999999999" customHeight="1">
      <c r="B361" s="159"/>
      <c r="C361" s="159"/>
      <c r="D361" s="159"/>
      <c r="E361" s="159"/>
      <c r="F361" s="159"/>
      <c r="G361" s="159"/>
      <c r="H361" s="159"/>
      <c r="I361" s="159"/>
      <c r="J361" s="224"/>
      <c r="K361" s="159"/>
      <c r="L361" s="159"/>
      <c r="M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row>
    <row r="362" spans="2:53" ht="17.399999999999999" customHeight="1">
      <c r="B362" s="159"/>
      <c r="C362" s="159"/>
      <c r="D362" s="159"/>
      <c r="E362" s="159"/>
      <c r="F362" s="159"/>
      <c r="G362" s="159"/>
      <c r="H362" s="159"/>
      <c r="I362" s="159"/>
      <c r="J362" s="224"/>
      <c r="K362" s="159"/>
      <c r="L362" s="159"/>
      <c r="M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row>
    <row r="363" spans="2:53" ht="17.399999999999999" customHeight="1">
      <c r="B363" s="159"/>
      <c r="C363" s="159"/>
      <c r="D363" s="159"/>
      <c r="E363" s="159"/>
      <c r="F363" s="159"/>
      <c r="G363" s="159"/>
      <c r="H363" s="159"/>
      <c r="I363" s="159"/>
      <c r="J363" s="224"/>
      <c r="K363" s="159"/>
      <c r="L363" s="159"/>
      <c r="M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c r="AT363" s="159"/>
      <c r="AU363" s="159"/>
      <c r="AV363" s="159"/>
      <c r="AW363" s="159"/>
      <c r="AX363" s="159"/>
      <c r="AY363" s="159"/>
      <c r="AZ363" s="159"/>
      <c r="BA363" s="159"/>
    </row>
    <row r="364" spans="2:53" ht="17.399999999999999" customHeight="1">
      <c r="B364" s="159"/>
      <c r="C364" s="159"/>
      <c r="D364" s="159"/>
      <c r="E364" s="159"/>
      <c r="F364" s="159"/>
      <c r="G364" s="159"/>
      <c r="H364" s="159"/>
      <c r="I364" s="159"/>
      <c r="J364" s="224"/>
      <c r="K364" s="159"/>
      <c r="L364" s="159"/>
      <c r="M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c r="AT364" s="159"/>
      <c r="AU364" s="159"/>
      <c r="AV364" s="159"/>
      <c r="AW364" s="159"/>
      <c r="AX364" s="159"/>
      <c r="AY364" s="159"/>
      <c r="AZ364" s="159"/>
      <c r="BA364" s="159"/>
    </row>
    <row r="365" spans="2:53" ht="17.399999999999999" customHeight="1">
      <c r="B365" s="159"/>
      <c r="C365" s="159"/>
      <c r="D365" s="159"/>
      <c r="E365" s="159"/>
      <c r="F365" s="159"/>
      <c r="G365" s="159"/>
      <c r="H365" s="159"/>
      <c r="I365" s="159"/>
      <c r="J365" s="224"/>
      <c r="K365" s="159"/>
      <c r="L365" s="159"/>
      <c r="M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c r="AT365" s="159"/>
      <c r="AU365" s="159"/>
      <c r="AV365" s="159"/>
      <c r="AW365" s="159"/>
      <c r="AX365" s="159"/>
      <c r="AY365" s="159"/>
      <c r="AZ365" s="159"/>
      <c r="BA365" s="159"/>
    </row>
    <row r="366" spans="2:53" ht="17.399999999999999" customHeight="1">
      <c r="B366" s="159"/>
      <c r="C366" s="159"/>
      <c r="D366" s="159"/>
      <c r="E366" s="159"/>
      <c r="F366" s="159"/>
      <c r="G366" s="159"/>
      <c r="H366" s="159"/>
      <c r="I366" s="159"/>
      <c r="J366" s="224"/>
      <c r="K366" s="159"/>
      <c r="L366" s="159"/>
      <c r="M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row>
    <row r="367" spans="2:53" ht="17.399999999999999" customHeight="1">
      <c r="B367" s="159"/>
      <c r="C367" s="159"/>
      <c r="D367" s="159"/>
      <c r="E367" s="159"/>
      <c r="F367" s="159"/>
      <c r="G367" s="159"/>
      <c r="H367" s="159"/>
      <c r="I367" s="159"/>
      <c r="J367" s="224"/>
      <c r="K367" s="159"/>
      <c r="L367" s="159"/>
      <c r="M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c r="AT367" s="159"/>
      <c r="AU367" s="159"/>
      <c r="AV367" s="159"/>
      <c r="AW367" s="159"/>
      <c r="AX367" s="159"/>
      <c r="AY367" s="159"/>
      <c r="AZ367" s="159"/>
      <c r="BA367" s="159"/>
    </row>
    <row r="368" spans="2:53" ht="17.399999999999999" customHeight="1">
      <c r="B368" s="159"/>
      <c r="C368" s="159"/>
      <c r="D368" s="159"/>
      <c r="E368" s="159"/>
      <c r="F368" s="159"/>
      <c r="G368" s="159"/>
      <c r="H368" s="159"/>
      <c r="I368" s="159"/>
      <c r="J368" s="224"/>
      <c r="K368" s="159"/>
      <c r="L368" s="159"/>
      <c r="M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59"/>
      <c r="AY368" s="159"/>
      <c r="AZ368" s="159"/>
      <c r="BA368" s="159"/>
    </row>
    <row r="369" spans="2:53" ht="17.399999999999999" customHeight="1">
      <c r="B369" s="159"/>
      <c r="C369" s="159"/>
      <c r="D369" s="159"/>
      <c r="E369" s="159"/>
      <c r="F369" s="159"/>
      <c r="G369" s="159"/>
      <c r="H369" s="159"/>
      <c r="I369" s="159"/>
      <c r="J369" s="224"/>
      <c r="K369" s="159"/>
      <c r="L369" s="159"/>
      <c r="M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c r="AT369" s="159"/>
      <c r="AU369" s="159"/>
      <c r="AV369" s="159"/>
      <c r="AW369" s="159"/>
      <c r="AX369" s="159"/>
      <c r="AY369" s="159"/>
      <c r="AZ369" s="159"/>
      <c r="BA369" s="159"/>
    </row>
    <row r="370" spans="2:53" ht="17.399999999999999" customHeight="1">
      <c r="B370" s="159"/>
      <c r="C370" s="159"/>
      <c r="D370" s="159"/>
      <c r="E370" s="159"/>
      <c r="F370" s="159"/>
      <c r="G370" s="159"/>
      <c r="H370" s="159"/>
      <c r="I370" s="159"/>
      <c r="J370" s="224"/>
      <c r="K370" s="159"/>
      <c r="L370" s="159"/>
      <c r="M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c r="AT370" s="159"/>
      <c r="AU370" s="159"/>
      <c r="AV370" s="159"/>
      <c r="AW370" s="159"/>
      <c r="AX370" s="159"/>
      <c r="AY370" s="159"/>
      <c r="AZ370" s="159"/>
      <c r="BA370" s="159"/>
    </row>
    <row r="371" spans="2:53" ht="17.399999999999999" customHeight="1">
      <c r="B371" s="159"/>
      <c r="C371" s="159"/>
      <c r="D371" s="159"/>
      <c r="E371" s="159"/>
      <c r="F371" s="159"/>
      <c r="G371" s="159"/>
      <c r="H371" s="159"/>
      <c r="I371" s="159"/>
      <c r="J371" s="224"/>
      <c r="K371" s="159"/>
      <c r="L371" s="159"/>
      <c r="M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c r="AT371" s="159"/>
      <c r="AU371" s="159"/>
      <c r="AV371" s="159"/>
      <c r="AW371" s="159"/>
      <c r="AX371" s="159"/>
      <c r="AY371" s="159"/>
      <c r="AZ371" s="159"/>
      <c r="BA371" s="159"/>
    </row>
    <row r="372" spans="2:53" ht="17.399999999999999" customHeight="1">
      <c r="B372" s="159"/>
      <c r="C372" s="159"/>
      <c r="D372" s="159"/>
      <c r="E372" s="159"/>
      <c r="F372" s="159"/>
      <c r="G372" s="159"/>
      <c r="H372" s="159"/>
      <c r="I372" s="159"/>
      <c r="J372" s="224"/>
      <c r="K372" s="159"/>
      <c r="L372" s="159"/>
      <c r="M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c r="AT372" s="159"/>
      <c r="AU372" s="159"/>
      <c r="AV372" s="159"/>
      <c r="AW372" s="159"/>
      <c r="AX372" s="159"/>
      <c r="AY372" s="159"/>
      <c r="AZ372" s="159"/>
      <c r="BA372" s="159"/>
    </row>
    <row r="373" spans="2:53" ht="17.399999999999999" customHeight="1">
      <c r="B373" s="159"/>
      <c r="C373" s="159"/>
      <c r="D373" s="159"/>
      <c r="E373" s="159"/>
      <c r="F373" s="159"/>
      <c r="G373" s="159"/>
      <c r="H373" s="159"/>
      <c r="I373" s="159"/>
      <c r="J373" s="224"/>
      <c r="K373" s="159"/>
      <c r="L373" s="159"/>
      <c r="M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c r="AT373" s="159"/>
      <c r="AU373" s="159"/>
      <c r="AV373" s="159"/>
      <c r="AW373" s="159"/>
      <c r="AX373" s="159"/>
      <c r="AY373" s="159"/>
      <c r="AZ373" s="159"/>
      <c r="BA373" s="159"/>
    </row>
    <row r="374" spans="2:53" ht="17.399999999999999" customHeight="1">
      <c r="B374" s="159"/>
      <c r="C374" s="159"/>
      <c r="D374" s="159"/>
      <c r="E374" s="159"/>
      <c r="F374" s="159"/>
      <c r="G374" s="159"/>
      <c r="H374" s="159"/>
      <c r="I374" s="159"/>
      <c r="J374" s="224"/>
      <c r="K374" s="159"/>
      <c r="L374" s="159"/>
      <c r="M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row>
    <row r="375" spans="2:53" ht="17.399999999999999" customHeight="1">
      <c r="B375" s="159"/>
      <c r="C375" s="159"/>
      <c r="D375" s="159"/>
      <c r="E375" s="159"/>
      <c r="F375" s="159"/>
      <c r="G375" s="159"/>
      <c r="H375" s="159"/>
      <c r="I375" s="159"/>
      <c r="J375" s="224"/>
      <c r="K375" s="159"/>
      <c r="L375" s="159"/>
      <c r="M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c r="AT375" s="159"/>
      <c r="AU375" s="159"/>
      <c r="AV375" s="159"/>
      <c r="AW375" s="159"/>
      <c r="AX375" s="159"/>
      <c r="AY375" s="159"/>
      <c r="AZ375" s="159"/>
      <c r="BA375" s="159"/>
    </row>
    <row r="376" spans="2:53" ht="17.399999999999999" customHeight="1">
      <c r="B376" s="159"/>
      <c r="C376" s="159"/>
      <c r="D376" s="159"/>
      <c r="E376" s="159"/>
      <c r="F376" s="159"/>
      <c r="G376" s="159"/>
      <c r="H376" s="159"/>
      <c r="I376" s="159"/>
      <c r="J376" s="224"/>
      <c r="K376" s="159"/>
      <c r="L376" s="159"/>
      <c r="M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c r="AT376" s="159"/>
      <c r="AU376" s="159"/>
      <c r="AV376" s="159"/>
      <c r="AW376" s="159"/>
      <c r="AX376" s="159"/>
      <c r="AY376" s="159"/>
      <c r="AZ376" s="159"/>
      <c r="BA376" s="159"/>
    </row>
    <row r="377" spans="2:53" ht="17.399999999999999" customHeight="1">
      <c r="B377" s="159"/>
      <c r="C377" s="159"/>
      <c r="D377" s="159"/>
      <c r="E377" s="159"/>
      <c r="F377" s="159"/>
      <c r="G377" s="159"/>
      <c r="H377" s="159"/>
      <c r="I377" s="159"/>
      <c r="J377" s="224"/>
      <c r="K377" s="159"/>
      <c r="L377" s="159"/>
      <c r="M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c r="AT377" s="159"/>
      <c r="AU377" s="159"/>
      <c r="AV377" s="159"/>
      <c r="AW377" s="159"/>
      <c r="AX377" s="159"/>
      <c r="AY377" s="159"/>
      <c r="AZ377" s="159"/>
      <c r="BA377" s="159"/>
    </row>
    <row r="378" spans="2:53" ht="17.399999999999999" customHeight="1">
      <c r="B378" s="159"/>
      <c r="C378" s="159"/>
      <c r="D378" s="159"/>
      <c r="E378" s="159"/>
      <c r="F378" s="159"/>
      <c r="G378" s="159"/>
      <c r="H378" s="159"/>
      <c r="I378" s="159"/>
      <c r="J378" s="224"/>
      <c r="K378" s="159"/>
      <c r="L378" s="159"/>
      <c r="M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c r="AT378" s="159"/>
      <c r="AU378" s="159"/>
      <c r="AV378" s="159"/>
      <c r="AW378" s="159"/>
      <c r="AX378" s="159"/>
      <c r="AY378" s="159"/>
      <c r="AZ378" s="159"/>
      <c r="BA378" s="159"/>
    </row>
    <row r="379" spans="2:53" ht="17.399999999999999" customHeight="1">
      <c r="B379" s="159"/>
      <c r="C379" s="159"/>
      <c r="D379" s="159"/>
      <c r="E379" s="159"/>
      <c r="F379" s="159"/>
      <c r="G379" s="159"/>
      <c r="H379" s="159"/>
      <c r="I379" s="159"/>
      <c r="J379" s="224"/>
      <c r="K379" s="159"/>
      <c r="L379" s="159"/>
      <c r="M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c r="AT379" s="159"/>
      <c r="AU379" s="159"/>
      <c r="AV379" s="159"/>
      <c r="AW379" s="159"/>
      <c r="AX379" s="159"/>
      <c r="AY379" s="159"/>
      <c r="AZ379" s="159"/>
      <c r="BA379" s="159"/>
    </row>
    <row r="380" spans="2:53" ht="17.399999999999999" customHeight="1">
      <c r="B380" s="159"/>
      <c r="C380" s="159"/>
      <c r="D380" s="159"/>
      <c r="E380" s="159"/>
      <c r="F380" s="159"/>
      <c r="G380" s="159"/>
      <c r="H380" s="159"/>
      <c r="I380" s="159"/>
      <c r="J380" s="224"/>
      <c r="K380" s="159"/>
      <c r="L380" s="159"/>
      <c r="M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c r="AT380" s="159"/>
      <c r="AU380" s="159"/>
      <c r="AV380" s="159"/>
      <c r="AW380" s="159"/>
      <c r="AX380" s="159"/>
      <c r="AY380" s="159"/>
      <c r="AZ380" s="159"/>
      <c r="BA380" s="159"/>
    </row>
    <row r="381" spans="2:53" ht="17.399999999999999" customHeight="1">
      <c r="B381" s="159"/>
      <c r="C381" s="159"/>
      <c r="D381" s="159"/>
      <c r="E381" s="159"/>
      <c r="F381" s="159"/>
      <c r="G381" s="159"/>
      <c r="H381" s="159"/>
      <c r="I381" s="159"/>
      <c r="J381" s="224"/>
      <c r="K381" s="159"/>
      <c r="L381" s="159"/>
      <c r="M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row>
    <row r="382" spans="2:53" ht="17.399999999999999" customHeight="1">
      <c r="B382" s="159"/>
      <c r="C382" s="159"/>
      <c r="D382" s="159"/>
      <c r="E382" s="159"/>
      <c r="F382" s="159"/>
      <c r="G382" s="159"/>
      <c r="H382" s="159"/>
      <c r="I382" s="159"/>
      <c r="J382" s="224"/>
      <c r="K382" s="159"/>
      <c r="L382" s="159"/>
      <c r="M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c r="AT382" s="159"/>
      <c r="AU382" s="159"/>
      <c r="AV382" s="159"/>
      <c r="AW382" s="159"/>
      <c r="AX382" s="159"/>
      <c r="AY382" s="159"/>
      <c r="AZ382" s="159"/>
      <c r="BA382" s="159"/>
    </row>
    <row r="383" spans="2:53" ht="17.399999999999999" customHeight="1">
      <c r="B383" s="159"/>
      <c r="C383" s="159"/>
      <c r="D383" s="159"/>
      <c r="E383" s="159"/>
      <c r="F383" s="159"/>
      <c r="G383" s="159"/>
      <c r="H383" s="159"/>
      <c r="I383" s="159"/>
      <c r="J383" s="224"/>
      <c r="K383" s="159"/>
      <c r="L383" s="159"/>
      <c r="M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row>
    <row r="384" spans="2:53" ht="17.399999999999999" customHeight="1">
      <c r="B384" s="159"/>
      <c r="C384" s="159"/>
      <c r="D384" s="159"/>
      <c r="E384" s="159"/>
      <c r="F384" s="159"/>
      <c r="G384" s="159"/>
      <c r="H384" s="159"/>
      <c r="I384" s="159"/>
      <c r="J384" s="224"/>
      <c r="K384" s="159"/>
      <c r="L384" s="159"/>
      <c r="M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c r="AT384" s="159"/>
      <c r="AU384" s="159"/>
      <c r="AV384" s="159"/>
      <c r="AW384" s="159"/>
      <c r="AX384" s="159"/>
      <c r="AY384" s="159"/>
      <c r="AZ384" s="159"/>
      <c r="BA384" s="159"/>
    </row>
    <row r="385" spans="2:53" ht="17.399999999999999" customHeight="1">
      <c r="B385" s="159"/>
      <c r="C385" s="159"/>
      <c r="D385" s="159"/>
      <c r="E385" s="159"/>
      <c r="F385" s="159"/>
      <c r="G385" s="159"/>
      <c r="H385" s="159"/>
      <c r="I385" s="159"/>
      <c r="J385" s="224"/>
      <c r="K385" s="159"/>
      <c r="L385" s="159"/>
      <c r="M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c r="AT385" s="159"/>
      <c r="AU385" s="159"/>
      <c r="AV385" s="159"/>
      <c r="AW385" s="159"/>
      <c r="AX385" s="159"/>
      <c r="AY385" s="159"/>
      <c r="AZ385" s="159"/>
      <c r="BA385" s="159"/>
    </row>
    <row r="386" spans="2:53" ht="17.399999999999999" customHeight="1">
      <c r="B386" s="159"/>
      <c r="C386" s="159"/>
      <c r="D386" s="159"/>
      <c r="E386" s="159"/>
      <c r="F386" s="159"/>
      <c r="G386" s="159"/>
      <c r="H386" s="159"/>
      <c r="I386" s="159"/>
      <c r="J386" s="224"/>
      <c r="K386" s="159"/>
      <c r="L386" s="159"/>
      <c r="M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c r="AT386" s="159"/>
      <c r="AU386" s="159"/>
      <c r="AV386" s="159"/>
      <c r="AW386" s="159"/>
      <c r="AX386" s="159"/>
      <c r="AY386" s="159"/>
      <c r="AZ386" s="159"/>
      <c r="BA386" s="159"/>
    </row>
    <row r="387" spans="2:53" ht="17.399999999999999" customHeight="1">
      <c r="B387" s="159"/>
      <c r="C387" s="159"/>
      <c r="D387" s="159"/>
      <c r="E387" s="159"/>
      <c r="F387" s="159"/>
      <c r="G387" s="159"/>
      <c r="H387" s="159"/>
      <c r="I387" s="159"/>
      <c r="J387" s="224"/>
      <c r="K387" s="159"/>
      <c r="L387" s="159"/>
      <c r="M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row>
    <row r="388" spans="2:53" ht="17.399999999999999" customHeight="1">
      <c r="B388" s="159"/>
      <c r="C388" s="159"/>
      <c r="D388" s="159"/>
      <c r="E388" s="159"/>
      <c r="F388" s="159"/>
      <c r="G388" s="159"/>
      <c r="H388" s="159"/>
      <c r="I388" s="159"/>
      <c r="J388" s="224"/>
      <c r="K388" s="159"/>
      <c r="L388" s="159"/>
      <c r="M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159"/>
      <c r="AU388" s="159"/>
      <c r="AV388" s="159"/>
      <c r="AW388" s="159"/>
      <c r="AX388" s="159"/>
      <c r="AY388" s="159"/>
      <c r="AZ388" s="159"/>
      <c r="BA388" s="159"/>
    </row>
    <row r="389" spans="2:53" ht="17.399999999999999" customHeight="1">
      <c r="B389" s="159"/>
      <c r="C389" s="159"/>
      <c r="D389" s="159"/>
      <c r="E389" s="159"/>
      <c r="F389" s="159"/>
      <c r="G389" s="159"/>
      <c r="H389" s="159"/>
      <c r="I389" s="159"/>
      <c r="J389" s="224"/>
      <c r="K389" s="159"/>
      <c r="L389" s="159"/>
      <c r="M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row>
    <row r="390" spans="2:53" ht="17.399999999999999" customHeight="1">
      <c r="B390" s="159"/>
      <c r="C390" s="159"/>
      <c r="D390" s="159"/>
      <c r="E390" s="159"/>
      <c r="F390" s="159"/>
      <c r="G390" s="159"/>
      <c r="H390" s="159"/>
      <c r="I390" s="159"/>
      <c r="J390" s="224"/>
      <c r="K390" s="159"/>
      <c r="L390" s="159"/>
      <c r="M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row>
    <row r="391" spans="2:53" ht="17.399999999999999" customHeight="1">
      <c r="B391" s="159"/>
      <c r="C391" s="159"/>
      <c r="D391" s="159"/>
      <c r="E391" s="159"/>
      <c r="F391" s="159"/>
      <c r="G391" s="159"/>
      <c r="H391" s="159"/>
      <c r="I391" s="159"/>
      <c r="J391" s="224"/>
      <c r="K391" s="159"/>
      <c r="L391" s="159"/>
      <c r="M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row>
    <row r="392" spans="2:53" ht="17.399999999999999" customHeight="1">
      <c r="B392" s="159"/>
      <c r="C392" s="159"/>
      <c r="D392" s="159"/>
      <c r="E392" s="159"/>
      <c r="F392" s="159"/>
      <c r="G392" s="159"/>
      <c r="H392" s="159"/>
      <c r="I392" s="159"/>
      <c r="J392" s="224"/>
      <c r="K392" s="159"/>
      <c r="L392" s="159"/>
      <c r="M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row>
    <row r="393" spans="2:53" ht="17.399999999999999" customHeight="1">
      <c r="B393" s="159"/>
      <c r="C393" s="159"/>
      <c r="D393" s="159"/>
      <c r="E393" s="159"/>
      <c r="F393" s="159"/>
      <c r="G393" s="159"/>
      <c r="H393" s="159"/>
      <c r="I393" s="159"/>
      <c r="J393" s="224"/>
      <c r="K393" s="159"/>
      <c r="L393" s="159"/>
      <c r="M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row>
    <row r="394" spans="2:53" ht="17.399999999999999" customHeight="1">
      <c r="B394" s="159"/>
      <c r="C394" s="159"/>
      <c r="D394" s="159"/>
      <c r="E394" s="159"/>
      <c r="F394" s="159"/>
      <c r="G394" s="159"/>
      <c r="H394" s="159"/>
      <c r="I394" s="159"/>
      <c r="J394" s="224"/>
      <c r="K394" s="159"/>
      <c r="L394" s="159"/>
      <c r="M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row>
    <row r="395" spans="2:53" ht="17.399999999999999" customHeight="1">
      <c r="B395" s="159"/>
      <c r="C395" s="159"/>
      <c r="D395" s="159"/>
      <c r="E395" s="159"/>
      <c r="F395" s="159"/>
      <c r="G395" s="159"/>
      <c r="H395" s="159"/>
      <c r="I395" s="159"/>
      <c r="J395" s="224"/>
      <c r="K395" s="159"/>
      <c r="L395" s="159"/>
      <c r="M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c r="AT395" s="159"/>
      <c r="AU395" s="159"/>
      <c r="AV395" s="159"/>
      <c r="AW395" s="159"/>
      <c r="AX395" s="159"/>
      <c r="AY395" s="159"/>
      <c r="AZ395" s="159"/>
      <c r="BA395" s="159"/>
    </row>
    <row r="396" spans="2:53" ht="17.399999999999999" customHeight="1">
      <c r="B396" s="159"/>
      <c r="C396" s="159"/>
      <c r="D396" s="159"/>
      <c r="E396" s="159"/>
      <c r="F396" s="159"/>
      <c r="G396" s="159"/>
      <c r="H396" s="159"/>
      <c r="I396" s="159"/>
      <c r="J396" s="224"/>
      <c r="K396" s="159"/>
      <c r="L396" s="159"/>
      <c r="M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c r="AT396" s="159"/>
      <c r="AU396" s="159"/>
      <c r="AV396" s="159"/>
      <c r="AW396" s="159"/>
      <c r="AX396" s="159"/>
      <c r="AY396" s="159"/>
      <c r="AZ396" s="159"/>
      <c r="BA396" s="159"/>
    </row>
    <row r="397" spans="2:53" ht="17.399999999999999" customHeight="1">
      <c r="B397" s="159"/>
      <c r="C397" s="159"/>
      <c r="D397" s="159"/>
      <c r="E397" s="159"/>
      <c r="F397" s="159"/>
      <c r="G397" s="159"/>
      <c r="H397" s="159"/>
      <c r="I397" s="159"/>
      <c r="J397" s="224"/>
      <c r="K397" s="159"/>
      <c r="L397" s="159"/>
      <c r="M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row>
    <row r="398" spans="2:53" ht="17.399999999999999" customHeight="1">
      <c r="B398" s="159"/>
      <c r="C398" s="159"/>
      <c r="D398" s="159"/>
      <c r="E398" s="159"/>
      <c r="F398" s="159"/>
      <c r="G398" s="159"/>
      <c r="H398" s="159"/>
      <c r="I398" s="159"/>
      <c r="J398" s="224"/>
      <c r="K398" s="159"/>
      <c r="L398" s="159"/>
      <c r="M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c r="AT398" s="159"/>
      <c r="AU398" s="159"/>
      <c r="AV398" s="159"/>
      <c r="AW398" s="159"/>
      <c r="AX398" s="159"/>
      <c r="AY398" s="159"/>
      <c r="AZ398" s="159"/>
      <c r="BA398" s="159"/>
    </row>
    <row r="399" spans="2:53" ht="17.399999999999999" customHeight="1">
      <c r="B399" s="159"/>
      <c r="C399" s="159"/>
      <c r="D399" s="159"/>
      <c r="E399" s="159"/>
      <c r="F399" s="159"/>
      <c r="G399" s="159"/>
      <c r="H399" s="159"/>
      <c r="I399" s="159"/>
      <c r="J399" s="224"/>
      <c r="K399" s="159"/>
      <c r="L399" s="159"/>
      <c r="M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c r="AT399" s="159"/>
      <c r="AU399" s="159"/>
      <c r="AV399" s="159"/>
      <c r="AW399" s="159"/>
      <c r="AX399" s="159"/>
      <c r="AY399" s="159"/>
      <c r="AZ399" s="159"/>
      <c r="BA399" s="159"/>
    </row>
    <row r="400" spans="2:53" ht="17.399999999999999" customHeight="1">
      <c r="B400" s="159"/>
      <c r="C400" s="159"/>
      <c r="D400" s="159"/>
      <c r="E400" s="159"/>
      <c r="F400" s="159"/>
      <c r="G400" s="159"/>
      <c r="H400" s="159"/>
      <c r="I400" s="159"/>
      <c r="J400" s="224"/>
      <c r="K400" s="159"/>
      <c r="L400" s="159"/>
      <c r="M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c r="AT400" s="159"/>
      <c r="AU400" s="159"/>
      <c r="AV400" s="159"/>
      <c r="AW400" s="159"/>
      <c r="AX400" s="159"/>
      <c r="AY400" s="159"/>
      <c r="AZ400" s="159"/>
      <c r="BA400" s="159"/>
    </row>
    <row r="401" spans="2:53" ht="17.399999999999999" customHeight="1">
      <c r="B401" s="159"/>
      <c r="C401" s="159"/>
      <c r="D401" s="159"/>
      <c r="E401" s="159"/>
      <c r="F401" s="159"/>
      <c r="G401" s="159"/>
      <c r="H401" s="159"/>
      <c r="I401" s="159"/>
      <c r="J401" s="224"/>
      <c r="K401" s="159"/>
      <c r="L401" s="159"/>
      <c r="M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c r="AT401" s="159"/>
      <c r="AU401" s="159"/>
      <c r="AV401" s="159"/>
      <c r="AW401" s="159"/>
      <c r="AX401" s="159"/>
      <c r="AY401" s="159"/>
      <c r="AZ401" s="159"/>
      <c r="BA401" s="159"/>
    </row>
    <row r="402" spans="2:53" ht="17.399999999999999" customHeight="1">
      <c r="B402" s="159"/>
      <c r="C402" s="159"/>
      <c r="D402" s="159"/>
      <c r="E402" s="159"/>
      <c r="F402" s="159"/>
      <c r="G402" s="159"/>
      <c r="H402" s="159"/>
      <c r="I402" s="159"/>
      <c r="J402" s="224"/>
      <c r="K402" s="159"/>
      <c r="L402" s="159"/>
      <c r="M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c r="AT402" s="159"/>
      <c r="AU402" s="159"/>
      <c r="AV402" s="159"/>
      <c r="AW402" s="159"/>
      <c r="AX402" s="159"/>
      <c r="AY402" s="159"/>
      <c r="AZ402" s="159"/>
      <c r="BA402" s="159"/>
    </row>
    <row r="403" spans="2:53" ht="17.399999999999999" customHeight="1">
      <c r="B403" s="159"/>
      <c r="C403" s="159"/>
      <c r="D403" s="159"/>
      <c r="E403" s="159"/>
      <c r="F403" s="159"/>
      <c r="G403" s="159"/>
      <c r="H403" s="159"/>
      <c r="I403" s="159"/>
      <c r="J403" s="224"/>
      <c r="K403" s="159"/>
      <c r="L403" s="159"/>
      <c r="M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c r="AT403" s="159"/>
      <c r="AU403" s="159"/>
      <c r="AV403" s="159"/>
      <c r="AW403" s="159"/>
      <c r="AX403" s="159"/>
      <c r="AY403" s="159"/>
      <c r="AZ403" s="159"/>
      <c r="BA403" s="159"/>
    </row>
    <row r="404" spans="2:53" ht="17.399999999999999" customHeight="1">
      <c r="B404" s="159"/>
      <c r="C404" s="159"/>
      <c r="D404" s="159"/>
      <c r="E404" s="159"/>
      <c r="F404" s="159"/>
      <c r="G404" s="159"/>
      <c r="H404" s="159"/>
      <c r="I404" s="159"/>
      <c r="J404" s="224"/>
      <c r="K404" s="159"/>
      <c r="L404" s="159"/>
      <c r="M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c r="AT404" s="159"/>
      <c r="AU404" s="159"/>
      <c r="AV404" s="159"/>
      <c r="AW404" s="159"/>
      <c r="AX404" s="159"/>
      <c r="AY404" s="159"/>
      <c r="AZ404" s="159"/>
      <c r="BA404" s="159"/>
    </row>
    <row r="405" spans="2:53" ht="17.399999999999999" customHeight="1">
      <c r="B405" s="159"/>
      <c r="C405" s="159"/>
      <c r="D405" s="159"/>
      <c r="E405" s="159"/>
      <c r="F405" s="159"/>
      <c r="G405" s="159"/>
      <c r="H405" s="159"/>
      <c r="I405" s="159"/>
      <c r="J405" s="224"/>
      <c r="K405" s="159"/>
      <c r="L405" s="159"/>
      <c r="M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c r="AT405" s="159"/>
      <c r="AU405" s="159"/>
      <c r="AV405" s="159"/>
      <c r="AW405" s="159"/>
      <c r="AX405" s="159"/>
      <c r="AY405" s="159"/>
      <c r="AZ405" s="159"/>
      <c r="BA405" s="159"/>
    </row>
    <row r="406" spans="2:53" ht="17.399999999999999" customHeight="1">
      <c r="B406" s="159"/>
      <c r="C406" s="159"/>
      <c r="D406" s="159"/>
      <c r="E406" s="159"/>
      <c r="F406" s="159"/>
      <c r="G406" s="159"/>
      <c r="H406" s="159"/>
      <c r="I406" s="159"/>
      <c r="J406" s="224"/>
      <c r="K406" s="159"/>
      <c r="L406" s="159"/>
      <c r="M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row>
    <row r="407" spans="2:53" ht="17.399999999999999" customHeight="1">
      <c r="B407" s="159"/>
      <c r="C407" s="159"/>
      <c r="D407" s="159"/>
      <c r="E407" s="159"/>
      <c r="F407" s="159"/>
      <c r="G407" s="159"/>
      <c r="H407" s="159"/>
      <c r="I407" s="159"/>
      <c r="J407" s="224"/>
      <c r="K407" s="159"/>
      <c r="L407" s="159"/>
      <c r="M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c r="AT407" s="159"/>
      <c r="AU407" s="159"/>
      <c r="AV407" s="159"/>
      <c r="AW407" s="159"/>
      <c r="AX407" s="159"/>
      <c r="AY407" s="159"/>
      <c r="AZ407" s="159"/>
      <c r="BA407" s="159"/>
    </row>
    <row r="408" spans="2:53" ht="17.399999999999999" customHeight="1">
      <c r="B408" s="159"/>
      <c r="C408" s="159"/>
      <c r="D408" s="159"/>
      <c r="E408" s="159"/>
      <c r="F408" s="159"/>
      <c r="G408" s="159"/>
      <c r="H408" s="159"/>
      <c r="I408" s="159"/>
      <c r="J408" s="224"/>
      <c r="K408" s="159"/>
      <c r="L408" s="159"/>
      <c r="M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c r="AT408" s="159"/>
      <c r="AU408" s="159"/>
      <c r="AV408" s="159"/>
      <c r="AW408" s="159"/>
      <c r="AX408" s="159"/>
      <c r="AY408" s="159"/>
      <c r="AZ408" s="159"/>
      <c r="BA408" s="159"/>
    </row>
    <row r="409" spans="2:53" ht="17.399999999999999" customHeight="1">
      <c r="B409" s="159"/>
      <c r="C409" s="159"/>
      <c r="D409" s="159"/>
      <c r="E409" s="159"/>
      <c r="F409" s="159"/>
      <c r="G409" s="159"/>
      <c r="H409" s="159"/>
      <c r="I409" s="159"/>
      <c r="J409" s="224"/>
      <c r="K409" s="159"/>
      <c r="L409" s="159"/>
      <c r="M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c r="AT409" s="159"/>
      <c r="AU409" s="159"/>
      <c r="AV409" s="159"/>
      <c r="AW409" s="159"/>
      <c r="AX409" s="159"/>
      <c r="AY409" s="159"/>
      <c r="AZ409" s="159"/>
      <c r="BA409" s="159"/>
    </row>
    <row r="410" spans="2:53" ht="17.399999999999999" customHeight="1">
      <c r="B410" s="159"/>
      <c r="C410" s="159"/>
      <c r="D410" s="159"/>
      <c r="E410" s="159"/>
      <c r="F410" s="159"/>
      <c r="G410" s="159"/>
      <c r="H410" s="159"/>
      <c r="I410" s="159"/>
      <c r="J410" s="224"/>
      <c r="K410" s="159"/>
      <c r="L410" s="159"/>
      <c r="M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c r="AT410" s="159"/>
      <c r="AU410" s="159"/>
      <c r="AV410" s="159"/>
      <c r="AW410" s="159"/>
      <c r="AX410" s="159"/>
      <c r="AY410" s="159"/>
      <c r="AZ410" s="159"/>
      <c r="BA410" s="159"/>
    </row>
    <row r="411" spans="2:53" ht="17.399999999999999" customHeight="1">
      <c r="B411" s="159"/>
      <c r="C411" s="159"/>
      <c r="D411" s="159"/>
      <c r="E411" s="159"/>
      <c r="F411" s="159"/>
      <c r="G411" s="159"/>
      <c r="H411" s="159"/>
      <c r="I411" s="159"/>
      <c r="J411" s="224"/>
      <c r="K411" s="159"/>
      <c r="L411" s="159"/>
      <c r="M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c r="AT411" s="159"/>
      <c r="AU411" s="159"/>
      <c r="AV411" s="159"/>
      <c r="AW411" s="159"/>
      <c r="AX411" s="159"/>
      <c r="AY411" s="159"/>
      <c r="AZ411" s="159"/>
      <c r="BA411" s="159"/>
    </row>
    <row r="412" spans="2:53" ht="17.399999999999999" customHeight="1">
      <c r="B412" s="159"/>
      <c r="C412" s="159"/>
      <c r="D412" s="159"/>
      <c r="E412" s="159"/>
      <c r="F412" s="159"/>
      <c r="G412" s="159"/>
      <c r="H412" s="159"/>
      <c r="I412" s="159"/>
      <c r="J412" s="224"/>
      <c r="K412" s="159"/>
      <c r="L412" s="159"/>
      <c r="M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c r="AT412" s="159"/>
      <c r="AU412" s="159"/>
      <c r="AV412" s="159"/>
      <c r="AW412" s="159"/>
      <c r="AX412" s="159"/>
      <c r="AY412" s="159"/>
      <c r="AZ412" s="159"/>
      <c r="BA412" s="159"/>
    </row>
    <row r="413" spans="2:53" ht="17.399999999999999" customHeight="1">
      <c r="B413" s="159"/>
      <c r="C413" s="159"/>
      <c r="D413" s="159"/>
      <c r="E413" s="159"/>
      <c r="F413" s="159"/>
      <c r="G413" s="159"/>
      <c r="H413" s="159"/>
      <c r="I413" s="159"/>
      <c r="J413" s="224"/>
      <c r="K413" s="159"/>
      <c r="L413" s="159"/>
      <c r="M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c r="AT413" s="159"/>
      <c r="AU413" s="159"/>
      <c r="AV413" s="159"/>
      <c r="AW413" s="159"/>
      <c r="AX413" s="159"/>
      <c r="AY413" s="159"/>
      <c r="AZ413" s="159"/>
      <c r="BA413" s="159"/>
    </row>
    <row r="414" spans="2:53" ht="17.399999999999999" customHeight="1">
      <c r="B414" s="159"/>
      <c r="C414" s="159"/>
      <c r="D414" s="159"/>
      <c r="E414" s="159"/>
      <c r="F414" s="159"/>
      <c r="G414" s="159"/>
      <c r="H414" s="159"/>
      <c r="I414" s="159"/>
      <c r="J414" s="224"/>
      <c r="K414" s="159"/>
      <c r="L414" s="159"/>
      <c r="M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c r="AT414" s="159"/>
      <c r="AU414" s="159"/>
      <c r="AV414" s="159"/>
      <c r="AW414" s="159"/>
      <c r="AX414" s="159"/>
      <c r="AY414" s="159"/>
      <c r="AZ414" s="159"/>
      <c r="BA414" s="159"/>
    </row>
    <row r="415" spans="2:53" ht="17.399999999999999" customHeight="1">
      <c r="B415" s="159"/>
      <c r="C415" s="159"/>
      <c r="D415" s="159"/>
      <c r="E415" s="159"/>
      <c r="F415" s="159"/>
      <c r="G415" s="159"/>
      <c r="H415" s="159"/>
      <c r="I415" s="159"/>
      <c r="J415" s="224"/>
      <c r="K415" s="159"/>
      <c r="L415" s="159"/>
      <c r="M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c r="AT415" s="159"/>
      <c r="AU415" s="159"/>
      <c r="AV415" s="159"/>
      <c r="AW415" s="159"/>
      <c r="AX415" s="159"/>
      <c r="AY415" s="159"/>
      <c r="AZ415" s="159"/>
      <c r="BA415" s="159"/>
    </row>
    <row r="416" spans="2:53" ht="17.399999999999999" customHeight="1">
      <c r="B416" s="159"/>
      <c r="C416" s="159"/>
      <c r="D416" s="159"/>
      <c r="E416" s="159"/>
      <c r="F416" s="159"/>
      <c r="G416" s="159"/>
      <c r="H416" s="159"/>
      <c r="I416" s="159"/>
      <c r="J416" s="224"/>
      <c r="K416" s="159"/>
      <c r="L416" s="159"/>
      <c r="M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c r="AT416" s="159"/>
      <c r="AU416" s="159"/>
      <c r="AV416" s="159"/>
      <c r="AW416" s="159"/>
      <c r="AX416" s="159"/>
      <c r="AY416" s="159"/>
      <c r="AZ416" s="159"/>
      <c r="BA416" s="159"/>
    </row>
    <row r="417" spans="2:53" ht="17.399999999999999" customHeight="1">
      <c r="B417" s="159"/>
      <c r="C417" s="159"/>
      <c r="D417" s="159"/>
      <c r="E417" s="159"/>
      <c r="F417" s="159"/>
      <c r="G417" s="159"/>
      <c r="H417" s="159"/>
      <c r="I417" s="159"/>
      <c r="J417" s="224"/>
      <c r="K417" s="159"/>
      <c r="L417" s="159"/>
      <c r="M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c r="AT417" s="159"/>
      <c r="AU417" s="159"/>
      <c r="AV417" s="159"/>
      <c r="AW417" s="159"/>
      <c r="AX417" s="159"/>
      <c r="AY417" s="159"/>
      <c r="AZ417" s="159"/>
      <c r="BA417" s="159"/>
    </row>
    <row r="418" spans="2:53" ht="17.399999999999999" customHeight="1">
      <c r="B418" s="159"/>
      <c r="C418" s="159"/>
      <c r="D418" s="159"/>
      <c r="E418" s="159"/>
      <c r="F418" s="159"/>
      <c r="G418" s="159"/>
      <c r="H418" s="159"/>
      <c r="I418" s="159"/>
      <c r="J418" s="224"/>
      <c r="K418" s="159"/>
      <c r="L418" s="159"/>
      <c r="M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c r="AT418" s="159"/>
      <c r="AU418" s="159"/>
      <c r="AV418" s="159"/>
      <c r="AW418" s="159"/>
      <c r="AX418" s="159"/>
      <c r="AY418" s="159"/>
      <c r="AZ418" s="159"/>
      <c r="BA418" s="159"/>
    </row>
    <row r="419" spans="2:53" ht="17.399999999999999" customHeight="1">
      <c r="B419" s="159"/>
      <c r="C419" s="159"/>
      <c r="D419" s="159"/>
      <c r="E419" s="159"/>
      <c r="F419" s="159"/>
      <c r="G419" s="159"/>
      <c r="H419" s="159"/>
      <c r="I419" s="159"/>
      <c r="J419" s="224"/>
      <c r="K419" s="159"/>
      <c r="L419" s="159"/>
      <c r="M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c r="AT419" s="159"/>
      <c r="AU419" s="159"/>
      <c r="AV419" s="159"/>
      <c r="AW419" s="159"/>
      <c r="AX419" s="159"/>
      <c r="AY419" s="159"/>
      <c r="AZ419" s="159"/>
      <c r="BA419" s="159"/>
    </row>
    <row r="420" spans="2:53" ht="17.399999999999999" customHeight="1">
      <c r="B420" s="159"/>
      <c r="C420" s="159"/>
      <c r="D420" s="159"/>
      <c r="E420" s="159"/>
      <c r="F420" s="159"/>
      <c r="G420" s="159"/>
      <c r="H420" s="159"/>
      <c r="I420" s="159"/>
      <c r="J420" s="224"/>
      <c r="K420" s="159"/>
      <c r="L420" s="159"/>
      <c r="M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c r="AT420" s="159"/>
      <c r="AU420" s="159"/>
      <c r="AV420" s="159"/>
      <c r="AW420" s="159"/>
      <c r="AX420" s="159"/>
      <c r="AY420" s="159"/>
      <c r="AZ420" s="159"/>
      <c r="BA420" s="159"/>
    </row>
    <row r="421" spans="2:53" ht="17.399999999999999" customHeight="1">
      <c r="B421" s="159"/>
      <c r="C421" s="159"/>
      <c r="D421" s="159"/>
      <c r="E421" s="159"/>
      <c r="F421" s="159"/>
      <c r="G421" s="159"/>
      <c r="H421" s="159"/>
      <c r="I421" s="159"/>
      <c r="J421" s="224"/>
      <c r="K421" s="159"/>
      <c r="L421" s="159"/>
      <c r="M421" s="159"/>
      <c r="O421" s="159"/>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c r="AT421" s="159"/>
      <c r="AU421" s="159"/>
      <c r="AV421" s="159"/>
      <c r="AW421" s="159"/>
      <c r="AX421" s="159"/>
      <c r="AY421" s="159"/>
      <c r="AZ421" s="159"/>
      <c r="BA421" s="159"/>
    </row>
    <row r="422" spans="2:53" ht="17.399999999999999" customHeight="1">
      <c r="B422" s="159"/>
      <c r="C422" s="159"/>
      <c r="D422" s="159"/>
      <c r="E422" s="159"/>
      <c r="F422" s="159"/>
      <c r="G422" s="159"/>
      <c r="H422" s="159"/>
      <c r="I422" s="159"/>
      <c r="J422" s="224"/>
      <c r="K422" s="159"/>
      <c r="L422" s="159"/>
      <c r="M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c r="AT422" s="159"/>
      <c r="AU422" s="159"/>
      <c r="AV422" s="159"/>
      <c r="AW422" s="159"/>
      <c r="AX422" s="159"/>
      <c r="AY422" s="159"/>
      <c r="AZ422" s="159"/>
      <c r="BA422" s="159"/>
    </row>
    <row r="423" spans="2:53" ht="17.399999999999999" customHeight="1">
      <c r="B423" s="159"/>
      <c r="C423" s="159"/>
      <c r="D423" s="159"/>
      <c r="E423" s="159"/>
      <c r="F423" s="159"/>
      <c r="G423" s="159"/>
      <c r="H423" s="159"/>
      <c r="I423" s="159"/>
      <c r="J423" s="224"/>
      <c r="K423" s="159"/>
      <c r="L423" s="159"/>
      <c r="M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c r="AT423" s="159"/>
      <c r="AU423" s="159"/>
      <c r="AV423" s="159"/>
      <c r="AW423" s="159"/>
      <c r="AX423" s="159"/>
      <c r="AY423" s="159"/>
      <c r="AZ423" s="159"/>
      <c r="BA423" s="159"/>
    </row>
    <row r="424" spans="2:53" ht="17.399999999999999" customHeight="1">
      <c r="B424" s="159"/>
      <c r="C424" s="159"/>
      <c r="D424" s="159"/>
      <c r="E424" s="159"/>
      <c r="F424" s="159"/>
      <c r="G424" s="159"/>
      <c r="H424" s="159"/>
      <c r="I424" s="159"/>
      <c r="J424" s="224"/>
      <c r="K424" s="159"/>
      <c r="L424" s="159"/>
      <c r="M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c r="AT424" s="159"/>
      <c r="AU424" s="159"/>
      <c r="AV424" s="159"/>
      <c r="AW424" s="159"/>
      <c r="AX424" s="159"/>
      <c r="AY424" s="159"/>
      <c r="AZ424" s="159"/>
      <c r="BA424" s="159"/>
    </row>
    <row r="425" spans="2:53" ht="17.399999999999999" customHeight="1">
      <c r="B425" s="159"/>
      <c r="C425" s="159"/>
      <c r="D425" s="159"/>
      <c r="E425" s="159"/>
      <c r="F425" s="159"/>
      <c r="G425" s="159"/>
      <c r="H425" s="159"/>
      <c r="I425" s="159"/>
      <c r="J425" s="224"/>
      <c r="K425" s="159"/>
      <c r="L425" s="159"/>
      <c r="M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c r="AT425" s="159"/>
      <c r="AU425" s="159"/>
      <c r="AV425" s="159"/>
      <c r="AW425" s="159"/>
      <c r="AX425" s="159"/>
      <c r="AY425" s="159"/>
      <c r="AZ425" s="159"/>
      <c r="BA425" s="159"/>
    </row>
    <row r="426" spans="2:53" ht="17.399999999999999" customHeight="1">
      <c r="B426" s="159"/>
      <c r="C426" s="159"/>
      <c r="D426" s="159"/>
      <c r="E426" s="159"/>
      <c r="F426" s="159"/>
      <c r="G426" s="159"/>
      <c r="H426" s="159"/>
      <c r="I426" s="159"/>
      <c r="J426" s="224"/>
      <c r="K426" s="159"/>
      <c r="L426" s="159"/>
      <c r="M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c r="AT426" s="159"/>
      <c r="AU426" s="159"/>
      <c r="AV426" s="159"/>
      <c r="AW426" s="159"/>
      <c r="AX426" s="159"/>
      <c r="AY426" s="159"/>
      <c r="AZ426" s="159"/>
      <c r="BA426" s="159"/>
    </row>
    <row r="427" spans="2:53" ht="17.399999999999999" customHeight="1">
      <c r="B427" s="159"/>
      <c r="C427" s="159"/>
      <c r="D427" s="159"/>
      <c r="E427" s="159"/>
      <c r="F427" s="159"/>
      <c r="G427" s="159"/>
      <c r="H427" s="159"/>
      <c r="I427" s="159"/>
      <c r="J427" s="224"/>
      <c r="K427" s="159"/>
      <c r="L427" s="159"/>
      <c r="M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c r="AT427" s="159"/>
      <c r="AU427" s="159"/>
      <c r="AV427" s="159"/>
      <c r="AW427" s="159"/>
      <c r="AX427" s="159"/>
      <c r="AY427" s="159"/>
      <c r="AZ427" s="159"/>
      <c r="BA427" s="159"/>
    </row>
    <row r="428" spans="2:53" ht="17.399999999999999" customHeight="1">
      <c r="B428" s="159"/>
      <c r="C428" s="159"/>
      <c r="D428" s="159"/>
      <c r="E428" s="159"/>
      <c r="F428" s="159"/>
      <c r="G428" s="159"/>
      <c r="H428" s="159"/>
      <c r="I428" s="159"/>
      <c r="J428" s="224"/>
      <c r="K428" s="159"/>
      <c r="L428" s="159"/>
      <c r="M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c r="AT428" s="159"/>
      <c r="AU428" s="159"/>
      <c r="AV428" s="159"/>
      <c r="AW428" s="159"/>
      <c r="AX428" s="159"/>
      <c r="AY428" s="159"/>
      <c r="AZ428" s="159"/>
      <c r="BA428" s="159"/>
    </row>
    <row r="429" spans="2:53" ht="17.399999999999999" customHeight="1">
      <c r="B429" s="159"/>
      <c r="C429" s="159"/>
      <c r="D429" s="159"/>
      <c r="E429" s="159"/>
      <c r="F429" s="159"/>
      <c r="G429" s="159"/>
      <c r="H429" s="159"/>
      <c r="I429" s="159"/>
      <c r="J429" s="224"/>
      <c r="K429" s="159"/>
      <c r="L429" s="159"/>
      <c r="M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c r="AT429" s="159"/>
      <c r="AU429" s="159"/>
      <c r="AV429" s="159"/>
      <c r="AW429" s="159"/>
      <c r="AX429" s="159"/>
      <c r="AY429" s="159"/>
      <c r="AZ429" s="159"/>
      <c r="BA429" s="159"/>
    </row>
    <row r="430" spans="2:53" ht="17.399999999999999" customHeight="1">
      <c r="B430" s="159"/>
      <c r="C430" s="159"/>
      <c r="D430" s="159"/>
      <c r="E430" s="159"/>
      <c r="F430" s="159"/>
      <c r="G430" s="159"/>
      <c r="H430" s="159"/>
      <c r="I430" s="159"/>
      <c r="J430" s="224"/>
      <c r="K430" s="159"/>
      <c r="L430" s="159"/>
      <c r="M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c r="AT430" s="159"/>
      <c r="AU430" s="159"/>
      <c r="AV430" s="159"/>
      <c r="AW430" s="159"/>
      <c r="AX430" s="159"/>
      <c r="AY430" s="159"/>
      <c r="AZ430" s="159"/>
      <c r="BA430" s="159"/>
    </row>
    <row r="431" spans="2:53" ht="17.399999999999999" customHeight="1">
      <c r="B431" s="159"/>
      <c r="C431" s="159"/>
      <c r="D431" s="159"/>
      <c r="E431" s="159"/>
      <c r="F431" s="159"/>
      <c r="G431" s="159"/>
      <c r="H431" s="159"/>
      <c r="I431" s="159"/>
      <c r="J431" s="224"/>
      <c r="K431" s="159"/>
      <c r="L431" s="159"/>
      <c r="M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c r="AT431" s="159"/>
      <c r="AU431" s="159"/>
      <c r="AV431" s="159"/>
      <c r="AW431" s="159"/>
      <c r="AX431" s="159"/>
      <c r="AY431" s="159"/>
      <c r="AZ431" s="159"/>
      <c r="BA431" s="159"/>
    </row>
    <row r="432" spans="2:53" ht="17.399999999999999" customHeight="1">
      <c r="B432" s="159"/>
      <c r="C432" s="159"/>
      <c r="D432" s="159"/>
      <c r="E432" s="159"/>
      <c r="F432" s="159"/>
      <c r="G432" s="159"/>
      <c r="H432" s="159"/>
      <c r="I432" s="159"/>
      <c r="J432" s="224"/>
      <c r="K432" s="159"/>
      <c r="L432" s="159"/>
      <c r="M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c r="AT432" s="159"/>
      <c r="AU432" s="159"/>
      <c r="AV432" s="159"/>
      <c r="AW432" s="159"/>
      <c r="AX432" s="159"/>
      <c r="AY432" s="159"/>
      <c r="AZ432" s="159"/>
      <c r="BA432" s="159"/>
    </row>
    <row r="433" spans="2:53" ht="17.399999999999999" customHeight="1">
      <c r="B433" s="159"/>
      <c r="C433" s="159"/>
      <c r="D433" s="159"/>
      <c r="E433" s="159"/>
      <c r="F433" s="159"/>
      <c r="G433" s="159"/>
      <c r="H433" s="159"/>
      <c r="I433" s="159"/>
      <c r="J433" s="224"/>
      <c r="K433" s="159"/>
      <c r="L433" s="159"/>
      <c r="M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c r="AT433" s="159"/>
      <c r="AU433" s="159"/>
      <c r="AV433" s="159"/>
      <c r="AW433" s="159"/>
      <c r="AX433" s="159"/>
      <c r="AY433" s="159"/>
      <c r="AZ433" s="159"/>
      <c r="BA433" s="159"/>
    </row>
    <row r="434" spans="2:53" ht="17.399999999999999" customHeight="1">
      <c r="B434" s="159"/>
      <c r="C434" s="159"/>
      <c r="D434" s="159"/>
      <c r="E434" s="159"/>
      <c r="F434" s="159"/>
      <c r="G434" s="159"/>
      <c r="H434" s="159"/>
      <c r="I434" s="159"/>
      <c r="J434" s="224"/>
      <c r="K434" s="159"/>
      <c r="L434" s="159"/>
      <c r="M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c r="AT434" s="159"/>
      <c r="AU434" s="159"/>
      <c r="AV434" s="159"/>
      <c r="AW434" s="159"/>
      <c r="AX434" s="159"/>
      <c r="AY434" s="159"/>
      <c r="AZ434" s="159"/>
      <c r="BA434" s="159"/>
    </row>
    <row r="435" spans="2:53" ht="17.399999999999999" customHeight="1">
      <c r="B435" s="159"/>
      <c r="C435" s="159"/>
      <c r="D435" s="159"/>
      <c r="E435" s="159"/>
      <c r="F435" s="159"/>
      <c r="G435" s="159"/>
      <c r="H435" s="159"/>
      <c r="I435" s="159"/>
      <c r="J435" s="224"/>
      <c r="K435" s="159"/>
      <c r="L435" s="159"/>
      <c r="M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c r="AT435" s="159"/>
      <c r="AU435" s="159"/>
      <c r="AV435" s="159"/>
      <c r="AW435" s="159"/>
      <c r="AX435" s="159"/>
      <c r="AY435" s="159"/>
      <c r="AZ435" s="159"/>
      <c r="BA435" s="159"/>
    </row>
    <row r="436" spans="2:53" ht="17.399999999999999" customHeight="1">
      <c r="B436" s="159"/>
      <c r="C436" s="159"/>
      <c r="D436" s="159"/>
      <c r="E436" s="159"/>
      <c r="F436" s="159"/>
      <c r="G436" s="159"/>
      <c r="H436" s="159"/>
      <c r="I436" s="159"/>
      <c r="J436" s="224"/>
      <c r="K436" s="159"/>
      <c r="L436" s="159"/>
      <c r="M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c r="AT436" s="159"/>
      <c r="AU436" s="159"/>
      <c r="AV436" s="159"/>
      <c r="AW436" s="159"/>
      <c r="AX436" s="159"/>
      <c r="AY436" s="159"/>
      <c r="AZ436" s="159"/>
      <c r="BA436" s="159"/>
    </row>
    <row r="437" spans="2:53" ht="17.399999999999999" customHeight="1">
      <c r="B437" s="159"/>
      <c r="C437" s="159"/>
      <c r="D437" s="159"/>
      <c r="E437" s="159"/>
      <c r="F437" s="159"/>
      <c r="G437" s="159"/>
      <c r="H437" s="159"/>
      <c r="I437" s="159"/>
      <c r="J437" s="224"/>
      <c r="K437" s="159"/>
      <c r="L437" s="159"/>
      <c r="M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c r="AT437" s="159"/>
      <c r="AU437" s="159"/>
      <c r="AV437" s="159"/>
      <c r="AW437" s="159"/>
      <c r="AX437" s="159"/>
      <c r="AY437" s="159"/>
      <c r="AZ437" s="159"/>
      <c r="BA437" s="159"/>
    </row>
    <row r="438" spans="2:53" ht="17.399999999999999" customHeight="1">
      <c r="B438" s="159"/>
      <c r="C438" s="159"/>
      <c r="D438" s="159"/>
      <c r="E438" s="159"/>
      <c r="F438" s="159"/>
      <c r="G438" s="159"/>
      <c r="H438" s="159"/>
      <c r="I438" s="159"/>
      <c r="J438" s="224"/>
      <c r="K438" s="159"/>
      <c r="L438" s="159"/>
      <c r="M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c r="AT438" s="159"/>
      <c r="AU438" s="159"/>
      <c r="AV438" s="159"/>
      <c r="AW438" s="159"/>
      <c r="AX438" s="159"/>
      <c r="AY438" s="159"/>
      <c r="AZ438" s="159"/>
      <c r="BA438" s="159"/>
    </row>
    <row r="439" spans="2:53" ht="17.399999999999999" customHeight="1">
      <c r="B439" s="159"/>
      <c r="C439" s="159"/>
      <c r="D439" s="159"/>
      <c r="E439" s="159"/>
      <c r="F439" s="159"/>
      <c r="G439" s="159"/>
      <c r="H439" s="159"/>
      <c r="I439" s="159"/>
      <c r="J439" s="224"/>
      <c r="K439" s="159"/>
      <c r="L439" s="159"/>
      <c r="M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c r="AT439" s="159"/>
      <c r="AU439" s="159"/>
      <c r="AV439" s="159"/>
      <c r="AW439" s="159"/>
      <c r="AX439" s="159"/>
      <c r="AY439" s="159"/>
      <c r="AZ439" s="159"/>
      <c r="BA439" s="159"/>
    </row>
    <row r="440" spans="2:53" ht="17.399999999999999" customHeight="1">
      <c r="B440" s="159"/>
      <c r="C440" s="159"/>
      <c r="D440" s="159"/>
      <c r="E440" s="159"/>
      <c r="F440" s="159"/>
      <c r="G440" s="159"/>
      <c r="H440" s="159"/>
      <c r="I440" s="159"/>
      <c r="J440" s="224"/>
      <c r="K440" s="159"/>
      <c r="L440" s="159"/>
      <c r="M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c r="AT440" s="159"/>
      <c r="AU440" s="159"/>
      <c r="AV440" s="159"/>
      <c r="AW440" s="159"/>
      <c r="AX440" s="159"/>
      <c r="AY440" s="159"/>
      <c r="AZ440" s="159"/>
      <c r="BA440" s="159"/>
    </row>
    <row r="441" spans="2:53" ht="17.399999999999999" customHeight="1">
      <c r="B441" s="159"/>
      <c r="C441" s="159"/>
      <c r="D441" s="159"/>
      <c r="E441" s="159"/>
      <c r="F441" s="159"/>
      <c r="G441" s="159"/>
      <c r="H441" s="159"/>
      <c r="I441" s="159"/>
      <c r="J441" s="224"/>
      <c r="K441" s="159"/>
      <c r="L441" s="159"/>
      <c r="M441" s="159"/>
      <c r="O441" s="159"/>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c r="AT441" s="159"/>
      <c r="AU441" s="159"/>
      <c r="AV441" s="159"/>
      <c r="AW441" s="159"/>
      <c r="AX441" s="159"/>
      <c r="AY441" s="159"/>
      <c r="AZ441" s="159"/>
      <c r="BA441" s="159"/>
    </row>
    <row r="442" spans="2:53" ht="17.399999999999999" customHeight="1">
      <c r="B442" s="159"/>
      <c r="C442" s="159"/>
      <c r="D442" s="159"/>
      <c r="E442" s="159"/>
      <c r="F442" s="159"/>
      <c r="G442" s="159"/>
      <c r="H442" s="159"/>
      <c r="I442" s="159"/>
      <c r="J442" s="224"/>
      <c r="K442" s="159"/>
      <c r="L442" s="159"/>
      <c r="M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c r="AT442" s="159"/>
      <c r="AU442" s="159"/>
      <c r="AV442" s="159"/>
      <c r="AW442" s="159"/>
      <c r="AX442" s="159"/>
      <c r="AY442" s="159"/>
      <c r="AZ442" s="159"/>
      <c r="BA442" s="159"/>
    </row>
    <row r="443" spans="2:53" ht="17.399999999999999" customHeight="1">
      <c r="B443" s="159"/>
      <c r="C443" s="159"/>
      <c r="D443" s="159"/>
      <c r="E443" s="159"/>
      <c r="F443" s="159"/>
      <c r="G443" s="159"/>
      <c r="H443" s="159"/>
      <c r="I443" s="159"/>
      <c r="J443" s="224"/>
      <c r="K443" s="159"/>
      <c r="L443" s="159"/>
      <c r="M443" s="159"/>
      <c r="O443" s="159"/>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c r="AT443" s="159"/>
      <c r="AU443" s="159"/>
      <c r="AV443" s="159"/>
      <c r="AW443" s="159"/>
      <c r="AX443" s="159"/>
      <c r="AY443" s="159"/>
      <c r="AZ443" s="159"/>
      <c r="BA443" s="159"/>
    </row>
    <row r="444" spans="2:53" ht="17.399999999999999" customHeight="1">
      <c r="B444" s="159"/>
      <c r="C444" s="159"/>
      <c r="D444" s="159"/>
      <c r="E444" s="159"/>
      <c r="F444" s="159"/>
      <c r="G444" s="159"/>
      <c r="H444" s="159"/>
      <c r="I444" s="159"/>
      <c r="J444" s="224"/>
      <c r="K444" s="159"/>
      <c r="L444" s="159"/>
      <c r="M444" s="159"/>
      <c r="O444" s="159"/>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c r="AT444" s="159"/>
      <c r="AU444" s="159"/>
      <c r="AV444" s="159"/>
      <c r="AW444" s="159"/>
      <c r="AX444" s="159"/>
      <c r="AY444" s="159"/>
      <c r="AZ444" s="159"/>
      <c r="BA444" s="159"/>
    </row>
    <row r="445" spans="2:53" ht="17.399999999999999" customHeight="1">
      <c r="B445" s="159"/>
      <c r="C445" s="159"/>
      <c r="D445" s="159"/>
      <c r="E445" s="159"/>
      <c r="F445" s="159"/>
      <c r="G445" s="159"/>
      <c r="H445" s="159"/>
      <c r="I445" s="159"/>
      <c r="J445" s="224"/>
      <c r="K445" s="159"/>
      <c r="L445" s="159"/>
      <c r="M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c r="AT445" s="159"/>
      <c r="AU445" s="159"/>
      <c r="AV445" s="159"/>
      <c r="AW445" s="159"/>
      <c r="AX445" s="159"/>
      <c r="AY445" s="159"/>
      <c r="AZ445" s="159"/>
      <c r="BA445" s="159"/>
    </row>
    <row r="446" spans="2:53" ht="17.399999999999999" customHeight="1">
      <c r="B446" s="159"/>
      <c r="C446" s="159"/>
      <c r="D446" s="159"/>
      <c r="E446" s="159"/>
      <c r="F446" s="159"/>
      <c r="G446" s="159"/>
      <c r="H446" s="159"/>
      <c r="I446" s="159"/>
      <c r="J446" s="224"/>
      <c r="K446" s="159"/>
      <c r="L446" s="159"/>
      <c r="M446" s="159"/>
      <c r="O446" s="159"/>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c r="AT446" s="159"/>
      <c r="AU446" s="159"/>
      <c r="AV446" s="159"/>
      <c r="AW446" s="159"/>
      <c r="AX446" s="159"/>
      <c r="AY446" s="159"/>
      <c r="AZ446" s="159"/>
      <c r="BA446" s="159"/>
    </row>
    <row r="447" spans="2:53" ht="17.399999999999999" customHeight="1">
      <c r="B447" s="159"/>
      <c r="C447" s="159"/>
      <c r="D447" s="159"/>
      <c r="E447" s="159"/>
      <c r="F447" s="159"/>
      <c r="G447" s="159"/>
      <c r="H447" s="159"/>
      <c r="I447" s="159"/>
      <c r="J447" s="224"/>
      <c r="K447" s="159"/>
      <c r="L447" s="159"/>
      <c r="M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c r="AT447" s="159"/>
      <c r="AU447" s="159"/>
      <c r="AV447" s="159"/>
      <c r="AW447" s="159"/>
      <c r="AX447" s="159"/>
      <c r="AY447" s="159"/>
      <c r="AZ447" s="159"/>
      <c r="BA447" s="159"/>
    </row>
    <row r="448" spans="2:53" ht="17.399999999999999" customHeight="1">
      <c r="B448" s="159"/>
      <c r="C448" s="159"/>
      <c r="D448" s="159"/>
      <c r="E448" s="159"/>
      <c r="F448" s="159"/>
      <c r="G448" s="159"/>
      <c r="H448" s="159"/>
      <c r="I448" s="159"/>
      <c r="J448" s="224"/>
      <c r="K448" s="159"/>
      <c r="L448" s="159"/>
      <c r="M448" s="159"/>
      <c r="O448" s="159"/>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c r="AT448" s="159"/>
      <c r="AU448" s="159"/>
      <c r="AV448" s="159"/>
      <c r="AW448" s="159"/>
      <c r="AX448" s="159"/>
      <c r="AY448" s="159"/>
      <c r="AZ448" s="159"/>
      <c r="BA448" s="159"/>
    </row>
    <row r="449" spans="2:53" ht="17.399999999999999" customHeight="1">
      <c r="B449" s="159"/>
      <c r="C449" s="159"/>
      <c r="D449" s="159"/>
      <c r="E449" s="159"/>
      <c r="F449" s="159"/>
      <c r="G449" s="159"/>
      <c r="H449" s="159"/>
      <c r="I449" s="159"/>
      <c r="J449" s="224"/>
      <c r="K449" s="159"/>
      <c r="L449" s="159"/>
      <c r="M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c r="AT449" s="159"/>
      <c r="AU449" s="159"/>
      <c r="AV449" s="159"/>
      <c r="AW449" s="159"/>
      <c r="AX449" s="159"/>
      <c r="AY449" s="159"/>
      <c r="AZ449" s="159"/>
      <c r="BA449" s="159"/>
    </row>
    <row r="450" spans="2:53" ht="17.399999999999999" customHeight="1">
      <c r="B450" s="159"/>
      <c r="C450" s="159"/>
      <c r="D450" s="159"/>
      <c r="E450" s="159"/>
      <c r="F450" s="159"/>
      <c r="G450" s="159"/>
      <c r="H450" s="159"/>
      <c r="I450" s="159"/>
      <c r="J450" s="224"/>
      <c r="K450" s="159"/>
      <c r="L450" s="159"/>
      <c r="M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c r="AT450" s="159"/>
      <c r="AU450" s="159"/>
      <c r="AV450" s="159"/>
      <c r="AW450" s="159"/>
      <c r="AX450" s="159"/>
      <c r="AY450" s="159"/>
      <c r="AZ450" s="159"/>
      <c r="BA450" s="159"/>
    </row>
    <row r="451" spans="2:53" ht="17.399999999999999" customHeight="1">
      <c r="B451" s="159"/>
      <c r="C451" s="159"/>
      <c r="D451" s="159"/>
      <c r="E451" s="159"/>
      <c r="F451" s="159"/>
      <c r="G451" s="159"/>
      <c r="H451" s="159"/>
      <c r="I451" s="159"/>
      <c r="J451" s="224"/>
      <c r="K451" s="159"/>
      <c r="L451" s="159"/>
      <c r="M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c r="AT451" s="159"/>
      <c r="AU451" s="159"/>
      <c r="AV451" s="159"/>
      <c r="AW451" s="159"/>
      <c r="AX451" s="159"/>
      <c r="AY451" s="159"/>
      <c r="AZ451" s="159"/>
      <c r="BA451" s="159"/>
    </row>
    <row r="452" spans="2:53" ht="17.399999999999999" customHeight="1">
      <c r="B452" s="159"/>
      <c r="C452" s="159"/>
      <c r="D452" s="159"/>
      <c r="E452" s="159"/>
      <c r="F452" s="159"/>
      <c r="G452" s="159"/>
      <c r="H452" s="159"/>
      <c r="I452" s="159"/>
      <c r="J452" s="224"/>
      <c r="K452" s="159"/>
      <c r="L452" s="159"/>
      <c r="M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c r="AT452" s="159"/>
      <c r="AU452" s="159"/>
      <c r="AV452" s="159"/>
      <c r="AW452" s="159"/>
      <c r="AX452" s="159"/>
      <c r="AY452" s="159"/>
      <c r="AZ452" s="159"/>
      <c r="BA452" s="159"/>
    </row>
    <row r="453" spans="2:53" ht="17.399999999999999" customHeight="1">
      <c r="B453" s="159"/>
      <c r="C453" s="159"/>
      <c r="D453" s="159"/>
      <c r="E453" s="159"/>
      <c r="F453" s="159"/>
      <c r="G453" s="159"/>
      <c r="H453" s="159"/>
      <c r="I453" s="159"/>
      <c r="J453" s="224"/>
      <c r="K453" s="159"/>
      <c r="L453" s="159"/>
      <c r="M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c r="AT453" s="159"/>
      <c r="AU453" s="159"/>
      <c r="AV453" s="159"/>
      <c r="AW453" s="159"/>
      <c r="AX453" s="159"/>
      <c r="AY453" s="159"/>
      <c r="AZ453" s="159"/>
      <c r="BA453" s="159"/>
    </row>
    <row r="454" spans="2:53" ht="17.399999999999999" customHeight="1">
      <c r="B454" s="159"/>
      <c r="C454" s="159"/>
      <c r="D454" s="159"/>
      <c r="E454" s="159"/>
      <c r="F454" s="159"/>
      <c r="G454" s="159"/>
      <c r="H454" s="159"/>
      <c r="I454" s="159"/>
      <c r="J454" s="224"/>
      <c r="K454" s="159"/>
      <c r="L454" s="159"/>
      <c r="M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c r="AT454" s="159"/>
      <c r="AU454" s="159"/>
      <c r="AV454" s="159"/>
      <c r="AW454" s="159"/>
      <c r="AX454" s="159"/>
      <c r="AY454" s="159"/>
      <c r="AZ454" s="159"/>
      <c r="BA454" s="159"/>
    </row>
    <row r="455" spans="2:53" ht="17.399999999999999" customHeight="1">
      <c r="B455" s="159"/>
      <c r="C455" s="159"/>
      <c r="D455" s="159"/>
      <c r="E455" s="159"/>
      <c r="F455" s="159"/>
      <c r="G455" s="159"/>
      <c r="H455" s="159"/>
      <c r="I455" s="159"/>
      <c r="J455" s="224"/>
      <c r="K455" s="159"/>
      <c r="L455" s="159"/>
      <c r="M455" s="159"/>
      <c r="O455" s="159"/>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c r="AR455" s="159"/>
      <c r="AS455" s="159"/>
      <c r="AT455" s="159"/>
      <c r="AU455" s="159"/>
      <c r="AV455" s="159"/>
      <c r="AW455" s="159"/>
      <c r="AX455" s="159"/>
      <c r="AY455" s="159"/>
      <c r="AZ455" s="159"/>
      <c r="BA455" s="159"/>
    </row>
    <row r="456" spans="2:53" ht="17.399999999999999" customHeight="1">
      <c r="B456" s="159"/>
      <c r="C456" s="159"/>
      <c r="D456" s="159"/>
      <c r="E456" s="159"/>
      <c r="F456" s="159"/>
      <c r="G456" s="159"/>
      <c r="H456" s="159"/>
      <c r="I456" s="159"/>
      <c r="J456" s="224"/>
      <c r="K456" s="159"/>
      <c r="L456" s="159"/>
      <c r="M456" s="159"/>
      <c r="O456" s="159"/>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c r="AT456" s="159"/>
      <c r="AU456" s="159"/>
      <c r="AV456" s="159"/>
      <c r="AW456" s="159"/>
      <c r="AX456" s="159"/>
      <c r="AY456" s="159"/>
      <c r="AZ456" s="159"/>
      <c r="BA456" s="159"/>
    </row>
    <row r="457" spans="2:53" ht="17.399999999999999" customHeight="1">
      <c r="B457" s="159"/>
      <c r="C457" s="159"/>
      <c r="D457" s="159"/>
      <c r="E457" s="159"/>
      <c r="F457" s="159"/>
      <c r="G457" s="159"/>
      <c r="H457" s="159"/>
      <c r="I457" s="159"/>
      <c r="J457" s="224"/>
      <c r="K457" s="159"/>
      <c r="L457" s="159"/>
      <c r="M457" s="159"/>
      <c r="O457" s="159"/>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c r="AT457" s="159"/>
      <c r="AU457" s="159"/>
      <c r="AV457" s="159"/>
      <c r="AW457" s="159"/>
      <c r="AX457" s="159"/>
      <c r="AY457" s="159"/>
      <c r="AZ457" s="159"/>
      <c r="BA457" s="159"/>
    </row>
    <row r="458" spans="2:53" ht="17.399999999999999" customHeight="1">
      <c r="B458" s="159"/>
      <c r="C458" s="159"/>
      <c r="D458" s="159"/>
      <c r="E458" s="159"/>
      <c r="F458" s="159"/>
      <c r="G458" s="159"/>
      <c r="H458" s="159"/>
      <c r="I458" s="159"/>
      <c r="J458" s="224"/>
      <c r="K458" s="159"/>
      <c r="L458" s="159"/>
      <c r="M458" s="159"/>
      <c r="O458" s="159"/>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c r="AT458" s="159"/>
      <c r="AU458" s="159"/>
      <c r="AV458" s="159"/>
      <c r="AW458" s="159"/>
      <c r="AX458" s="159"/>
      <c r="AY458" s="159"/>
      <c r="AZ458" s="159"/>
      <c r="BA458" s="159"/>
    </row>
    <row r="459" spans="2:53" ht="17.399999999999999" customHeight="1">
      <c r="B459" s="159"/>
      <c r="C459" s="159"/>
      <c r="D459" s="159"/>
      <c r="E459" s="159"/>
      <c r="F459" s="159"/>
      <c r="G459" s="159"/>
      <c r="H459" s="159"/>
      <c r="I459" s="159"/>
      <c r="J459" s="224"/>
      <c r="K459" s="159"/>
      <c r="L459" s="159"/>
      <c r="M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c r="AT459" s="159"/>
      <c r="AU459" s="159"/>
      <c r="AV459" s="159"/>
      <c r="AW459" s="159"/>
      <c r="AX459" s="159"/>
      <c r="AY459" s="159"/>
      <c r="AZ459" s="159"/>
      <c r="BA459" s="159"/>
    </row>
    <row r="460" spans="2:53" ht="17.399999999999999" customHeight="1">
      <c r="B460" s="159"/>
      <c r="C460" s="159"/>
      <c r="D460" s="159"/>
      <c r="E460" s="159"/>
      <c r="F460" s="159"/>
      <c r="G460" s="159"/>
      <c r="H460" s="159"/>
      <c r="I460" s="159"/>
      <c r="J460" s="224"/>
      <c r="K460" s="159"/>
      <c r="L460" s="159"/>
      <c r="M460" s="159"/>
      <c r="O460" s="159"/>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c r="AT460" s="159"/>
      <c r="AU460" s="159"/>
      <c r="AV460" s="159"/>
      <c r="AW460" s="159"/>
      <c r="AX460" s="159"/>
      <c r="AY460" s="159"/>
      <c r="AZ460" s="159"/>
      <c r="BA460" s="159"/>
    </row>
    <row r="461" spans="2:53" ht="17.399999999999999" customHeight="1">
      <c r="B461" s="159"/>
      <c r="C461" s="159"/>
      <c r="D461" s="159"/>
      <c r="E461" s="159"/>
      <c r="F461" s="159"/>
      <c r="G461" s="159"/>
      <c r="H461" s="159"/>
      <c r="I461" s="159"/>
      <c r="J461" s="224"/>
      <c r="K461" s="159"/>
      <c r="L461" s="159"/>
      <c r="M461" s="159"/>
      <c r="O461" s="159"/>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c r="AT461" s="159"/>
      <c r="AU461" s="159"/>
      <c r="AV461" s="159"/>
      <c r="AW461" s="159"/>
      <c r="AX461" s="159"/>
      <c r="AY461" s="159"/>
      <c r="AZ461" s="159"/>
      <c r="BA461" s="159"/>
    </row>
    <row r="462" spans="2:53" ht="17.399999999999999" customHeight="1">
      <c r="B462" s="159"/>
      <c r="C462" s="159"/>
      <c r="D462" s="159"/>
      <c r="E462" s="159"/>
      <c r="F462" s="159"/>
      <c r="G462" s="159"/>
      <c r="H462" s="159"/>
      <c r="I462" s="159"/>
      <c r="J462" s="224"/>
      <c r="K462" s="159"/>
      <c r="L462" s="159"/>
      <c r="M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c r="AT462" s="159"/>
      <c r="AU462" s="159"/>
      <c r="AV462" s="159"/>
      <c r="AW462" s="159"/>
      <c r="AX462" s="159"/>
      <c r="AY462" s="159"/>
      <c r="AZ462" s="159"/>
      <c r="BA462" s="159"/>
    </row>
    <row r="463" spans="2:53" ht="17.399999999999999" customHeight="1">
      <c r="B463" s="159"/>
      <c r="C463" s="159"/>
      <c r="D463" s="159"/>
      <c r="E463" s="159"/>
      <c r="F463" s="159"/>
      <c r="G463" s="159"/>
      <c r="H463" s="159"/>
      <c r="I463" s="159"/>
      <c r="J463" s="224"/>
      <c r="K463" s="159"/>
      <c r="L463" s="159"/>
      <c r="M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c r="AT463" s="159"/>
      <c r="AU463" s="159"/>
      <c r="AV463" s="159"/>
      <c r="AW463" s="159"/>
      <c r="AX463" s="159"/>
      <c r="AY463" s="159"/>
      <c r="AZ463" s="159"/>
      <c r="BA463" s="159"/>
    </row>
    <row r="464" spans="2:53" ht="17.399999999999999" customHeight="1">
      <c r="B464" s="159"/>
      <c r="C464" s="159"/>
      <c r="D464" s="159"/>
      <c r="E464" s="159"/>
      <c r="F464" s="159"/>
      <c r="G464" s="159"/>
      <c r="H464" s="159"/>
      <c r="I464" s="159"/>
      <c r="J464" s="224"/>
      <c r="K464" s="159"/>
      <c r="L464" s="159"/>
      <c r="M464" s="159"/>
      <c r="O464" s="159"/>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c r="AT464" s="159"/>
      <c r="AU464" s="159"/>
      <c r="AV464" s="159"/>
      <c r="AW464" s="159"/>
      <c r="AX464" s="159"/>
      <c r="AY464" s="159"/>
      <c r="AZ464" s="159"/>
      <c r="BA464" s="159"/>
    </row>
    <row r="465" spans="2:53" ht="17.399999999999999" customHeight="1">
      <c r="B465" s="159"/>
      <c r="C465" s="159"/>
      <c r="D465" s="159"/>
      <c r="E465" s="159"/>
      <c r="F465" s="159"/>
      <c r="G465" s="159"/>
      <c r="H465" s="159"/>
      <c r="I465" s="159"/>
      <c r="J465" s="224"/>
      <c r="K465" s="159"/>
      <c r="L465" s="159"/>
      <c r="M465" s="159"/>
      <c r="O465" s="159"/>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c r="AT465" s="159"/>
      <c r="AU465" s="159"/>
      <c r="AV465" s="159"/>
      <c r="AW465" s="159"/>
      <c r="AX465" s="159"/>
      <c r="AY465" s="159"/>
      <c r="AZ465" s="159"/>
      <c r="BA465" s="159"/>
    </row>
    <row r="466" spans="2:53" ht="17.399999999999999" customHeight="1">
      <c r="B466" s="159"/>
      <c r="C466" s="159"/>
      <c r="D466" s="159"/>
      <c r="E466" s="159"/>
      <c r="F466" s="159"/>
      <c r="G466" s="159"/>
      <c r="H466" s="159"/>
      <c r="I466" s="159"/>
      <c r="J466" s="224"/>
      <c r="K466" s="159"/>
      <c r="L466" s="159"/>
      <c r="M466" s="159"/>
      <c r="O466" s="159"/>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c r="AT466" s="159"/>
      <c r="AU466" s="159"/>
      <c r="AV466" s="159"/>
      <c r="AW466" s="159"/>
      <c r="AX466" s="159"/>
      <c r="AY466" s="159"/>
      <c r="AZ466" s="159"/>
      <c r="BA466" s="159"/>
    </row>
    <row r="467" spans="2:53" ht="17.399999999999999" customHeight="1">
      <c r="B467" s="159"/>
      <c r="C467" s="159"/>
      <c r="D467" s="159"/>
      <c r="E467" s="159"/>
      <c r="F467" s="159"/>
      <c r="G467" s="159"/>
      <c r="H467" s="159"/>
      <c r="I467" s="159"/>
      <c r="J467" s="224"/>
      <c r="K467" s="159"/>
      <c r="L467" s="159"/>
      <c r="M467" s="159"/>
      <c r="O467" s="159"/>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c r="AT467" s="159"/>
      <c r="AU467" s="159"/>
      <c r="AV467" s="159"/>
      <c r="AW467" s="159"/>
      <c r="AX467" s="159"/>
      <c r="AY467" s="159"/>
      <c r="AZ467" s="159"/>
      <c r="BA467" s="159"/>
    </row>
    <row r="468" spans="2:53" ht="17.399999999999999" customHeight="1">
      <c r="B468" s="159"/>
      <c r="C468" s="159"/>
      <c r="D468" s="159"/>
      <c r="E468" s="159"/>
      <c r="F468" s="159"/>
      <c r="G468" s="159"/>
      <c r="H468" s="159"/>
      <c r="I468" s="159"/>
      <c r="J468" s="224"/>
      <c r="K468" s="159"/>
      <c r="L468" s="159"/>
      <c r="M468" s="159"/>
      <c r="O468" s="159"/>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c r="AT468" s="159"/>
      <c r="AU468" s="159"/>
      <c r="AV468" s="159"/>
      <c r="AW468" s="159"/>
      <c r="AX468" s="159"/>
      <c r="AY468" s="159"/>
      <c r="AZ468" s="159"/>
      <c r="BA468" s="159"/>
    </row>
    <row r="469" spans="2:53" ht="17.399999999999999" customHeight="1">
      <c r="B469" s="159"/>
      <c r="C469" s="159"/>
      <c r="D469" s="159"/>
      <c r="E469" s="159"/>
      <c r="F469" s="159"/>
      <c r="G469" s="159"/>
      <c r="H469" s="159"/>
      <c r="I469" s="159"/>
      <c r="J469" s="224"/>
      <c r="K469" s="159"/>
      <c r="L469" s="159"/>
      <c r="M469" s="159"/>
      <c r="O469" s="159"/>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c r="AT469" s="159"/>
      <c r="AU469" s="159"/>
      <c r="AV469" s="159"/>
      <c r="AW469" s="159"/>
      <c r="AX469" s="159"/>
      <c r="AY469" s="159"/>
      <c r="AZ469" s="159"/>
      <c r="BA469" s="159"/>
    </row>
    <row r="470" spans="2:53" ht="17.399999999999999" customHeight="1">
      <c r="B470" s="159"/>
      <c r="C470" s="159"/>
      <c r="D470" s="159"/>
      <c r="E470" s="159"/>
      <c r="F470" s="159"/>
      <c r="G470" s="159"/>
      <c r="H470" s="159"/>
      <c r="I470" s="159"/>
      <c r="J470" s="224"/>
      <c r="K470" s="159"/>
      <c r="L470" s="159"/>
      <c r="M470" s="159"/>
      <c r="O470" s="159"/>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c r="AT470" s="159"/>
      <c r="AU470" s="159"/>
      <c r="AV470" s="159"/>
      <c r="AW470" s="159"/>
      <c r="AX470" s="159"/>
      <c r="AY470" s="159"/>
      <c r="AZ470" s="159"/>
      <c r="BA470" s="159"/>
    </row>
    <row r="471" spans="2:53" ht="17.399999999999999" customHeight="1">
      <c r="B471" s="159"/>
      <c r="C471" s="159"/>
      <c r="D471" s="159"/>
      <c r="E471" s="159"/>
      <c r="F471" s="159"/>
      <c r="G471" s="159"/>
      <c r="H471" s="159"/>
      <c r="I471" s="159"/>
      <c r="J471" s="224"/>
      <c r="K471" s="159"/>
      <c r="L471" s="159"/>
      <c r="M471" s="159"/>
      <c r="O471" s="159"/>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c r="AT471" s="159"/>
      <c r="AU471" s="159"/>
      <c r="AV471" s="159"/>
      <c r="AW471" s="159"/>
      <c r="AX471" s="159"/>
      <c r="AY471" s="159"/>
      <c r="AZ471" s="159"/>
      <c r="BA471" s="159"/>
    </row>
    <row r="472" spans="2:53" ht="17.399999999999999" customHeight="1">
      <c r="B472" s="159"/>
      <c r="C472" s="159"/>
      <c r="D472" s="159"/>
      <c r="E472" s="159"/>
      <c r="F472" s="159"/>
      <c r="G472" s="159"/>
      <c r="H472" s="159"/>
      <c r="I472" s="159"/>
      <c r="J472" s="224"/>
      <c r="K472" s="159"/>
      <c r="L472" s="159"/>
      <c r="M472" s="159"/>
      <c r="O472" s="159"/>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c r="AT472" s="159"/>
      <c r="AU472" s="159"/>
      <c r="AV472" s="159"/>
      <c r="AW472" s="159"/>
      <c r="AX472" s="159"/>
      <c r="AY472" s="159"/>
      <c r="AZ472" s="159"/>
      <c r="BA472" s="159"/>
    </row>
    <row r="473" spans="2:53" ht="17.399999999999999" customHeight="1">
      <c r="B473" s="159"/>
      <c r="C473" s="159"/>
      <c r="D473" s="159"/>
      <c r="E473" s="159"/>
      <c r="F473" s="159"/>
      <c r="G473" s="159"/>
      <c r="H473" s="159"/>
      <c r="I473" s="159"/>
      <c r="J473" s="224"/>
      <c r="K473" s="159"/>
      <c r="L473" s="159"/>
      <c r="M473" s="159"/>
      <c r="O473" s="159"/>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c r="AT473" s="159"/>
      <c r="AU473" s="159"/>
      <c r="AV473" s="159"/>
      <c r="AW473" s="159"/>
      <c r="AX473" s="159"/>
      <c r="AY473" s="159"/>
      <c r="AZ473" s="159"/>
      <c r="BA473" s="159"/>
    </row>
    <row r="474" spans="2:53" ht="17.399999999999999" customHeight="1">
      <c r="B474" s="159"/>
      <c r="C474" s="159"/>
      <c r="D474" s="159"/>
      <c r="E474" s="159"/>
      <c r="F474" s="159"/>
      <c r="G474" s="159"/>
      <c r="H474" s="159"/>
      <c r="I474" s="159"/>
      <c r="J474" s="224"/>
      <c r="K474" s="159"/>
      <c r="L474" s="159"/>
      <c r="M474" s="159"/>
      <c r="O474" s="159"/>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c r="AT474" s="159"/>
      <c r="AU474" s="159"/>
      <c r="AV474" s="159"/>
      <c r="AW474" s="159"/>
      <c r="AX474" s="159"/>
      <c r="AY474" s="159"/>
      <c r="AZ474" s="159"/>
      <c r="BA474" s="159"/>
    </row>
    <row r="475" spans="2:53" ht="17.399999999999999" customHeight="1">
      <c r="B475" s="159"/>
      <c r="C475" s="159"/>
      <c r="D475" s="159"/>
      <c r="E475" s="159"/>
      <c r="F475" s="159"/>
      <c r="G475" s="159"/>
      <c r="H475" s="159"/>
      <c r="I475" s="159"/>
      <c r="J475" s="224"/>
      <c r="K475" s="159"/>
      <c r="L475" s="159"/>
      <c r="M475" s="159"/>
      <c r="O475" s="159"/>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c r="AT475" s="159"/>
      <c r="AU475" s="159"/>
      <c r="AV475" s="159"/>
      <c r="AW475" s="159"/>
      <c r="AX475" s="159"/>
      <c r="AY475" s="159"/>
      <c r="AZ475" s="159"/>
      <c r="BA475" s="159"/>
    </row>
    <row r="476" spans="2:53" ht="17.399999999999999" customHeight="1">
      <c r="B476" s="159"/>
      <c r="C476" s="159"/>
      <c r="D476" s="159"/>
      <c r="E476" s="159"/>
      <c r="F476" s="159"/>
      <c r="G476" s="159"/>
      <c r="H476" s="159"/>
      <c r="I476" s="159"/>
      <c r="J476" s="224"/>
      <c r="K476" s="159"/>
      <c r="L476" s="159"/>
      <c r="M476" s="159"/>
      <c r="O476" s="159"/>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c r="AT476" s="159"/>
      <c r="AU476" s="159"/>
      <c r="AV476" s="159"/>
      <c r="AW476" s="159"/>
      <c r="AX476" s="159"/>
      <c r="AY476" s="159"/>
      <c r="AZ476" s="159"/>
      <c r="BA476" s="159"/>
    </row>
    <row r="477" spans="2:53" ht="17.399999999999999" customHeight="1">
      <c r="B477" s="159"/>
      <c r="C477" s="159"/>
      <c r="D477" s="159"/>
      <c r="E477" s="159"/>
      <c r="F477" s="159"/>
      <c r="G477" s="159"/>
      <c r="H477" s="159"/>
      <c r="I477" s="159"/>
      <c r="J477" s="224"/>
      <c r="K477" s="159"/>
      <c r="L477" s="159"/>
      <c r="M477" s="159"/>
      <c r="O477" s="159"/>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c r="AT477" s="159"/>
      <c r="AU477" s="159"/>
      <c r="AV477" s="159"/>
      <c r="AW477" s="159"/>
      <c r="AX477" s="159"/>
      <c r="AY477" s="159"/>
      <c r="AZ477" s="159"/>
      <c r="BA477" s="159"/>
    </row>
    <row r="478" spans="2:53" ht="17.399999999999999" customHeight="1">
      <c r="B478" s="159"/>
      <c r="C478" s="159"/>
      <c r="D478" s="159"/>
      <c r="E478" s="159"/>
      <c r="F478" s="159"/>
      <c r="G478" s="159"/>
      <c r="H478" s="159"/>
      <c r="I478" s="159"/>
      <c r="J478" s="224"/>
      <c r="K478" s="159"/>
      <c r="L478" s="159"/>
      <c r="M478" s="159"/>
      <c r="O478" s="159"/>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c r="AT478" s="159"/>
      <c r="AU478" s="159"/>
      <c r="AV478" s="159"/>
      <c r="AW478" s="159"/>
      <c r="AX478" s="159"/>
      <c r="AY478" s="159"/>
      <c r="AZ478" s="159"/>
      <c r="BA478" s="159"/>
    </row>
    <row r="479" spans="2:53" ht="17.399999999999999" customHeight="1">
      <c r="B479" s="159"/>
      <c r="C479" s="159"/>
      <c r="D479" s="159"/>
      <c r="E479" s="159"/>
      <c r="F479" s="159"/>
      <c r="G479" s="159"/>
      <c r="H479" s="159"/>
      <c r="I479" s="159"/>
      <c r="J479" s="224"/>
      <c r="K479" s="159"/>
      <c r="L479" s="159"/>
      <c r="M479" s="159"/>
      <c r="O479" s="159"/>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c r="AT479" s="159"/>
      <c r="AU479" s="159"/>
      <c r="AV479" s="159"/>
      <c r="AW479" s="159"/>
      <c r="AX479" s="159"/>
      <c r="AY479" s="159"/>
      <c r="AZ479" s="159"/>
      <c r="BA479" s="159"/>
    </row>
    <row r="480" spans="2:53" ht="17.399999999999999" customHeight="1">
      <c r="B480" s="159"/>
      <c r="C480" s="159"/>
      <c r="D480" s="159"/>
      <c r="E480" s="159"/>
      <c r="F480" s="159"/>
      <c r="G480" s="159"/>
      <c r="H480" s="159"/>
      <c r="I480" s="159"/>
      <c r="J480" s="224"/>
      <c r="K480" s="159"/>
      <c r="L480" s="159"/>
      <c r="M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c r="AT480" s="159"/>
      <c r="AU480" s="159"/>
      <c r="AV480" s="159"/>
      <c r="AW480" s="159"/>
      <c r="AX480" s="159"/>
      <c r="AY480" s="159"/>
      <c r="AZ480" s="159"/>
      <c r="BA480" s="159"/>
    </row>
    <row r="481" spans="2:53" ht="17.399999999999999" customHeight="1">
      <c r="B481" s="159"/>
      <c r="C481" s="159"/>
      <c r="D481" s="159"/>
      <c r="E481" s="159"/>
      <c r="F481" s="159"/>
      <c r="G481" s="159"/>
      <c r="H481" s="159"/>
      <c r="I481" s="159"/>
      <c r="J481" s="224"/>
      <c r="K481" s="159"/>
      <c r="L481" s="159"/>
      <c r="M481" s="159"/>
      <c r="O481" s="159"/>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c r="AR481" s="159"/>
      <c r="AS481" s="159"/>
      <c r="AT481" s="159"/>
      <c r="AU481" s="159"/>
      <c r="AV481" s="159"/>
      <c r="AW481" s="159"/>
      <c r="AX481" s="159"/>
      <c r="AY481" s="159"/>
      <c r="AZ481" s="159"/>
      <c r="BA481" s="159"/>
    </row>
    <row r="482" spans="2:53" ht="17.399999999999999" customHeight="1">
      <c r="B482" s="159"/>
      <c r="C482" s="159"/>
      <c r="D482" s="159"/>
      <c r="E482" s="159"/>
      <c r="F482" s="159"/>
      <c r="G482" s="159"/>
      <c r="H482" s="159"/>
      <c r="I482" s="159"/>
      <c r="J482" s="224"/>
      <c r="K482" s="159"/>
      <c r="L482" s="159"/>
      <c r="M482" s="159"/>
      <c r="O482" s="159"/>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c r="AT482" s="159"/>
      <c r="AU482" s="159"/>
      <c r="AV482" s="159"/>
      <c r="AW482" s="159"/>
      <c r="AX482" s="159"/>
      <c r="AY482" s="159"/>
      <c r="AZ482" s="159"/>
      <c r="BA482" s="159"/>
    </row>
    <row r="483" spans="2:53" ht="17.399999999999999" customHeight="1">
      <c r="B483" s="159"/>
      <c r="C483" s="159"/>
      <c r="D483" s="159"/>
      <c r="E483" s="159"/>
      <c r="F483" s="159"/>
      <c r="G483" s="159"/>
      <c r="H483" s="159"/>
      <c r="I483" s="159"/>
      <c r="J483" s="224"/>
      <c r="K483" s="159"/>
      <c r="L483" s="159"/>
      <c r="M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c r="AT483" s="159"/>
      <c r="AU483" s="159"/>
      <c r="AV483" s="159"/>
      <c r="AW483" s="159"/>
      <c r="AX483" s="159"/>
      <c r="AY483" s="159"/>
      <c r="AZ483" s="159"/>
      <c r="BA483" s="159"/>
    </row>
    <row r="484" spans="2:53" ht="17.399999999999999" customHeight="1">
      <c r="B484" s="159"/>
      <c r="C484" s="159"/>
      <c r="D484" s="159"/>
      <c r="E484" s="159"/>
      <c r="F484" s="159"/>
      <c r="G484" s="159"/>
      <c r="H484" s="159"/>
      <c r="I484" s="159"/>
      <c r="J484" s="224"/>
      <c r="K484" s="159"/>
      <c r="L484" s="159"/>
      <c r="M484" s="159"/>
      <c r="O484" s="159"/>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c r="AT484" s="159"/>
      <c r="AU484" s="159"/>
      <c r="AV484" s="159"/>
      <c r="AW484" s="159"/>
      <c r="AX484" s="159"/>
      <c r="AY484" s="159"/>
      <c r="AZ484" s="159"/>
      <c r="BA484" s="159"/>
    </row>
    <row r="485" spans="2:53" ht="17.399999999999999" customHeight="1">
      <c r="B485" s="159"/>
      <c r="C485" s="159"/>
      <c r="D485" s="159"/>
      <c r="E485" s="159"/>
      <c r="F485" s="159"/>
      <c r="G485" s="159"/>
      <c r="H485" s="159"/>
      <c r="I485" s="159"/>
      <c r="J485" s="224"/>
      <c r="K485" s="159"/>
      <c r="L485" s="159"/>
      <c r="M485" s="159"/>
      <c r="O485" s="159"/>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c r="AT485" s="159"/>
      <c r="AU485" s="159"/>
      <c r="AV485" s="159"/>
      <c r="AW485" s="159"/>
      <c r="AX485" s="159"/>
      <c r="AY485" s="159"/>
      <c r="AZ485" s="159"/>
      <c r="BA485" s="159"/>
    </row>
    <row r="486" spans="2:53" ht="17.399999999999999" customHeight="1">
      <c r="B486" s="159"/>
      <c r="C486" s="159"/>
      <c r="D486" s="159"/>
      <c r="E486" s="159"/>
      <c r="F486" s="159"/>
      <c r="G486" s="159"/>
      <c r="H486" s="159"/>
      <c r="I486" s="159"/>
      <c r="J486" s="224"/>
      <c r="K486" s="159"/>
      <c r="L486" s="159"/>
      <c r="M486" s="159"/>
      <c r="O486" s="159"/>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c r="AT486" s="159"/>
      <c r="AU486" s="159"/>
      <c r="AV486" s="159"/>
      <c r="AW486" s="159"/>
      <c r="AX486" s="159"/>
      <c r="AY486" s="159"/>
      <c r="AZ486" s="159"/>
      <c r="BA486" s="159"/>
    </row>
    <row r="487" spans="2:53" ht="17.399999999999999" customHeight="1">
      <c r="B487" s="159"/>
      <c r="C487" s="159"/>
      <c r="D487" s="159"/>
      <c r="E487" s="159"/>
      <c r="F487" s="159"/>
      <c r="G487" s="159"/>
      <c r="H487" s="159"/>
      <c r="I487" s="159"/>
      <c r="J487" s="224"/>
      <c r="K487" s="159"/>
      <c r="L487" s="159"/>
      <c r="M487" s="159"/>
      <c r="O487" s="159"/>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c r="AT487" s="159"/>
      <c r="AU487" s="159"/>
      <c r="AV487" s="159"/>
      <c r="AW487" s="159"/>
      <c r="AX487" s="159"/>
      <c r="AY487" s="159"/>
      <c r="AZ487" s="159"/>
      <c r="BA487" s="159"/>
    </row>
    <row r="488" spans="2:53" ht="17.399999999999999" customHeight="1">
      <c r="B488" s="159"/>
      <c r="C488" s="159"/>
      <c r="D488" s="159"/>
      <c r="E488" s="159"/>
      <c r="F488" s="159"/>
      <c r="G488" s="159"/>
      <c r="H488" s="159"/>
      <c r="I488" s="159"/>
      <c r="J488" s="224"/>
      <c r="K488" s="159"/>
      <c r="L488" s="159"/>
      <c r="M488" s="159"/>
      <c r="O488" s="159"/>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c r="AT488" s="159"/>
      <c r="AU488" s="159"/>
      <c r="AV488" s="159"/>
      <c r="AW488" s="159"/>
      <c r="AX488" s="159"/>
      <c r="AY488" s="159"/>
      <c r="AZ488" s="159"/>
      <c r="BA488" s="159"/>
    </row>
    <row r="489" spans="2:53" ht="17.399999999999999" customHeight="1">
      <c r="B489" s="159"/>
      <c r="C489" s="159"/>
      <c r="D489" s="159"/>
      <c r="E489" s="159"/>
      <c r="F489" s="159"/>
      <c r="G489" s="159"/>
      <c r="H489" s="159"/>
      <c r="I489" s="159"/>
      <c r="J489" s="224"/>
      <c r="K489" s="159"/>
      <c r="L489" s="159"/>
      <c r="M489" s="159"/>
      <c r="O489" s="159"/>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c r="AT489" s="159"/>
      <c r="AU489" s="159"/>
      <c r="AV489" s="159"/>
      <c r="AW489" s="159"/>
      <c r="AX489" s="159"/>
      <c r="AY489" s="159"/>
      <c r="AZ489" s="159"/>
      <c r="BA489" s="159"/>
    </row>
    <row r="490" spans="2:53" ht="17.399999999999999" customHeight="1">
      <c r="B490" s="159"/>
      <c r="C490" s="159"/>
      <c r="D490" s="159"/>
      <c r="E490" s="159"/>
      <c r="F490" s="159"/>
      <c r="G490" s="159"/>
      <c r="H490" s="159"/>
      <c r="I490" s="159"/>
      <c r="J490" s="224"/>
      <c r="K490" s="159"/>
      <c r="L490" s="159"/>
      <c r="M490" s="159"/>
      <c r="O490" s="159"/>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c r="AT490" s="159"/>
      <c r="AU490" s="159"/>
      <c r="AV490" s="159"/>
      <c r="AW490" s="159"/>
      <c r="AX490" s="159"/>
      <c r="AY490" s="159"/>
      <c r="AZ490" s="159"/>
      <c r="BA490" s="159"/>
    </row>
    <row r="491" spans="2:53" ht="17.399999999999999" customHeight="1">
      <c r="B491" s="159"/>
      <c r="C491" s="159"/>
      <c r="D491" s="159"/>
      <c r="E491" s="159"/>
      <c r="F491" s="159"/>
      <c r="G491" s="159"/>
      <c r="H491" s="159"/>
      <c r="I491" s="159"/>
      <c r="J491" s="224"/>
      <c r="K491" s="159"/>
      <c r="L491" s="159"/>
      <c r="M491" s="159"/>
      <c r="O491" s="159"/>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c r="AT491" s="159"/>
      <c r="AU491" s="159"/>
      <c r="AV491" s="159"/>
      <c r="AW491" s="159"/>
      <c r="AX491" s="159"/>
      <c r="AY491" s="159"/>
      <c r="AZ491" s="159"/>
      <c r="BA491" s="159"/>
    </row>
    <row r="492" spans="2:53" ht="17.399999999999999" customHeight="1">
      <c r="B492" s="159"/>
      <c r="C492" s="159"/>
      <c r="D492" s="159"/>
      <c r="E492" s="159"/>
      <c r="F492" s="159"/>
      <c r="G492" s="159"/>
      <c r="H492" s="159"/>
      <c r="I492" s="159"/>
      <c r="J492" s="224"/>
      <c r="K492" s="159"/>
      <c r="L492" s="159"/>
      <c r="M492" s="159"/>
      <c r="O492" s="159"/>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c r="AT492" s="159"/>
      <c r="AU492" s="159"/>
      <c r="AV492" s="159"/>
      <c r="AW492" s="159"/>
      <c r="AX492" s="159"/>
      <c r="AY492" s="159"/>
      <c r="AZ492" s="159"/>
      <c r="BA492" s="159"/>
    </row>
    <row r="493" spans="2:53" ht="17.399999999999999" customHeight="1">
      <c r="B493" s="159"/>
      <c r="C493" s="159"/>
      <c r="D493" s="159"/>
      <c r="E493" s="159"/>
      <c r="F493" s="159"/>
      <c r="G493" s="159"/>
      <c r="H493" s="159"/>
      <c r="I493" s="159"/>
      <c r="J493" s="224"/>
      <c r="K493" s="159"/>
      <c r="L493" s="159"/>
      <c r="M493" s="159"/>
      <c r="O493" s="159"/>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c r="AT493" s="159"/>
      <c r="AU493" s="159"/>
      <c r="AV493" s="159"/>
      <c r="AW493" s="159"/>
      <c r="AX493" s="159"/>
      <c r="AY493" s="159"/>
      <c r="AZ493" s="159"/>
      <c r="BA493" s="159"/>
    </row>
    <row r="494" spans="2:53" ht="17.399999999999999" customHeight="1">
      <c r="B494" s="159"/>
      <c r="C494" s="159"/>
      <c r="D494" s="159"/>
      <c r="E494" s="159"/>
      <c r="F494" s="159"/>
      <c r="G494" s="159"/>
      <c r="H494" s="159"/>
      <c r="I494" s="159"/>
      <c r="J494" s="224"/>
      <c r="K494" s="159"/>
      <c r="L494" s="159"/>
      <c r="M494" s="159"/>
      <c r="O494" s="159"/>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c r="AR494" s="159"/>
      <c r="AS494" s="159"/>
      <c r="AT494" s="159"/>
      <c r="AU494" s="159"/>
      <c r="AV494" s="159"/>
      <c r="AW494" s="159"/>
      <c r="AX494" s="159"/>
      <c r="AY494" s="159"/>
      <c r="AZ494" s="159"/>
      <c r="BA494" s="159"/>
    </row>
    <row r="495" spans="2:53" ht="17.399999999999999" customHeight="1">
      <c r="B495" s="159"/>
      <c r="C495" s="159"/>
      <c r="D495" s="159"/>
      <c r="E495" s="159"/>
      <c r="F495" s="159"/>
      <c r="G495" s="159"/>
      <c r="H495" s="159"/>
      <c r="I495" s="159"/>
      <c r="J495" s="224"/>
      <c r="K495" s="159"/>
      <c r="L495" s="159"/>
      <c r="M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c r="AT495" s="159"/>
      <c r="AU495" s="159"/>
      <c r="AV495" s="159"/>
      <c r="AW495" s="159"/>
      <c r="AX495" s="159"/>
      <c r="AY495" s="159"/>
      <c r="AZ495" s="159"/>
      <c r="BA495" s="159"/>
    </row>
    <row r="496" spans="2:53" ht="17.399999999999999" customHeight="1">
      <c r="B496" s="159"/>
      <c r="C496" s="159"/>
      <c r="D496" s="159"/>
      <c r="E496" s="159"/>
      <c r="F496" s="159"/>
      <c r="G496" s="159"/>
      <c r="H496" s="159"/>
      <c r="I496" s="159"/>
      <c r="J496" s="224"/>
      <c r="K496" s="159"/>
      <c r="L496" s="159"/>
      <c r="M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c r="AT496" s="159"/>
      <c r="AU496" s="159"/>
      <c r="AV496" s="159"/>
      <c r="AW496" s="159"/>
      <c r="AX496" s="159"/>
      <c r="AY496" s="159"/>
      <c r="AZ496" s="159"/>
      <c r="BA496" s="159"/>
    </row>
    <row r="497" spans="2:53" ht="17.399999999999999" customHeight="1">
      <c r="B497" s="159"/>
      <c r="C497" s="159"/>
      <c r="D497" s="159"/>
      <c r="E497" s="159"/>
      <c r="F497" s="159"/>
      <c r="G497" s="159"/>
      <c r="H497" s="159"/>
      <c r="I497" s="159"/>
      <c r="J497" s="224"/>
      <c r="K497" s="159"/>
      <c r="L497" s="159"/>
      <c r="M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c r="AT497" s="159"/>
      <c r="AU497" s="159"/>
      <c r="AV497" s="159"/>
      <c r="AW497" s="159"/>
      <c r="AX497" s="159"/>
      <c r="AY497" s="159"/>
      <c r="AZ497" s="159"/>
      <c r="BA497" s="159"/>
    </row>
    <row r="498" spans="2:53" ht="17.399999999999999" customHeight="1">
      <c r="B498" s="159"/>
      <c r="C498" s="159"/>
      <c r="D498" s="159"/>
      <c r="E498" s="159"/>
      <c r="F498" s="159"/>
      <c r="G498" s="159"/>
      <c r="H498" s="159"/>
      <c r="I498" s="159"/>
      <c r="J498" s="224"/>
      <c r="K498" s="159"/>
      <c r="L498" s="159"/>
      <c r="M498" s="159"/>
      <c r="O498" s="159"/>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c r="AT498" s="159"/>
      <c r="AU498" s="159"/>
      <c r="AV498" s="159"/>
      <c r="AW498" s="159"/>
      <c r="AX498" s="159"/>
      <c r="AY498" s="159"/>
      <c r="AZ498" s="159"/>
      <c r="BA498" s="159"/>
    </row>
    <row r="499" spans="2:53" ht="17.399999999999999" customHeight="1">
      <c r="B499" s="159"/>
      <c r="C499" s="159"/>
      <c r="D499" s="159"/>
      <c r="E499" s="159"/>
      <c r="F499" s="159"/>
      <c r="G499" s="159"/>
      <c r="H499" s="159"/>
      <c r="I499" s="159"/>
      <c r="J499" s="224"/>
      <c r="K499" s="159"/>
      <c r="L499" s="159"/>
      <c r="M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c r="AT499" s="159"/>
      <c r="AU499" s="159"/>
      <c r="AV499" s="159"/>
      <c r="AW499" s="159"/>
      <c r="AX499" s="159"/>
      <c r="AY499" s="159"/>
      <c r="AZ499" s="159"/>
      <c r="BA499" s="159"/>
    </row>
    <row r="500" spans="2:53" ht="17.399999999999999" customHeight="1">
      <c r="B500" s="159"/>
      <c r="C500" s="159"/>
      <c r="D500" s="159"/>
      <c r="E500" s="159"/>
      <c r="F500" s="159"/>
      <c r="G500" s="159"/>
      <c r="H500" s="159"/>
      <c r="I500" s="159"/>
      <c r="J500" s="224"/>
      <c r="K500" s="159"/>
      <c r="L500" s="159"/>
      <c r="M500" s="159"/>
      <c r="O500" s="159"/>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c r="AP500" s="159"/>
      <c r="AQ500" s="159"/>
      <c r="AR500" s="159"/>
      <c r="AS500" s="159"/>
      <c r="AT500" s="159"/>
      <c r="AU500" s="159"/>
      <c r="AV500" s="159"/>
      <c r="AW500" s="159"/>
      <c r="AX500" s="159"/>
      <c r="AY500" s="159"/>
      <c r="AZ500" s="159"/>
      <c r="BA500" s="159"/>
    </row>
    <row r="501" spans="2:53" ht="17.399999999999999" customHeight="1">
      <c r="B501" s="159"/>
      <c r="C501" s="159"/>
      <c r="D501" s="159"/>
      <c r="E501" s="159"/>
      <c r="F501" s="159"/>
      <c r="G501" s="159"/>
      <c r="H501" s="159"/>
      <c r="I501" s="159"/>
      <c r="J501" s="224"/>
      <c r="K501" s="159"/>
      <c r="L501" s="159"/>
      <c r="M501" s="159"/>
      <c r="O501" s="159"/>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c r="AR501" s="159"/>
      <c r="AS501" s="159"/>
      <c r="AT501" s="159"/>
      <c r="AU501" s="159"/>
      <c r="AV501" s="159"/>
      <c r="AW501" s="159"/>
      <c r="AX501" s="159"/>
      <c r="AY501" s="159"/>
      <c r="AZ501" s="159"/>
      <c r="BA501" s="159"/>
    </row>
    <row r="502" spans="2:53" ht="17.399999999999999" customHeight="1">
      <c r="B502" s="159"/>
      <c r="C502" s="159"/>
      <c r="D502" s="159"/>
      <c r="E502" s="159"/>
      <c r="F502" s="159"/>
      <c r="G502" s="159"/>
      <c r="H502" s="159"/>
      <c r="I502" s="159"/>
      <c r="J502" s="224"/>
      <c r="K502" s="159"/>
      <c r="L502" s="159"/>
      <c r="M502" s="159"/>
      <c r="O502" s="159"/>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c r="AR502" s="159"/>
      <c r="AS502" s="159"/>
      <c r="AT502" s="159"/>
      <c r="AU502" s="159"/>
      <c r="AV502" s="159"/>
      <c r="AW502" s="159"/>
      <c r="AX502" s="159"/>
      <c r="AY502" s="159"/>
      <c r="AZ502" s="159"/>
      <c r="BA502" s="159"/>
    </row>
    <row r="503" spans="2:53" ht="17.399999999999999" customHeight="1">
      <c r="B503" s="159"/>
      <c r="C503" s="159"/>
      <c r="D503" s="159"/>
      <c r="E503" s="159"/>
      <c r="F503" s="159"/>
      <c r="G503" s="159"/>
      <c r="H503" s="159"/>
      <c r="I503" s="159"/>
      <c r="J503" s="224"/>
      <c r="K503" s="159"/>
      <c r="L503" s="159"/>
      <c r="M503" s="159"/>
      <c r="O503" s="159"/>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c r="AR503" s="159"/>
      <c r="AS503" s="159"/>
      <c r="AT503" s="159"/>
      <c r="AU503" s="159"/>
      <c r="AV503" s="159"/>
      <c r="AW503" s="159"/>
      <c r="AX503" s="159"/>
      <c r="AY503" s="159"/>
      <c r="AZ503" s="159"/>
      <c r="BA503" s="159"/>
    </row>
    <row r="504" spans="2:53" ht="17.399999999999999" customHeight="1">
      <c r="B504" s="159"/>
      <c r="C504" s="159"/>
      <c r="D504" s="159"/>
      <c r="E504" s="159"/>
      <c r="F504" s="159"/>
      <c r="G504" s="159"/>
      <c r="H504" s="159"/>
      <c r="I504" s="159"/>
      <c r="J504" s="224"/>
      <c r="K504" s="159"/>
      <c r="L504" s="159"/>
      <c r="M504" s="159"/>
      <c r="O504" s="159"/>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c r="AR504" s="159"/>
      <c r="AS504" s="159"/>
      <c r="AT504" s="159"/>
      <c r="AU504" s="159"/>
      <c r="AV504" s="159"/>
      <c r="AW504" s="159"/>
      <c r="AX504" s="159"/>
      <c r="AY504" s="159"/>
      <c r="AZ504" s="159"/>
      <c r="BA504" s="159"/>
    </row>
    <row r="505" spans="2:53" ht="17.399999999999999" customHeight="1">
      <c r="B505" s="159"/>
      <c r="C505" s="159"/>
      <c r="D505" s="159"/>
      <c r="E505" s="159"/>
      <c r="F505" s="159"/>
      <c r="G505" s="159"/>
      <c r="H505" s="159"/>
      <c r="I505" s="159"/>
      <c r="J505" s="224"/>
      <c r="K505" s="159"/>
      <c r="L505" s="159"/>
      <c r="M505" s="159"/>
      <c r="O505" s="159"/>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c r="AR505" s="159"/>
      <c r="AS505" s="159"/>
      <c r="AT505" s="159"/>
      <c r="AU505" s="159"/>
      <c r="AV505" s="159"/>
      <c r="AW505" s="159"/>
      <c r="AX505" s="159"/>
      <c r="AY505" s="159"/>
      <c r="AZ505" s="159"/>
      <c r="BA505" s="159"/>
    </row>
    <row r="506" spans="2:53" ht="17.399999999999999" customHeight="1">
      <c r="B506" s="159"/>
      <c r="C506" s="159"/>
      <c r="D506" s="159"/>
      <c r="E506" s="159"/>
      <c r="F506" s="159"/>
      <c r="G506" s="159"/>
      <c r="H506" s="159"/>
      <c r="I506" s="159"/>
      <c r="J506" s="224"/>
      <c r="K506" s="159"/>
      <c r="L506" s="159"/>
      <c r="M506" s="159"/>
      <c r="O506" s="159"/>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c r="AT506" s="159"/>
      <c r="AU506" s="159"/>
      <c r="AV506" s="159"/>
      <c r="AW506" s="159"/>
      <c r="AX506" s="159"/>
      <c r="AY506" s="159"/>
      <c r="AZ506" s="159"/>
      <c r="BA506" s="159"/>
    </row>
    <row r="507" spans="2:53" ht="17.399999999999999" customHeight="1">
      <c r="B507" s="159"/>
      <c r="C507" s="159"/>
      <c r="D507" s="159"/>
      <c r="E507" s="159"/>
      <c r="F507" s="159"/>
      <c r="G507" s="159"/>
      <c r="H507" s="159"/>
      <c r="I507" s="159"/>
      <c r="J507" s="224"/>
      <c r="K507" s="159"/>
      <c r="L507" s="159"/>
      <c r="M507" s="159"/>
      <c r="O507" s="159"/>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c r="AR507" s="159"/>
      <c r="AS507" s="159"/>
      <c r="AT507" s="159"/>
      <c r="AU507" s="159"/>
      <c r="AV507" s="159"/>
      <c r="AW507" s="159"/>
      <c r="AX507" s="159"/>
      <c r="AY507" s="159"/>
      <c r="AZ507" s="159"/>
      <c r="BA507" s="159"/>
    </row>
    <row r="508" spans="2:53" ht="17.399999999999999" customHeight="1">
      <c r="B508" s="159"/>
      <c r="C508" s="159"/>
      <c r="D508" s="159"/>
      <c r="E508" s="159"/>
      <c r="F508" s="159"/>
      <c r="G508" s="159"/>
      <c r="H508" s="159"/>
      <c r="I508" s="159"/>
      <c r="J508" s="224"/>
      <c r="K508" s="159"/>
      <c r="L508" s="159"/>
      <c r="M508" s="159"/>
      <c r="O508" s="159"/>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c r="AR508" s="159"/>
      <c r="AS508" s="159"/>
      <c r="AT508" s="159"/>
      <c r="AU508" s="159"/>
      <c r="AV508" s="159"/>
      <c r="AW508" s="159"/>
      <c r="AX508" s="159"/>
      <c r="AY508" s="159"/>
      <c r="AZ508" s="159"/>
      <c r="BA508" s="159"/>
    </row>
    <row r="509" spans="2:53" ht="17.399999999999999" customHeight="1">
      <c r="B509" s="159"/>
      <c r="C509" s="159"/>
      <c r="D509" s="159"/>
      <c r="E509" s="159"/>
      <c r="F509" s="159"/>
      <c r="G509" s="159"/>
      <c r="H509" s="159"/>
      <c r="I509" s="159"/>
      <c r="J509" s="224"/>
      <c r="K509" s="159"/>
      <c r="L509" s="159"/>
      <c r="M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c r="AR509" s="159"/>
      <c r="AS509" s="159"/>
      <c r="AT509" s="159"/>
      <c r="AU509" s="159"/>
      <c r="AV509" s="159"/>
      <c r="AW509" s="159"/>
      <c r="AX509" s="159"/>
      <c r="AY509" s="159"/>
      <c r="AZ509" s="159"/>
      <c r="BA509" s="159"/>
    </row>
    <row r="510" spans="2:53" ht="17.399999999999999" customHeight="1">
      <c r="B510" s="159"/>
      <c r="C510" s="159"/>
      <c r="D510" s="159"/>
      <c r="E510" s="159"/>
      <c r="F510" s="159"/>
      <c r="G510" s="159"/>
      <c r="H510" s="159"/>
      <c r="I510" s="159"/>
      <c r="J510" s="224"/>
      <c r="K510" s="159"/>
      <c r="L510" s="159"/>
      <c r="M510" s="159"/>
      <c r="O510" s="159"/>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c r="AR510" s="159"/>
      <c r="AS510" s="159"/>
      <c r="AT510" s="159"/>
      <c r="AU510" s="159"/>
      <c r="AV510" s="159"/>
      <c r="AW510" s="159"/>
      <c r="AX510" s="159"/>
      <c r="AY510" s="159"/>
      <c r="AZ510" s="159"/>
      <c r="BA510" s="159"/>
    </row>
    <row r="511" spans="2:53" ht="17.399999999999999" customHeight="1">
      <c r="B511" s="159"/>
      <c r="C511" s="159"/>
      <c r="D511" s="159"/>
      <c r="E511" s="159"/>
      <c r="F511" s="159"/>
      <c r="G511" s="159"/>
      <c r="H511" s="159"/>
      <c r="I511" s="159"/>
      <c r="J511" s="224"/>
      <c r="K511" s="159"/>
      <c r="L511" s="159"/>
      <c r="M511" s="159"/>
      <c r="O511" s="159"/>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c r="AT511" s="159"/>
      <c r="AU511" s="159"/>
      <c r="AV511" s="159"/>
      <c r="AW511" s="159"/>
      <c r="AX511" s="159"/>
      <c r="AY511" s="159"/>
      <c r="AZ511" s="159"/>
      <c r="BA511" s="159"/>
    </row>
    <row r="512" spans="2:53" ht="17.399999999999999" customHeight="1">
      <c r="B512" s="159"/>
      <c r="C512" s="159"/>
      <c r="D512" s="159"/>
      <c r="E512" s="159"/>
      <c r="F512" s="159"/>
      <c r="G512" s="159"/>
      <c r="H512" s="159"/>
      <c r="I512" s="159"/>
      <c r="J512" s="224"/>
      <c r="K512" s="159"/>
      <c r="L512" s="159"/>
      <c r="M512" s="159"/>
      <c r="O512" s="159"/>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c r="AT512" s="159"/>
      <c r="AU512" s="159"/>
      <c r="AV512" s="159"/>
      <c r="AW512" s="159"/>
      <c r="AX512" s="159"/>
      <c r="AY512" s="159"/>
      <c r="AZ512" s="159"/>
      <c r="BA512" s="159"/>
    </row>
    <row r="513" spans="2:53" ht="17.399999999999999" customHeight="1">
      <c r="B513" s="159"/>
      <c r="C513" s="159"/>
      <c r="D513" s="159"/>
      <c r="E513" s="159"/>
      <c r="F513" s="159"/>
      <c r="G513" s="159"/>
      <c r="H513" s="159"/>
      <c r="I513" s="159"/>
      <c r="J513" s="224"/>
      <c r="K513" s="159"/>
      <c r="L513" s="159"/>
      <c r="M513" s="159"/>
      <c r="O513" s="159"/>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c r="AT513" s="159"/>
      <c r="AU513" s="159"/>
      <c r="AV513" s="159"/>
      <c r="AW513" s="159"/>
      <c r="AX513" s="159"/>
      <c r="AY513" s="159"/>
      <c r="AZ513" s="159"/>
      <c r="BA513" s="159"/>
    </row>
    <row r="514" spans="2:53" ht="17.399999999999999" customHeight="1">
      <c r="B514" s="159"/>
      <c r="C514" s="159"/>
      <c r="D514" s="159"/>
      <c r="E514" s="159"/>
      <c r="F514" s="159"/>
      <c r="G514" s="159"/>
      <c r="H514" s="159"/>
      <c r="I514" s="159"/>
      <c r="J514" s="224"/>
      <c r="K514" s="159"/>
      <c r="L514" s="159"/>
      <c r="M514" s="159"/>
      <c r="O514" s="159"/>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c r="AR514" s="159"/>
      <c r="AS514" s="159"/>
      <c r="AT514" s="159"/>
      <c r="AU514" s="159"/>
      <c r="AV514" s="159"/>
      <c r="AW514" s="159"/>
      <c r="AX514" s="159"/>
      <c r="AY514" s="159"/>
      <c r="AZ514" s="159"/>
      <c r="BA514" s="159"/>
    </row>
    <row r="515" spans="2:53" ht="17.399999999999999" customHeight="1">
      <c r="B515" s="159"/>
      <c r="C515" s="159"/>
      <c r="D515" s="159"/>
      <c r="E515" s="159"/>
      <c r="F515" s="159"/>
      <c r="G515" s="159"/>
      <c r="H515" s="159"/>
      <c r="I515" s="159"/>
      <c r="J515" s="224"/>
      <c r="K515" s="159"/>
      <c r="L515" s="159"/>
      <c r="M515" s="159"/>
      <c r="O515" s="159"/>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c r="AR515" s="159"/>
      <c r="AS515" s="159"/>
      <c r="AT515" s="159"/>
      <c r="AU515" s="159"/>
      <c r="AV515" s="159"/>
      <c r="AW515" s="159"/>
      <c r="AX515" s="159"/>
      <c r="AY515" s="159"/>
      <c r="AZ515" s="159"/>
      <c r="BA515" s="159"/>
    </row>
    <row r="516" spans="2:53" ht="17.399999999999999" customHeight="1">
      <c r="B516" s="159"/>
      <c r="C516" s="159"/>
      <c r="D516" s="159"/>
      <c r="E516" s="159"/>
      <c r="F516" s="159"/>
      <c r="G516" s="159"/>
      <c r="H516" s="159"/>
      <c r="I516" s="159"/>
      <c r="J516" s="224"/>
      <c r="K516" s="159"/>
      <c r="L516" s="159"/>
      <c r="M516" s="159"/>
      <c r="O516" s="159"/>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c r="AT516" s="159"/>
      <c r="AU516" s="159"/>
      <c r="AV516" s="159"/>
      <c r="AW516" s="159"/>
      <c r="AX516" s="159"/>
      <c r="AY516" s="159"/>
      <c r="AZ516" s="159"/>
      <c r="BA516" s="159"/>
    </row>
    <row r="517" spans="2:53" ht="17.399999999999999" customHeight="1">
      <c r="B517" s="159"/>
      <c r="C517" s="159"/>
      <c r="D517" s="159"/>
      <c r="E517" s="159"/>
      <c r="F517" s="159"/>
      <c r="G517" s="159"/>
      <c r="H517" s="159"/>
      <c r="I517" s="159"/>
      <c r="J517" s="224"/>
      <c r="K517" s="159"/>
      <c r="L517" s="159"/>
      <c r="M517" s="159"/>
      <c r="O517" s="159"/>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c r="AR517" s="159"/>
      <c r="AS517" s="159"/>
      <c r="AT517" s="159"/>
      <c r="AU517" s="159"/>
      <c r="AV517" s="159"/>
      <c r="AW517" s="159"/>
      <c r="AX517" s="159"/>
      <c r="AY517" s="159"/>
      <c r="AZ517" s="159"/>
      <c r="BA517" s="159"/>
    </row>
    <row r="518" spans="2:53" ht="17.399999999999999" customHeight="1">
      <c r="B518" s="159"/>
      <c r="C518" s="159"/>
      <c r="D518" s="159"/>
      <c r="E518" s="159"/>
      <c r="F518" s="159"/>
      <c r="G518" s="159"/>
      <c r="H518" s="159"/>
      <c r="I518" s="159"/>
      <c r="J518" s="224"/>
      <c r="K518" s="159"/>
      <c r="L518" s="159"/>
      <c r="M518" s="159"/>
      <c r="O518" s="159"/>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c r="AR518" s="159"/>
      <c r="AS518" s="159"/>
      <c r="AT518" s="159"/>
      <c r="AU518" s="159"/>
      <c r="AV518" s="159"/>
      <c r="AW518" s="159"/>
      <c r="AX518" s="159"/>
      <c r="AY518" s="159"/>
      <c r="AZ518" s="159"/>
      <c r="BA518" s="159"/>
    </row>
    <row r="519" spans="2:53" ht="17.399999999999999" customHeight="1">
      <c r="B519" s="159"/>
      <c r="C519" s="159"/>
      <c r="D519" s="159"/>
      <c r="E519" s="159"/>
      <c r="F519" s="159"/>
      <c r="G519" s="159"/>
      <c r="H519" s="159"/>
      <c r="I519" s="159"/>
      <c r="J519" s="224"/>
      <c r="K519" s="159"/>
      <c r="L519" s="159"/>
      <c r="M519" s="159"/>
      <c r="O519" s="159"/>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c r="AR519" s="159"/>
      <c r="AS519" s="159"/>
      <c r="AT519" s="159"/>
      <c r="AU519" s="159"/>
      <c r="AV519" s="159"/>
      <c r="AW519" s="159"/>
      <c r="AX519" s="159"/>
      <c r="AY519" s="159"/>
      <c r="AZ519" s="159"/>
      <c r="BA519" s="159"/>
    </row>
    <row r="520" spans="2:53" ht="17.399999999999999" customHeight="1">
      <c r="B520" s="159"/>
      <c r="C520" s="159"/>
      <c r="D520" s="159"/>
      <c r="E520" s="159"/>
      <c r="F520" s="159"/>
      <c r="G520" s="159"/>
      <c r="H520" s="159"/>
      <c r="I520" s="159"/>
      <c r="J520" s="224"/>
      <c r="K520" s="159"/>
      <c r="L520" s="159"/>
      <c r="M520" s="159"/>
      <c r="O520" s="159"/>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c r="AR520" s="159"/>
      <c r="AS520" s="159"/>
      <c r="AT520" s="159"/>
      <c r="AU520" s="159"/>
      <c r="AV520" s="159"/>
      <c r="AW520" s="159"/>
      <c r="AX520" s="159"/>
      <c r="AY520" s="159"/>
      <c r="AZ520" s="159"/>
      <c r="BA520" s="159"/>
    </row>
    <row r="521" spans="2:53" ht="17.399999999999999" customHeight="1">
      <c r="B521" s="159"/>
      <c r="C521" s="159"/>
      <c r="D521" s="159"/>
      <c r="E521" s="159"/>
      <c r="F521" s="159"/>
      <c r="G521" s="159"/>
      <c r="H521" s="159"/>
      <c r="I521" s="159"/>
      <c r="J521" s="224"/>
      <c r="K521" s="159"/>
      <c r="L521" s="159"/>
      <c r="M521" s="159"/>
      <c r="O521" s="159"/>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c r="AR521" s="159"/>
      <c r="AS521" s="159"/>
      <c r="AT521" s="159"/>
      <c r="AU521" s="159"/>
      <c r="AV521" s="159"/>
      <c r="AW521" s="159"/>
      <c r="AX521" s="159"/>
      <c r="AY521" s="159"/>
      <c r="AZ521" s="159"/>
      <c r="BA521" s="159"/>
    </row>
    <row r="522" spans="2:53" ht="17.399999999999999" customHeight="1">
      <c r="B522" s="159"/>
      <c r="C522" s="159"/>
      <c r="D522" s="159"/>
      <c r="E522" s="159"/>
      <c r="F522" s="159"/>
      <c r="G522" s="159"/>
      <c r="H522" s="159"/>
      <c r="I522" s="159"/>
      <c r="J522" s="224"/>
      <c r="K522" s="159"/>
      <c r="L522" s="159"/>
      <c r="M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c r="AT522" s="159"/>
      <c r="AU522" s="159"/>
      <c r="AV522" s="159"/>
      <c r="AW522" s="159"/>
      <c r="AX522" s="159"/>
      <c r="AY522" s="159"/>
      <c r="AZ522" s="159"/>
      <c r="BA522" s="159"/>
    </row>
    <row r="523" spans="2:53" ht="17.399999999999999" customHeight="1">
      <c r="B523" s="159"/>
      <c r="C523" s="159"/>
      <c r="D523" s="159"/>
      <c r="E523" s="159"/>
      <c r="F523" s="159"/>
      <c r="G523" s="159"/>
      <c r="H523" s="159"/>
      <c r="I523" s="159"/>
      <c r="J523" s="224"/>
      <c r="K523" s="159"/>
      <c r="L523" s="159"/>
      <c r="M523" s="159"/>
      <c r="O523" s="159"/>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c r="AP523" s="159"/>
      <c r="AQ523" s="159"/>
      <c r="AR523" s="159"/>
      <c r="AS523" s="159"/>
      <c r="AT523" s="159"/>
      <c r="AU523" s="159"/>
      <c r="AV523" s="159"/>
      <c r="AW523" s="159"/>
      <c r="AX523" s="159"/>
      <c r="AY523" s="159"/>
      <c r="AZ523" s="159"/>
      <c r="BA523" s="159"/>
    </row>
    <row r="524" spans="2:53" ht="17.399999999999999" customHeight="1">
      <c r="B524" s="159"/>
      <c r="C524" s="159"/>
      <c r="D524" s="159"/>
      <c r="E524" s="159"/>
      <c r="F524" s="159"/>
      <c r="G524" s="159"/>
      <c r="H524" s="159"/>
      <c r="I524" s="159"/>
      <c r="J524" s="224"/>
      <c r="K524" s="159"/>
      <c r="L524" s="159"/>
      <c r="M524" s="159"/>
      <c r="O524" s="159"/>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c r="AR524" s="159"/>
      <c r="AS524" s="159"/>
      <c r="AT524" s="159"/>
      <c r="AU524" s="159"/>
      <c r="AV524" s="159"/>
      <c r="AW524" s="159"/>
      <c r="AX524" s="159"/>
      <c r="AY524" s="159"/>
      <c r="AZ524" s="159"/>
      <c r="BA524" s="159"/>
    </row>
    <row r="525" spans="2:53" ht="17.399999999999999" customHeight="1">
      <c r="B525" s="159"/>
      <c r="C525" s="159"/>
      <c r="D525" s="159"/>
      <c r="E525" s="159"/>
      <c r="F525" s="159"/>
      <c r="G525" s="159"/>
      <c r="H525" s="159"/>
      <c r="I525" s="159"/>
      <c r="J525" s="224"/>
      <c r="K525" s="159"/>
      <c r="L525" s="159"/>
      <c r="M525" s="159"/>
      <c r="O525" s="159"/>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c r="AR525" s="159"/>
      <c r="AS525" s="159"/>
      <c r="AT525" s="159"/>
      <c r="AU525" s="159"/>
      <c r="AV525" s="159"/>
      <c r="AW525" s="159"/>
      <c r="AX525" s="159"/>
      <c r="AY525" s="159"/>
      <c r="AZ525" s="159"/>
      <c r="BA525" s="159"/>
    </row>
    <row r="526" spans="2:53" ht="17.399999999999999" customHeight="1">
      <c r="B526" s="159"/>
      <c r="C526" s="159"/>
      <c r="D526" s="159"/>
      <c r="E526" s="159"/>
      <c r="F526" s="159"/>
      <c r="G526" s="159"/>
      <c r="H526" s="159"/>
      <c r="I526" s="159"/>
      <c r="J526" s="224"/>
      <c r="K526" s="159"/>
      <c r="L526" s="159"/>
      <c r="M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c r="AR526" s="159"/>
      <c r="AS526" s="159"/>
      <c r="AT526" s="159"/>
      <c r="AU526" s="159"/>
      <c r="AV526" s="159"/>
      <c r="AW526" s="159"/>
      <c r="AX526" s="159"/>
      <c r="AY526" s="159"/>
      <c r="AZ526" s="159"/>
      <c r="BA526" s="159"/>
    </row>
    <row r="527" spans="2:53" ht="17.399999999999999" customHeight="1">
      <c r="B527" s="159"/>
      <c r="C527" s="159"/>
      <c r="D527" s="159"/>
      <c r="E527" s="159"/>
      <c r="F527" s="159"/>
      <c r="G527" s="159"/>
      <c r="H527" s="159"/>
      <c r="I527" s="159"/>
      <c r="J527" s="224"/>
      <c r="K527" s="159"/>
      <c r="L527" s="159"/>
      <c r="M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c r="AR527" s="159"/>
      <c r="AS527" s="159"/>
      <c r="AT527" s="159"/>
      <c r="AU527" s="159"/>
      <c r="AV527" s="159"/>
      <c r="AW527" s="159"/>
      <c r="AX527" s="159"/>
      <c r="AY527" s="159"/>
      <c r="AZ527" s="159"/>
      <c r="BA527" s="159"/>
    </row>
    <row r="528" spans="2:53" ht="17.399999999999999" customHeight="1">
      <c r="B528" s="159"/>
      <c r="C528" s="159"/>
      <c r="D528" s="159"/>
      <c r="E528" s="159"/>
      <c r="F528" s="159"/>
      <c r="G528" s="159"/>
      <c r="H528" s="159"/>
      <c r="I528" s="159"/>
      <c r="J528" s="224"/>
      <c r="K528" s="159"/>
      <c r="L528" s="159"/>
      <c r="M528" s="159"/>
      <c r="O528" s="159"/>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c r="AP528" s="159"/>
      <c r="AQ528" s="159"/>
      <c r="AR528" s="159"/>
      <c r="AS528" s="159"/>
      <c r="AT528" s="159"/>
      <c r="AU528" s="159"/>
      <c r="AV528" s="159"/>
      <c r="AW528" s="159"/>
      <c r="AX528" s="159"/>
      <c r="AY528" s="159"/>
      <c r="AZ528" s="159"/>
      <c r="BA528" s="159"/>
    </row>
    <row r="529" spans="2:53" ht="17.399999999999999" customHeight="1">
      <c r="B529" s="159"/>
      <c r="C529" s="159"/>
      <c r="D529" s="159"/>
      <c r="E529" s="159"/>
      <c r="F529" s="159"/>
      <c r="G529" s="159"/>
      <c r="H529" s="159"/>
      <c r="I529" s="159"/>
      <c r="J529" s="224"/>
      <c r="K529" s="159"/>
      <c r="L529" s="159"/>
      <c r="M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c r="AR529" s="159"/>
      <c r="AS529" s="159"/>
      <c r="AT529" s="159"/>
      <c r="AU529" s="159"/>
      <c r="AV529" s="159"/>
      <c r="AW529" s="159"/>
      <c r="AX529" s="159"/>
      <c r="AY529" s="159"/>
      <c r="AZ529" s="159"/>
      <c r="BA529" s="159"/>
    </row>
    <row r="530" spans="2:53" ht="17.399999999999999" customHeight="1">
      <c r="B530" s="159"/>
      <c r="C530" s="159"/>
      <c r="D530" s="159"/>
      <c r="E530" s="159"/>
      <c r="F530" s="159"/>
      <c r="G530" s="159"/>
      <c r="H530" s="159"/>
      <c r="I530" s="159"/>
      <c r="J530" s="224"/>
      <c r="K530" s="159"/>
      <c r="L530" s="159"/>
      <c r="M530" s="159"/>
      <c r="O530" s="159"/>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c r="AR530" s="159"/>
      <c r="AS530" s="159"/>
      <c r="AT530" s="159"/>
      <c r="AU530" s="159"/>
      <c r="AV530" s="159"/>
      <c r="AW530" s="159"/>
      <c r="AX530" s="159"/>
      <c r="AY530" s="159"/>
      <c r="AZ530" s="159"/>
      <c r="BA530" s="159"/>
    </row>
    <row r="531" spans="2:53" ht="17.399999999999999" customHeight="1">
      <c r="B531" s="159"/>
      <c r="C531" s="159"/>
      <c r="D531" s="159"/>
      <c r="E531" s="159"/>
      <c r="F531" s="159"/>
      <c r="G531" s="159"/>
      <c r="H531" s="159"/>
      <c r="I531" s="159"/>
      <c r="J531" s="224"/>
      <c r="K531" s="159"/>
      <c r="L531" s="159"/>
      <c r="M531" s="159"/>
      <c r="O531" s="159"/>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c r="AT531" s="159"/>
      <c r="AU531" s="159"/>
      <c r="AV531" s="159"/>
      <c r="AW531" s="159"/>
      <c r="AX531" s="159"/>
      <c r="AY531" s="159"/>
      <c r="AZ531" s="159"/>
      <c r="BA531" s="159"/>
    </row>
    <row r="532" spans="2:53" ht="17.399999999999999" customHeight="1">
      <c r="B532" s="159"/>
      <c r="C532" s="159"/>
      <c r="D532" s="159"/>
      <c r="E532" s="159"/>
      <c r="F532" s="159"/>
      <c r="G532" s="159"/>
      <c r="H532" s="159"/>
      <c r="I532" s="159"/>
      <c r="J532" s="224"/>
      <c r="K532" s="159"/>
      <c r="L532" s="159"/>
      <c r="M532" s="159"/>
      <c r="O532" s="159"/>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c r="AT532" s="159"/>
      <c r="AU532" s="159"/>
      <c r="AV532" s="159"/>
      <c r="AW532" s="159"/>
      <c r="AX532" s="159"/>
      <c r="AY532" s="159"/>
      <c r="AZ532" s="159"/>
      <c r="BA532" s="159"/>
    </row>
    <row r="533" spans="2:53" ht="17.399999999999999" customHeight="1">
      <c r="B533" s="159"/>
      <c r="C533" s="159"/>
      <c r="D533" s="159"/>
      <c r="E533" s="159"/>
      <c r="F533" s="159"/>
      <c r="G533" s="159"/>
      <c r="H533" s="159"/>
      <c r="I533" s="159"/>
      <c r="J533" s="224"/>
      <c r="K533" s="159"/>
      <c r="L533" s="159"/>
      <c r="M533" s="159"/>
      <c r="O533" s="159"/>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c r="AT533" s="159"/>
      <c r="AU533" s="159"/>
      <c r="AV533" s="159"/>
      <c r="AW533" s="159"/>
      <c r="AX533" s="159"/>
      <c r="AY533" s="159"/>
      <c r="AZ533" s="159"/>
      <c r="BA533" s="159"/>
    </row>
    <row r="534" spans="2:53" ht="17.399999999999999" customHeight="1">
      <c r="B534" s="159"/>
      <c r="C534" s="159"/>
      <c r="D534" s="159"/>
      <c r="E534" s="159"/>
      <c r="F534" s="159"/>
      <c r="G534" s="159"/>
      <c r="H534" s="159"/>
      <c r="I534" s="159"/>
      <c r="J534" s="224"/>
      <c r="K534" s="159"/>
      <c r="L534" s="159"/>
      <c r="M534" s="159"/>
      <c r="O534" s="159"/>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c r="AT534" s="159"/>
      <c r="AU534" s="159"/>
      <c r="AV534" s="159"/>
      <c r="AW534" s="159"/>
      <c r="AX534" s="159"/>
      <c r="AY534" s="159"/>
      <c r="AZ534" s="159"/>
      <c r="BA534" s="159"/>
    </row>
    <row r="535" spans="2:53" ht="17.399999999999999" customHeight="1">
      <c r="B535" s="159"/>
      <c r="C535" s="159"/>
      <c r="D535" s="159"/>
      <c r="E535" s="159"/>
      <c r="F535" s="159"/>
      <c r="G535" s="159"/>
      <c r="H535" s="159"/>
      <c r="I535" s="159"/>
      <c r="J535" s="224"/>
      <c r="K535" s="159"/>
      <c r="L535" s="159"/>
      <c r="M535" s="159"/>
      <c r="O535" s="159"/>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c r="AR535" s="159"/>
      <c r="AS535" s="159"/>
      <c r="AT535" s="159"/>
      <c r="AU535" s="159"/>
      <c r="AV535" s="159"/>
      <c r="AW535" s="159"/>
      <c r="AX535" s="159"/>
      <c r="AY535" s="159"/>
      <c r="AZ535" s="159"/>
      <c r="BA535" s="159"/>
    </row>
    <row r="536" spans="2:53" ht="17.399999999999999" customHeight="1">
      <c r="B536" s="159"/>
      <c r="C536" s="159"/>
      <c r="D536" s="159"/>
      <c r="E536" s="159"/>
      <c r="F536" s="159"/>
      <c r="G536" s="159"/>
      <c r="H536" s="159"/>
      <c r="I536" s="159"/>
      <c r="J536" s="224"/>
      <c r="K536" s="159"/>
      <c r="L536" s="159"/>
      <c r="M536" s="159"/>
      <c r="O536" s="159"/>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c r="AR536" s="159"/>
      <c r="AS536" s="159"/>
      <c r="AT536" s="159"/>
      <c r="AU536" s="159"/>
      <c r="AV536" s="159"/>
      <c r="AW536" s="159"/>
      <c r="AX536" s="159"/>
      <c r="AY536" s="159"/>
      <c r="AZ536" s="159"/>
      <c r="BA536" s="159"/>
    </row>
    <row r="537" spans="2:53" ht="17.399999999999999" customHeight="1">
      <c r="B537" s="159"/>
      <c r="C537" s="159"/>
      <c r="D537" s="159"/>
      <c r="E537" s="159"/>
      <c r="F537" s="159"/>
      <c r="G537" s="159"/>
      <c r="H537" s="159"/>
      <c r="I537" s="159"/>
      <c r="J537" s="224"/>
      <c r="K537" s="159"/>
      <c r="L537" s="159"/>
      <c r="M537" s="159"/>
      <c r="O537" s="159"/>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c r="AR537" s="159"/>
      <c r="AS537" s="159"/>
      <c r="AT537" s="159"/>
      <c r="AU537" s="159"/>
      <c r="AV537" s="159"/>
      <c r="AW537" s="159"/>
      <c r="AX537" s="159"/>
      <c r="AY537" s="159"/>
      <c r="AZ537" s="159"/>
      <c r="BA537" s="159"/>
    </row>
    <row r="538" spans="2:53" ht="17.399999999999999" customHeight="1">
      <c r="B538" s="159"/>
      <c r="C538" s="159"/>
      <c r="D538" s="159"/>
      <c r="E538" s="159"/>
      <c r="F538" s="159"/>
      <c r="G538" s="159"/>
      <c r="H538" s="159"/>
      <c r="I538" s="159"/>
      <c r="J538" s="224"/>
      <c r="K538" s="159"/>
      <c r="L538" s="159"/>
      <c r="M538" s="159"/>
      <c r="O538" s="159"/>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c r="AR538" s="159"/>
      <c r="AS538" s="159"/>
      <c r="AT538" s="159"/>
      <c r="AU538" s="159"/>
      <c r="AV538" s="159"/>
      <c r="AW538" s="159"/>
      <c r="AX538" s="159"/>
      <c r="AY538" s="159"/>
      <c r="AZ538" s="159"/>
      <c r="BA538" s="159"/>
    </row>
    <row r="539" spans="2:53" ht="17.399999999999999" customHeight="1">
      <c r="B539" s="159"/>
      <c r="C539" s="159"/>
      <c r="D539" s="159"/>
      <c r="E539" s="159"/>
      <c r="F539" s="159"/>
      <c r="G539" s="159"/>
      <c r="H539" s="159"/>
      <c r="I539" s="159"/>
      <c r="J539" s="224"/>
      <c r="K539" s="159"/>
      <c r="L539" s="159"/>
      <c r="M539" s="159"/>
      <c r="O539" s="159"/>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c r="AR539" s="159"/>
      <c r="AS539" s="159"/>
      <c r="AT539" s="159"/>
      <c r="AU539" s="159"/>
      <c r="AV539" s="159"/>
      <c r="AW539" s="159"/>
      <c r="AX539" s="159"/>
      <c r="AY539" s="159"/>
      <c r="AZ539" s="159"/>
      <c r="BA539" s="159"/>
    </row>
    <row r="540" spans="2:53" ht="17.399999999999999" customHeight="1">
      <c r="B540" s="159"/>
      <c r="C540" s="159"/>
      <c r="D540" s="159"/>
      <c r="E540" s="159"/>
      <c r="F540" s="159"/>
      <c r="G540" s="159"/>
      <c r="H540" s="159"/>
      <c r="I540" s="159"/>
      <c r="J540" s="224"/>
      <c r="K540" s="159"/>
      <c r="L540" s="159"/>
      <c r="M540" s="159"/>
      <c r="O540" s="159"/>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c r="AR540" s="159"/>
      <c r="AS540" s="159"/>
      <c r="AT540" s="159"/>
      <c r="AU540" s="159"/>
      <c r="AV540" s="159"/>
      <c r="AW540" s="159"/>
      <c r="AX540" s="159"/>
      <c r="AY540" s="159"/>
      <c r="AZ540" s="159"/>
      <c r="BA540" s="159"/>
    </row>
    <row r="541" spans="2:53" ht="17.399999999999999" customHeight="1">
      <c r="B541" s="159"/>
      <c r="C541" s="159"/>
      <c r="D541" s="159"/>
      <c r="E541" s="159"/>
      <c r="F541" s="159"/>
      <c r="G541" s="159"/>
      <c r="H541" s="159"/>
      <c r="I541" s="159"/>
      <c r="J541" s="224"/>
      <c r="K541" s="159"/>
      <c r="L541" s="159"/>
      <c r="M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c r="AR541" s="159"/>
      <c r="AS541" s="159"/>
      <c r="AT541" s="159"/>
      <c r="AU541" s="159"/>
      <c r="AV541" s="159"/>
      <c r="AW541" s="159"/>
      <c r="AX541" s="159"/>
      <c r="AY541" s="159"/>
      <c r="AZ541" s="159"/>
      <c r="BA541" s="159"/>
    </row>
    <row r="542" spans="2:53" ht="17.399999999999999" customHeight="1">
      <c r="B542" s="159"/>
      <c r="C542" s="159"/>
      <c r="D542" s="159"/>
      <c r="E542" s="159"/>
      <c r="F542" s="159"/>
      <c r="G542" s="159"/>
      <c r="H542" s="159"/>
      <c r="I542" s="159"/>
      <c r="J542" s="224"/>
      <c r="K542" s="159"/>
      <c r="L542" s="159"/>
      <c r="M542" s="159"/>
      <c r="O542" s="159"/>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c r="AP542" s="159"/>
      <c r="AQ542" s="159"/>
      <c r="AR542" s="159"/>
      <c r="AS542" s="159"/>
      <c r="AT542" s="159"/>
      <c r="AU542" s="159"/>
      <c r="AV542" s="159"/>
      <c r="AW542" s="159"/>
      <c r="AX542" s="159"/>
      <c r="AY542" s="159"/>
      <c r="AZ542" s="159"/>
      <c r="BA542" s="159"/>
    </row>
    <row r="543" spans="2:53" ht="17.399999999999999" customHeight="1">
      <c r="B543" s="159"/>
      <c r="C543" s="159"/>
      <c r="D543" s="159"/>
      <c r="E543" s="159"/>
      <c r="F543" s="159"/>
      <c r="G543" s="159"/>
      <c r="H543" s="159"/>
      <c r="I543" s="159"/>
      <c r="J543" s="224"/>
      <c r="K543" s="159"/>
      <c r="L543" s="159"/>
      <c r="M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c r="AT543" s="159"/>
      <c r="AU543" s="159"/>
      <c r="AV543" s="159"/>
      <c r="AW543" s="159"/>
      <c r="AX543" s="159"/>
      <c r="AY543" s="159"/>
      <c r="AZ543" s="159"/>
      <c r="BA543" s="159"/>
    </row>
    <row r="544" spans="2:53" ht="17.399999999999999" customHeight="1">
      <c r="B544" s="159"/>
      <c r="C544" s="159"/>
      <c r="D544" s="159"/>
      <c r="E544" s="159"/>
      <c r="F544" s="159"/>
      <c r="G544" s="159"/>
      <c r="H544" s="159"/>
      <c r="I544" s="159"/>
      <c r="J544" s="224"/>
      <c r="K544" s="159"/>
      <c r="L544" s="159"/>
      <c r="M544" s="159"/>
      <c r="O544" s="159"/>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c r="AR544" s="159"/>
      <c r="AS544" s="159"/>
      <c r="AT544" s="159"/>
      <c r="AU544" s="159"/>
      <c r="AV544" s="159"/>
      <c r="AW544" s="159"/>
      <c r="AX544" s="159"/>
      <c r="AY544" s="159"/>
      <c r="AZ544" s="159"/>
      <c r="BA544" s="159"/>
    </row>
    <row r="545" spans="2:53" ht="17.399999999999999" customHeight="1">
      <c r="B545" s="159"/>
      <c r="C545" s="159"/>
      <c r="D545" s="159"/>
      <c r="E545" s="159"/>
      <c r="F545" s="159"/>
      <c r="G545" s="159"/>
      <c r="H545" s="159"/>
      <c r="I545" s="159"/>
      <c r="J545" s="224"/>
      <c r="K545" s="159"/>
      <c r="L545" s="159"/>
      <c r="M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c r="AT545" s="159"/>
      <c r="AU545" s="159"/>
      <c r="AV545" s="159"/>
      <c r="AW545" s="159"/>
      <c r="AX545" s="159"/>
      <c r="AY545" s="159"/>
      <c r="AZ545" s="159"/>
      <c r="BA545" s="159"/>
    </row>
    <row r="546" spans="2:53" ht="17.399999999999999" customHeight="1">
      <c r="B546" s="159"/>
      <c r="C546" s="159"/>
      <c r="D546" s="159"/>
      <c r="E546" s="159"/>
      <c r="F546" s="159"/>
      <c r="G546" s="159"/>
      <c r="H546" s="159"/>
      <c r="I546" s="159"/>
      <c r="J546" s="224"/>
      <c r="K546" s="159"/>
      <c r="L546" s="159"/>
      <c r="M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c r="AR546" s="159"/>
      <c r="AS546" s="159"/>
      <c r="AT546" s="159"/>
      <c r="AU546" s="159"/>
      <c r="AV546" s="159"/>
      <c r="AW546" s="159"/>
      <c r="AX546" s="159"/>
      <c r="AY546" s="159"/>
      <c r="AZ546" s="159"/>
      <c r="BA546" s="159"/>
    </row>
    <row r="547" spans="2:53" ht="17.399999999999999" customHeight="1">
      <c r="B547" s="159"/>
      <c r="C547" s="159"/>
      <c r="D547" s="159"/>
      <c r="E547" s="159"/>
      <c r="F547" s="159"/>
      <c r="G547" s="159"/>
      <c r="H547" s="159"/>
      <c r="I547" s="159"/>
      <c r="J547" s="224"/>
      <c r="K547" s="159"/>
      <c r="L547" s="159"/>
      <c r="M547" s="159"/>
      <c r="O547" s="159"/>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c r="AR547" s="159"/>
      <c r="AS547" s="159"/>
      <c r="AT547" s="159"/>
      <c r="AU547" s="159"/>
      <c r="AV547" s="159"/>
      <c r="AW547" s="159"/>
      <c r="AX547" s="159"/>
      <c r="AY547" s="159"/>
      <c r="AZ547" s="159"/>
      <c r="BA547" s="159"/>
    </row>
    <row r="548" spans="2:53" ht="17.399999999999999" customHeight="1">
      <c r="B548" s="159"/>
      <c r="C548" s="159"/>
      <c r="D548" s="159"/>
      <c r="E548" s="159"/>
      <c r="F548" s="159"/>
      <c r="G548" s="159"/>
      <c r="H548" s="159"/>
      <c r="I548" s="159"/>
      <c r="J548" s="224"/>
      <c r="K548" s="159"/>
      <c r="L548" s="159"/>
      <c r="M548" s="159"/>
      <c r="O548" s="159"/>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c r="AR548" s="159"/>
      <c r="AS548" s="159"/>
      <c r="AT548" s="159"/>
      <c r="AU548" s="159"/>
      <c r="AV548" s="159"/>
      <c r="AW548" s="159"/>
      <c r="AX548" s="159"/>
      <c r="AY548" s="159"/>
      <c r="AZ548" s="159"/>
      <c r="BA548" s="159"/>
    </row>
    <row r="549" spans="2:53" ht="17.399999999999999" customHeight="1">
      <c r="B549" s="159"/>
      <c r="C549" s="159"/>
      <c r="D549" s="159"/>
      <c r="E549" s="159"/>
      <c r="F549" s="159"/>
      <c r="G549" s="159"/>
      <c r="H549" s="159"/>
      <c r="I549" s="159"/>
      <c r="J549" s="224"/>
      <c r="K549" s="159"/>
      <c r="L549" s="159"/>
      <c r="M549" s="159"/>
      <c r="O549" s="159"/>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c r="AR549" s="159"/>
      <c r="AS549" s="159"/>
      <c r="AT549" s="159"/>
      <c r="AU549" s="159"/>
      <c r="AV549" s="159"/>
      <c r="AW549" s="159"/>
      <c r="AX549" s="159"/>
      <c r="AY549" s="159"/>
      <c r="AZ549" s="159"/>
      <c r="BA549" s="159"/>
    </row>
    <row r="550" spans="2:53" ht="17.399999999999999" customHeight="1">
      <c r="B550" s="159"/>
      <c r="C550" s="159"/>
      <c r="D550" s="159"/>
      <c r="E550" s="159"/>
      <c r="F550" s="159"/>
      <c r="G550" s="159"/>
      <c r="H550" s="159"/>
      <c r="I550" s="159"/>
      <c r="J550" s="224"/>
      <c r="K550" s="159"/>
      <c r="L550" s="159"/>
      <c r="M550" s="159"/>
      <c r="O550" s="159"/>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c r="AR550" s="159"/>
      <c r="AS550" s="159"/>
      <c r="AT550" s="159"/>
      <c r="AU550" s="159"/>
      <c r="AV550" s="159"/>
      <c r="AW550" s="159"/>
      <c r="AX550" s="159"/>
      <c r="AY550" s="159"/>
      <c r="AZ550" s="159"/>
      <c r="BA550" s="159"/>
    </row>
    <row r="551" spans="2:53" ht="17.399999999999999" customHeight="1">
      <c r="B551" s="159"/>
      <c r="C551" s="159"/>
      <c r="D551" s="159"/>
      <c r="E551" s="159"/>
      <c r="F551" s="159"/>
      <c r="G551" s="159"/>
      <c r="H551" s="159"/>
      <c r="I551" s="159"/>
      <c r="J551" s="224"/>
      <c r="K551" s="159"/>
      <c r="L551" s="159"/>
      <c r="M551" s="159"/>
      <c r="O551" s="159"/>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c r="AR551" s="159"/>
      <c r="AS551" s="159"/>
      <c r="AT551" s="159"/>
      <c r="AU551" s="159"/>
      <c r="AV551" s="159"/>
      <c r="AW551" s="159"/>
      <c r="AX551" s="159"/>
      <c r="AY551" s="159"/>
      <c r="AZ551" s="159"/>
      <c r="BA551" s="159"/>
    </row>
    <row r="552" spans="2:53" ht="17.399999999999999" customHeight="1">
      <c r="B552" s="159"/>
      <c r="C552" s="159"/>
      <c r="D552" s="159"/>
      <c r="E552" s="159"/>
      <c r="F552" s="159"/>
      <c r="G552" s="159"/>
      <c r="H552" s="159"/>
      <c r="I552" s="159"/>
      <c r="J552" s="224"/>
      <c r="K552" s="159"/>
      <c r="L552" s="159"/>
      <c r="M552" s="15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c r="AR552" s="159"/>
      <c r="AS552" s="159"/>
      <c r="AT552" s="159"/>
      <c r="AU552" s="159"/>
      <c r="AV552" s="159"/>
      <c r="AW552" s="159"/>
      <c r="AX552" s="159"/>
      <c r="AY552" s="159"/>
      <c r="AZ552" s="159"/>
      <c r="BA552" s="159"/>
    </row>
    <row r="553" spans="2:53" ht="17.399999999999999" customHeight="1">
      <c r="B553" s="159"/>
      <c r="C553" s="159"/>
      <c r="D553" s="159"/>
      <c r="E553" s="159"/>
      <c r="F553" s="159"/>
      <c r="G553" s="159"/>
      <c r="H553" s="159"/>
      <c r="I553" s="159"/>
      <c r="J553" s="224"/>
      <c r="K553" s="159"/>
      <c r="L553" s="159"/>
      <c r="M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c r="AR553" s="159"/>
      <c r="AS553" s="159"/>
      <c r="AT553" s="159"/>
      <c r="AU553" s="159"/>
      <c r="AV553" s="159"/>
      <c r="AW553" s="159"/>
      <c r="AX553" s="159"/>
      <c r="AY553" s="159"/>
      <c r="AZ553" s="159"/>
      <c r="BA553" s="159"/>
    </row>
    <row r="554" spans="2:53" ht="17.399999999999999" customHeight="1">
      <c r="B554" s="159"/>
      <c r="C554" s="159"/>
      <c r="D554" s="159"/>
      <c r="E554" s="159"/>
      <c r="F554" s="159"/>
      <c r="G554" s="159"/>
      <c r="H554" s="159"/>
      <c r="I554" s="159"/>
      <c r="J554" s="224"/>
      <c r="K554" s="159"/>
      <c r="L554" s="159"/>
      <c r="M554" s="159"/>
      <c r="O554" s="159"/>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c r="AR554" s="159"/>
      <c r="AS554" s="159"/>
      <c r="AT554" s="159"/>
      <c r="AU554" s="159"/>
      <c r="AV554" s="159"/>
      <c r="AW554" s="159"/>
      <c r="AX554" s="159"/>
      <c r="AY554" s="159"/>
      <c r="AZ554" s="159"/>
      <c r="BA554" s="159"/>
    </row>
    <row r="555" spans="2:53" ht="17.399999999999999" customHeight="1">
      <c r="B555" s="159"/>
      <c r="C555" s="159"/>
      <c r="D555" s="159"/>
      <c r="E555" s="159"/>
      <c r="F555" s="159"/>
      <c r="G555" s="159"/>
      <c r="H555" s="159"/>
      <c r="I555" s="159"/>
      <c r="J555" s="224"/>
      <c r="K555" s="159"/>
      <c r="L555" s="159"/>
      <c r="M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c r="AR555" s="159"/>
      <c r="AS555" s="159"/>
      <c r="AT555" s="159"/>
      <c r="AU555" s="159"/>
      <c r="AV555" s="159"/>
      <c r="AW555" s="159"/>
      <c r="AX555" s="159"/>
      <c r="AY555" s="159"/>
      <c r="AZ555" s="159"/>
      <c r="BA555" s="159"/>
    </row>
    <row r="556" spans="2:53" ht="17.399999999999999" customHeight="1">
      <c r="B556" s="159"/>
      <c r="C556" s="159"/>
      <c r="D556" s="159"/>
      <c r="E556" s="159"/>
      <c r="F556" s="159"/>
      <c r="G556" s="159"/>
      <c r="H556" s="159"/>
      <c r="I556" s="159"/>
      <c r="J556" s="224"/>
      <c r="K556" s="159"/>
      <c r="L556" s="159"/>
      <c r="M556" s="159"/>
      <c r="O556" s="159"/>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c r="AR556" s="159"/>
      <c r="AS556" s="159"/>
      <c r="AT556" s="159"/>
      <c r="AU556" s="159"/>
      <c r="AV556" s="159"/>
      <c r="AW556" s="159"/>
      <c r="AX556" s="159"/>
      <c r="AY556" s="159"/>
      <c r="AZ556" s="159"/>
      <c r="BA556" s="159"/>
    </row>
    <row r="557" spans="2:53" ht="17.399999999999999" customHeight="1">
      <c r="B557" s="159"/>
      <c r="C557" s="159"/>
      <c r="D557" s="159"/>
      <c r="E557" s="159"/>
      <c r="F557" s="159"/>
      <c r="G557" s="159"/>
      <c r="H557" s="159"/>
      <c r="I557" s="159"/>
      <c r="J557" s="224"/>
      <c r="K557" s="159"/>
      <c r="L557" s="159"/>
      <c r="M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c r="AT557" s="159"/>
      <c r="AU557" s="159"/>
      <c r="AV557" s="159"/>
      <c r="AW557" s="159"/>
      <c r="AX557" s="159"/>
      <c r="AY557" s="159"/>
      <c r="AZ557" s="159"/>
      <c r="BA557" s="159"/>
    </row>
    <row r="558" spans="2:53" ht="17.399999999999999" customHeight="1">
      <c r="B558" s="159"/>
      <c r="C558" s="159"/>
      <c r="D558" s="159"/>
      <c r="E558" s="159"/>
      <c r="F558" s="159"/>
      <c r="G558" s="159"/>
      <c r="H558" s="159"/>
      <c r="I558" s="159"/>
      <c r="J558" s="224"/>
      <c r="K558" s="159"/>
      <c r="L558" s="159"/>
      <c r="M558" s="159"/>
      <c r="O558" s="159"/>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c r="AR558" s="159"/>
      <c r="AS558" s="159"/>
      <c r="AT558" s="159"/>
      <c r="AU558" s="159"/>
      <c r="AV558" s="159"/>
      <c r="AW558" s="159"/>
      <c r="AX558" s="159"/>
      <c r="AY558" s="159"/>
      <c r="AZ558" s="159"/>
      <c r="BA558" s="159"/>
    </row>
    <row r="559" spans="2:53" ht="17.399999999999999" customHeight="1">
      <c r="B559" s="159"/>
      <c r="C559" s="159"/>
      <c r="D559" s="159"/>
      <c r="E559" s="159"/>
      <c r="F559" s="159"/>
      <c r="G559" s="159"/>
      <c r="H559" s="159"/>
      <c r="I559" s="159"/>
      <c r="J559" s="224"/>
      <c r="K559" s="159"/>
      <c r="L559" s="159"/>
      <c r="M559" s="159"/>
      <c r="O559" s="159"/>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c r="AR559" s="159"/>
      <c r="AS559" s="159"/>
      <c r="AT559" s="159"/>
      <c r="AU559" s="159"/>
      <c r="AV559" s="159"/>
      <c r="AW559" s="159"/>
      <c r="AX559" s="159"/>
      <c r="AY559" s="159"/>
      <c r="AZ559" s="159"/>
      <c r="BA559" s="159"/>
    </row>
    <row r="560" spans="2:53" ht="17.399999999999999" customHeight="1">
      <c r="B560" s="159"/>
      <c r="C560" s="159"/>
      <c r="D560" s="159"/>
      <c r="E560" s="159"/>
      <c r="F560" s="159"/>
      <c r="G560" s="159"/>
      <c r="H560" s="159"/>
      <c r="I560" s="159"/>
      <c r="J560" s="224"/>
      <c r="K560" s="159"/>
      <c r="L560" s="159"/>
      <c r="M560" s="159"/>
      <c r="O560" s="159"/>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c r="AR560" s="159"/>
      <c r="AS560" s="159"/>
      <c r="AT560" s="159"/>
      <c r="AU560" s="159"/>
      <c r="AV560" s="159"/>
      <c r="AW560" s="159"/>
      <c r="AX560" s="159"/>
      <c r="AY560" s="159"/>
      <c r="AZ560" s="159"/>
      <c r="BA560" s="159"/>
    </row>
    <row r="561" spans="2:53" ht="17.399999999999999" customHeight="1">
      <c r="B561" s="159"/>
      <c r="C561" s="159"/>
      <c r="D561" s="159"/>
      <c r="E561" s="159"/>
      <c r="F561" s="159"/>
      <c r="G561" s="159"/>
      <c r="H561" s="159"/>
      <c r="I561" s="159"/>
      <c r="J561" s="224"/>
      <c r="K561" s="159"/>
      <c r="L561" s="159"/>
      <c r="M561" s="159"/>
      <c r="O561" s="159"/>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c r="AR561" s="159"/>
      <c r="AS561" s="159"/>
      <c r="AT561" s="159"/>
      <c r="AU561" s="159"/>
      <c r="AV561" s="159"/>
      <c r="AW561" s="159"/>
      <c r="AX561" s="159"/>
      <c r="AY561" s="159"/>
      <c r="AZ561" s="159"/>
      <c r="BA561" s="159"/>
    </row>
    <row r="562" spans="2:53" ht="17.399999999999999" customHeight="1">
      <c r="B562" s="159"/>
      <c r="C562" s="159"/>
      <c r="D562" s="159"/>
      <c r="E562" s="159"/>
      <c r="F562" s="159"/>
      <c r="G562" s="159"/>
      <c r="H562" s="159"/>
      <c r="I562" s="159"/>
      <c r="J562" s="224"/>
      <c r="K562" s="159"/>
      <c r="L562" s="159"/>
      <c r="M562" s="159"/>
      <c r="O562" s="159"/>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c r="AR562" s="159"/>
      <c r="AS562" s="159"/>
      <c r="AT562" s="159"/>
      <c r="AU562" s="159"/>
      <c r="AV562" s="159"/>
      <c r="AW562" s="159"/>
      <c r="AX562" s="159"/>
      <c r="AY562" s="159"/>
      <c r="AZ562" s="159"/>
      <c r="BA562" s="159"/>
    </row>
    <row r="563" spans="2:53" ht="17.399999999999999" customHeight="1">
      <c r="B563" s="159"/>
      <c r="C563" s="159"/>
      <c r="D563" s="159"/>
      <c r="E563" s="159"/>
      <c r="F563" s="159"/>
      <c r="G563" s="159"/>
      <c r="H563" s="159"/>
      <c r="I563" s="159"/>
      <c r="J563" s="224"/>
      <c r="K563" s="159"/>
      <c r="L563" s="159"/>
      <c r="M563" s="159"/>
      <c r="O563" s="159"/>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c r="AR563" s="159"/>
      <c r="AS563" s="159"/>
      <c r="AT563" s="159"/>
      <c r="AU563" s="159"/>
      <c r="AV563" s="159"/>
      <c r="AW563" s="159"/>
      <c r="AX563" s="159"/>
      <c r="AY563" s="159"/>
      <c r="AZ563" s="159"/>
      <c r="BA563" s="159"/>
    </row>
    <row r="564" spans="2:53" ht="17.399999999999999" customHeight="1">
      <c r="B564" s="159"/>
      <c r="C564" s="159"/>
      <c r="D564" s="159"/>
      <c r="E564" s="159"/>
      <c r="F564" s="159"/>
      <c r="G564" s="159"/>
      <c r="H564" s="159"/>
      <c r="I564" s="159"/>
      <c r="J564" s="224"/>
      <c r="K564" s="159"/>
      <c r="L564" s="159"/>
      <c r="M564" s="159"/>
      <c r="O564" s="159"/>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c r="AR564" s="159"/>
      <c r="AS564" s="159"/>
      <c r="AT564" s="159"/>
      <c r="AU564" s="159"/>
      <c r="AV564" s="159"/>
      <c r="AW564" s="159"/>
      <c r="AX564" s="159"/>
      <c r="AY564" s="159"/>
      <c r="AZ564" s="159"/>
      <c r="BA564" s="159"/>
    </row>
    <row r="565" spans="2:53" ht="17.399999999999999" customHeight="1">
      <c r="B565" s="159"/>
      <c r="C565" s="159"/>
      <c r="D565" s="159"/>
      <c r="E565" s="159"/>
      <c r="F565" s="159"/>
      <c r="G565" s="159"/>
      <c r="H565" s="159"/>
      <c r="I565" s="159"/>
      <c r="J565" s="224"/>
      <c r="K565" s="159"/>
      <c r="L565" s="159"/>
      <c r="M565" s="159"/>
      <c r="O565" s="159"/>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c r="AP565" s="159"/>
      <c r="AQ565" s="159"/>
      <c r="AR565" s="159"/>
      <c r="AS565" s="159"/>
      <c r="AT565" s="159"/>
      <c r="AU565" s="159"/>
      <c r="AV565" s="159"/>
      <c r="AW565" s="159"/>
      <c r="AX565" s="159"/>
      <c r="AY565" s="159"/>
      <c r="AZ565" s="159"/>
      <c r="BA565" s="159"/>
    </row>
    <row r="566" spans="2:53" ht="17.399999999999999" customHeight="1">
      <c r="B566" s="159"/>
      <c r="C566" s="159"/>
      <c r="D566" s="159"/>
      <c r="E566" s="159"/>
      <c r="F566" s="159"/>
      <c r="G566" s="159"/>
      <c r="H566" s="159"/>
      <c r="I566" s="159"/>
      <c r="J566" s="224"/>
      <c r="K566" s="159"/>
      <c r="L566" s="159"/>
      <c r="M566" s="159"/>
      <c r="O566" s="159"/>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c r="AR566" s="159"/>
      <c r="AS566" s="159"/>
      <c r="AT566" s="159"/>
      <c r="AU566" s="159"/>
      <c r="AV566" s="159"/>
      <c r="AW566" s="159"/>
      <c r="AX566" s="159"/>
      <c r="AY566" s="159"/>
      <c r="AZ566" s="159"/>
      <c r="BA566" s="159"/>
    </row>
    <row r="567" spans="2:53" ht="17.399999999999999" customHeight="1">
      <c r="B567" s="159"/>
      <c r="C567" s="159"/>
      <c r="D567" s="159"/>
      <c r="E567" s="159"/>
      <c r="F567" s="159"/>
      <c r="G567" s="159"/>
      <c r="H567" s="159"/>
      <c r="I567" s="159"/>
      <c r="J567" s="224"/>
      <c r="K567" s="159"/>
      <c r="L567" s="159"/>
      <c r="M567" s="159"/>
      <c r="O567" s="159"/>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c r="AR567" s="159"/>
      <c r="AS567" s="159"/>
      <c r="AT567" s="159"/>
      <c r="AU567" s="159"/>
      <c r="AV567" s="159"/>
      <c r="AW567" s="159"/>
      <c r="AX567" s="159"/>
      <c r="AY567" s="159"/>
      <c r="AZ567" s="159"/>
      <c r="BA567" s="159"/>
    </row>
    <row r="568" spans="2:53" ht="17.399999999999999" customHeight="1">
      <c r="B568" s="159"/>
      <c r="C568" s="159"/>
      <c r="D568" s="159"/>
      <c r="E568" s="159"/>
      <c r="F568" s="159"/>
      <c r="G568" s="159"/>
      <c r="H568" s="159"/>
      <c r="I568" s="159"/>
      <c r="J568" s="224"/>
      <c r="K568" s="159"/>
      <c r="L568" s="159"/>
      <c r="M568" s="159"/>
      <c r="O568" s="159"/>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c r="AR568" s="159"/>
      <c r="AS568" s="159"/>
      <c r="AT568" s="159"/>
      <c r="AU568" s="159"/>
      <c r="AV568" s="159"/>
      <c r="AW568" s="159"/>
      <c r="AX568" s="159"/>
      <c r="AY568" s="159"/>
      <c r="AZ568" s="159"/>
      <c r="BA568" s="159"/>
    </row>
    <row r="569" spans="2:53" ht="17.399999999999999" customHeight="1">
      <c r="B569" s="159"/>
      <c r="C569" s="159"/>
      <c r="D569" s="159"/>
      <c r="E569" s="159"/>
      <c r="F569" s="159"/>
      <c r="G569" s="159"/>
      <c r="H569" s="159"/>
      <c r="I569" s="159"/>
      <c r="J569" s="224"/>
      <c r="K569" s="159"/>
      <c r="L569" s="159"/>
      <c r="M569" s="159"/>
      <c r="O569" s="159"/>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c r="AR569" s="159"/>
      <c r="AS569" s="159"/>
      <c r="AT569" s="159"/>
      <c r="AU569" s="159"/>
      <c r="AV569" s="159"/>
      <c r="AW569" s="159"/>
      <c r="AX569" s="159"/>
      <c r="AY569" s="159"/>
      <c r="AZ569" s="159"/>
      <c r="BA569" s="159"/>
    </row>
    <row r="570" spans="2:53" ht="17.399999999999999" customHeight="1">
      <c r="B570" s="159"/>
      <c r="C570" s="159"/>
      <c r="D570" s="159"/>
      <c r="E570" s="159"/>
      <c r="F570" s="159"/>
      <c r="G570" s="159"/>
      <c r="H570" s="159"/>
      <c r="I570" s="159"/>
      <c r="J570" s="224"/>
      <c r="K570" s="159"/>
      <c r="L570" s="159"/>
      <c r="M570" s="159"/>
      <c r="O570" s="159"/>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c r="AR570" s="159"/>
      <c r="AS570" s="159"/>
      <c r="AT570" s="159"/>
      <c r="AU570" s="159"/>
      <c r="AV570" s="159"/>
      <c r="AW570" s="159"/>
      <c r="AX570" s="159"/>
      <c r="AY570" s="159"/>
      <c r="AZ570" s="159"/>
      <c r="BA570" s="159"/>
    </row>
    <row r="571" spans="2:53" ht="17.399999999999999" customHeight="1">
      <c r="B571" s="159"/>
      <c r="C571" s="159"/>
      <c r="D571" s="159"/>
      <c r="E571" s="159"/>
      <c r="F571" s="159"/>
      <c r="G571" s="159"/>
      <c r="H571" s="159"/>
      <c r="I571" s="159"/>
      <c r="J571" s="224"/>
      <c r="K571" s="159"/>
      <c r="L571" s="159"/>
      <c r="M571" s="159"/>
      <c r="O571" s="159"/>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c r="AR571" s="159"/>
      <c r="AS571" s="159"/>
      <c r="AT571" s="159"/>
      <c r="AU571" s="159"/>
      <c r="AV571" s="159"/>
      <c r="AW571" s="159"/>
      <c r="AX571" s="159"/>
      <c r="AY571" s="159"/>
      <c r="AZ571" s="159"/>
      <c r="BA571" s="159"/>
    </row>
    <row r="572" spans="2:53" ht="17.399999999999999" customHeight="1">
      <c r="B572" s="159"/>
      <c r="C572" s="159"/>
      <c r="D572" s="159"/>
      <c r="E572" s="159"/>
      <c r="F572" s="159"/>
      <c r="G572" s="159"/>
      <c r="H572" s="159"/>
      <c r="I572" s="159"/>
      <c r="J572" s="224"/>
      <c r="K572" s="159"/>
      <c r="L572" s="159"/>
      <c r="M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c r="AR572" s="159"/>
      <c r="AS572" s="159"/>
      <c r="AT572" s="159"/>
      <c r="AU572" s="159"/>
      <c r="AV572" s="159"/>
      <c r="AW572" s="159"/>
      <c r="AX572" s="159"/>
      <c r="AY572" s="159"/>
      <c r="AZ572" s="159"/>
      <c r="BA572" s="159"/>
    </row>
    <row r="573" spans="2:53" ht="17.399999999999999" customHeight="1">
      <c r="B573" s="159"/>
      <c r="C573" s="159"/>
      <c r="D573" s="159"/>
      <c r="E573" s="159"/>
      <c r="F573" s="159"/>
      <c r="G573" s="159"/>
      <c r="H573" s="159"/>
      <c r="I573" s="159"/>
      <c r="J573" s="224"/>
      <c r="K573" s="159"/>
      <c r="L573" s="159"/>
      <c r="M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c r="AR573" s="159"/>
      <c r="AS573" s="159"/>
      <c r="AT573" s="159"/>
      <c r="AU573" s="159"/>
      <c r="AV573" s="159"/>
      <c r="AW573" s="159"/>
      <c r="AX573" s="159"/>
      <c r="AY573" s="159"/>
      <c r="AZ573" s="159"/>
      <c r="BA573" s="159"/>
    </row>
    <row r="574" spans="2:53" ht="17.399999999999999" customHeight="1">
      <c r="B574" s="159"/>
      <c r="C574" s="159"/>
      <c r="D574" s="159"/>
      <c r="E574" s="159"/>
      <c r="F574" s="159"/>
      <c r="G574" s="159"/>
      <c r="H574" s="159"/>
      <c r="I574" s="159"/>
      <c r="J574" s="224"/>
      <c r="K574" s="159"/>
      <c r="L574" s="159"/>
      <c r="M574" s="159"/>
      <c r="O574" s="159"/>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c r="AR574" s="159"/>
      <c r="AS574" s="159"/>
      <c r="AT574" s="159"/>
      <c r="AU574" s="159"/>
      <c r="AV574" s="159"/>
      <c r="AW574" s="159"/>
      <c r="AX574" s="159"/>
      <c r="AY574" s="159"/>
      <c r="AZ574" s="159"/>
      <c r="BA574" s="159"/>
    </row>
    <row r="575" spans="2:53" ht="17.399999999999999" customHeight="1">
      <c r="B575" s="159"/>
      <c r="C575" s="159"/>
      <c r="D575" s="159"/>
      <c r="E575" s="159"/>
      <c r="F575" s="159"/>
      <c r="G575" s="159"/>
      <c r="H575" s="159"/>
      <c r="I575" s="159"/>
      <c r="J575" s="224"/>
      <c r="K575" s="159"/>
      <c r="L575" s="159"/>
      <c r="M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c r="AR575" s="159"/>
      <c r="AS575" s="159"/>
      <c r="AT575" s="159"/>
      <c r="AU575" s="159"/>
      <c r="AV575" s="159"/>
      <c r="AW575" s="159"/>
      <c r="AX575" s="159"/>
      <c r="AY575" s="159"/>
      <c r="AZ575" s="159"/>
      <c r="BA575" s="159"/>
    </row>
    <row r="576" spans="2:53" ht="17.399999999999999" customHeight="1">
      <c r="B576" s="159"/>
      <c r="C576" s="159"/>
      <c r="D576" s="159"/>
      <c r="E576" s="159"/>
      <c r="F576" s="159"/>
      <c r="G576" s="159"/>
      <c r="H576" s="159"/>
      <c r="I576" s="159"/>
      <c r="J576" s="224"/>
      <c r="K576" s="159"/>
      <c r="L576" s="159"/>
      <c r="M576" s="159"/>
      <c r="O576" s="159"/>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c r="AR576" s="159"/>
      <c r="AS576" s="159"/>
      <c r="AT576" s="159"/>
      <c r="AU576" s="159"/>
      <c r="AV576" s="159"/>
      <c r="AW576" s="159"/>
      <c r="AX576" s="159"/>
      <c r="AY576" s="159"/>
      <c r="AZ576" s="159"/>
      <c r="BA576" s="159"/>
    </row>
    <row r="577" spans="2:53" ht="17.399999999999999" customHeight="1">
      <c r="B577" s="159"/>
      <c r="C577" s="159"/>
      <c r="D577" s="159"/>
      <c r="E577" s="159"/>
      <c r="F577" s="159"/>
      <c r="G577" s="159"/>
      <c r="H577" s="159"/>
      <c r="I577" s="159"/>
      <c r="J577" s="224"/>
      <c r="K577" s="159"/>
      <c r="L577" s="159"/>
      <c r="M577" s="159"/>
      <c r="O577" s="159"/>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c r="AR577" s="159"/>
      <c r="AS577" s="159"/>
      <c r="AT577" s="159"/>
      <c r="AU577" s="159"/>
      <c r="AV577" s="159"/>
      <c r="AW577" s="159"/>
      <c r="AX577" s="159"/>
      <c r="AY577" s="159"/>
      <c r="AZ577" s="159"/>
      <c r="BA577" s="159"/>
    </row>
    <row r="578" spans="2:53" ht="17.399999999999999" customHeight="1">
      <c r="B578" s="159"/>
      <c r="C578" s="159"/>
      <c r="D578" s="159"/>
      <c r="E578" s="159"/>
      <c r="F578" s="159"/>
      <c r="G578" s="159"/>
      <c r="H578" s="159"/>
      <c r="I578" s="159"/>
      <c r="J578" s="224"/>
      <c r="K578" s="159"/>
      <c r="L578" s="159"/>
      <c r="M578" s="159"/>
      <c r="O578" s="159"/>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c r="AP578" s="159"/>
      <c r="AQ578" s="159"/>
      <c r="AR578" s="159"/>
      <c r="AS578" s="159"/>
      <c r="AT578" s="159"/>
      <c r="AU578" s="159"/>
      <c r="AV578" s="159"/>
      <c r="AW578" s="159"/>
      <c r="AX578" s="159"/>
      <c r="AY578" s="159"/>
      <c r="AZ578" s="159"/>
      <c r="BA578" s="159"/>
    </row>
    <row r="579" spans="2:53" ht="17.399999999999999" customHeight="1">
      <c r="B579" s="159"/>
      <c r="C579" s="159"/>
      <c r="D579" s="159"/>
      <c r="E579" s="159"/>
      <c r="F579" s="159"/>
      <c r="G579" s="159"/>
      <c r="H579" s="159"/>
      <c r="I579" s="159"/>
      <c r="J579" s="224"/>
      <c r="K579" s="159"/>
      <c r="L579" s="159"/>
      <c r="M579" s="159"/>
      <c r="O579" s="159"/>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c r="AR579" s="159"/>
      <c r="AS579" s="159"/>
      <c r="AT579" s="159"/>
      <c r="AU579" s="159"/>
      <c r="AV579" s="159"/>
      <c r="AW579" s="159"/>
      <c r="AX579" s="159"/>
      <c r="AY579" s="159"/>
      <c r="AZ579" s="159"/>
      <c r="BA579" s="159"/>
    </row>
    <row r="580" spans="2:53" ht="17.399999999999999" customHeight="1">
      <c r="B580" s="159"/>
      <c r="C580" s="159"/>
      <c r="D580" s="159"/>
      <c r="E580" s="159"/>
      <c r="F580" s="159"/>
      <c r="G580" s="159"/>
      <c r="H580" s="159"/>
      <c r="I580" s="159"/>
      <c r="J580" s="224"/>
      <c r="K580" s="159"/>
      <c r="L580" s="159"/>
      <c r="M580" s="159"/>
      <c r="O580" s="159"/>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c r="AR580" s="159"/>
      <c r="AS580" s="159"/>
      <c r="AT580" s="159"/>
      <c r="AU580" s="159"/>
      <c r="AV580" s="159"/>
      <c r="AW580" s="159"/>
      <c r="AX580" s="159"/>
      <c r="AY580" s="159"/>
      <c r="AZ580" s="159"/>
      <c r="BA580" s="159"/>
    </row>
    <row r="581" spans="2:53" ht="17.399999999999999" customHeight="1">
      <c r="B581" s="159"/>
      <c r="C581" s="159"/>
      <c r="D581" s="159"/>
      <c r="E581" s="159"/>
      <c r="F581" s="159"/>
      <c r="G581" s="159"/>
      <c r="H581" s="159"/>
      <c r="I581" s="159"/>
      <c r="J581" s="224"/>
      <c r="K581" s="159"/>
      <c r="L581" s="159"/>
      <c r="M581" s="159"/>
      <c r="O581" s="159"/>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c r="AR581" s="159"/>
      <c r="AS581" s="159"/>
      <c r="AT581" s="159"/>
      <c r="AU581" s="159"/>
      <c r="AV581" s="159"/>
      <c r="AW581" s="159"/>
      <c r="AX581" s="159"/>
      <c r="AY581" s="159"/>
      <c r="AZ581" s="159"/>
      <c r="BA581" s="159"/>
    </row>
    <row r="582" spans="2:53" ht="17.399999999999999" customHeight="1">
      <c r="B582" s="159"/>
      <c r="C582" s="159"/>
      <c r="D582" s="159"/>
      <c r="E582" s="159"/>
      <c r="F582" s="159"/>
      <c r="G582" s="159"/>
      <c r="H582" s="159"/>
      <c r="I582" s="159"/>
      <c r="J582" s="224"/>
      <c r="K582" s="159"/>
      <c r="L582" s="159"/>
      <c r="M582" s="159"/>
      <c r="O582" s="159"/>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c r="AR582" s="159"/>
      <c r="AS582" s="159"/>
      <c r="AT582" s="159"/>
      <c r="AU582" s="159"/>
      <c r="AV582" s="159"/>
      <c r="AW582" s="159"/>
      <c r="AX582" s="159"/>
      <c r="AY582" s="159"/>
      <c r="AZ582" s="159"/>
      <c r="BA582" s="159"/>
    </row>
    <row r="583" spans="2:53" ht="17.399999999999999" customHeight="1">
      <c r="B583" s="159"/>
      <c r="C583" s="159"/>
      <c r="D583" s="159"/>
      <c r="E583" s="159"/>
      <c r="F583" s="159"/>
      <c r="G583" s="159"/>
      <c r="H583" s="159"/>
      <c r="I583" s="159"/>
      <c r="J583" s="224"/>
      <c r="K583" s="159"/>
      <c r="L583" s="159"/>
      <c r="M583" s="159"/>
      <c r="O583" s="159"/>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c r="AR583" s="159"/>
      <c r="AS583" s="159"/>
      <c r="AT583" s="159"/>
      <c r="AU583" s="159"/>
      <c r="AV583" s="159"/>
      <c r="AW583" s="159"/>
      <c r="AX583" s="159"/>
      <c r="AY583" s="159"/>
      <c r="AZ583" s="159"/>
      <c r="BA583" s="159"/>
    </row>
    <row r="584" spans="2:53" ht="17.399999999999999" customHeight="1">
      <c r="B584" s="159"/>
      <c r="C584" s="159"/>
      <c r="D584" s="159"/>
      <c r="E584" s="159"/>
      <c r="F584" s="159"/>
      <c r="G584" s="159"/>
      <c r="H584" s="159"/>
      <c r="I584" s="159"/>
      <c r="J584" s="224"/>
      <c r="K584" s="159"/>
      <c r="L584" s="159"/>
      <c r="M584" s="159"/>
      <c r="O584" s="159"/>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c r="AP584" s="159"/>
      <c r="AQ584" s="159"/>
      <c r="AR584" s="159"/>
      <c r="AS584" s="159"/>
      <c r="AT584" s="159"/>
      <c r="AU584" s="159"/>
      <c r="AV584" s="159"/>
      <c r="AW584" s="159"/>
      <c r="AX584" s="159"/>
      <c r="AY584" s="159"/>
      <c r="AZ584" s="159"/>
      <c r="BA584" s="159"/>
    </row>
    <row r="585" spans="2:53" ht="17.399999999999999" customHeight="1">
      <c r="B585" s="159"/>
      <c r="C585" s="159"/>
      <c r="D585" s="159"/>
      <c r="E585" s="159"/>
      <c r="F585" s="159"/>
      <c r="G585" s="159"/>
      <c r="H585" s="159"/>
      <c r="I585" s="159"/>
      <c r="J585" s="224"/>
      <c r="K585" s="159"/>
      <c r="L585" s="159"/>
      <c r="M585" s="159"/>
      <c r="O585" s="159"/>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c r="AR585" s="159"/>
      <c r="AS585" s="159"/>
      <c r="AT585" s="159"/>
      <c r="AU585" s="159"/>
      <c r="AV585" s="159"/>
      <c r="AW585" s="159"/>
      <c r="AX585" s="159"/>
      <c r="AY585" s="159"/>
      <c r="AZ585" s="159"/>
      <c r="BA585" s="159"/>
    </row>
    <row r="586" spans="2:53" ht="17.399999999999999" customHeight="1">
      <c r="B586" s="159"/>
      <c r="C586" s="159"/>
      <c r="D586" s="159"/>
      <c r="E586" s="159"/>
      <c r="F586" s="159"/>
      <c r="G586" s="159"/>
      <c r="H586" s="159"/>
      <c r="I586" s="159"/>
      <c r="J586" s="224"/>
      <c r="K586" s="159"/>
      <c r="L586" s="159"/>
      <c r="M586" s="159"/>
      <c r="O586" s="159"/>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c r="AR586" s="159"/>
      <c r="AS586" s="159"/>
      <c r="AT586" s="159"/>
      <c r="AU586" s="159"/>
      <c r="AV586" s="159"/>
      <c r="AW586" s="159"/>
      <c r="AX586" s="159"/>
      <c r="AY586" s="159"/>
      <c r="AZ586" s="159"/>
      <c r="BA586" s="159"/>
    </row>
    <row r="587" spans="2:53" ht="17.399999999999999" customHeight="1">
      <c r="B587" s="159"/>
      <c r="C587" s="159"/>
      <c r="D587" s="159"/>
      <c r="E587" s="159"/>
      <c r="F587" s="159"/>
      <c r="G587" s="159"/>
      <c r="H587" s="159"/>
      <c r="I587" s="159"/>
      <c r="J587" s="224"/>
      <c r="K587" s="159"/>
      <c r="L587" s="159"/>
      <c r="M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c r="AR587" s="159"/>
      <c r="AS587" s="159"/>
      <c r="AT587" s="159"/>
      <c r="AU587" s="159"/>
      <c r="AV587" s="159"/>
      <c r="AW587" s="159"/>
      <c r="AX587" s="159"/>
      <c r="AY587" s="159"/>
      <c r="AZ587" s="159"/>
      <c r="BA587" s="159"/>
    </row>
    <row r="588" spans="2:53" ht="17.399999999999999" customHeight="1">
      <c r="B588" s="159"/>
      <c r="C588" s="159"/>
      <c r="D588" s="159"/>
      <c r="E588" s="159"/>
      <c r="F588" s="159"/>
      <c r="G588" s="159"/>
      <c r="H588" s="159"/>
      <c r="I588" s="159"/>
      <c r="J588" s="224"/>
      <c r="K588" s="159"/>
      <c r="L588" s="159"/>
      <c r="M588" s="159"/>
      <c r="O588" s="159"/>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c r="AT588" s="159"/>
      <c r="AU588" s="159"/>
      <c r="AV588" s="159"/>
      <c r="AW588" s="159"/>
      <c r="AX588" s="159"/>
      <c r="AY588" s="159"/>
      <c r="AZ588" s="159"/>
      <c r="BA588" s="159"/>
    </row>
    <row r="589" spans="2:53" ht="17.399999999999999" customHeight="1">
      <c r="B589" s="159"/>
      <c r="C589" s="159"/>
      <c r="D589" s="159"/>
      <c r="E589" s="159"/>
      <c r="F589" s="159"/>
      <c r="G589" s="159"/>
      <c r="H589" s="159"/>
      <c r="I589" s="159"/>
      <c r="J589" s="224"/>
      <c r="K589" s="159"/>
      <c r="L589" s="159"/>
      <c r="M589" s="159"/>
      <c r="O589" s="159"/>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c r="AR589" s="159"/>
      <c r="AS589" s="159"/>
      <c r="AT589" s="159"/>
      <c r="AU589" s="159"/>
      <c r="AV589" s="159"/>
      <c r="AW589" s="159"/>
      <c r="AX589" s="159"/>
      <c r="AY589" s="159"/>
      <c r="AZ589" s="159"/>
      <c r="BA589" s="159"/>
    </row>
    <row r="590" spans="2:53" ht="17.399999999999999" customHeight="1">
      <c r="B590" s="159"/>
      <c r="C590" s="159"/>
      <c r="D590" s="159"/>
      <c r="E590" s="159"/>
      <c r="F590" s="159"/>
      <c r="G590" s="159"/>
      <c r="H590" s="159"/>
      <c r="I590" s="159"/>
      <c r="J590" s="224"/>
      <c r="K590" s="159"/>
      <c r="L590" s="159"/>
      <c r="M590" s="159"/>
      <c r="O590" s="159"/>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c r="AT590" s="159"/>
      <c r="AU590" s="159"/>
      <c r="AV590" s="159"/>
      <c r="AW590" s="159"/>
      <c r="AX590" s="159"/>
      <c r="AY590" s="159"/>
      <c r="AZ590" s="159"/>
      <c r="BA590" s="159"/>
    </row>
    <row r="591" spans="2:53" ht="17.399999999999999" customHeight="1">
      <c r="B591" s="159"/>
      <c r="C591" s="159"/>
      <c r="D591" s="159"/>
      <c r="E591" s="159"/>
      <c r="F591" s="159"/>
      <c r="G591" s="159"/>
      <c r="H591" s="159"/>
      <c r="I591" s="159"/>
      <c r="J591" s="224"/>
      <c r="K591" s="159"/>
      <c r="L591" s="159"/>
      <c r="M591" s="159"/>
      <c r="O591" s="159"/>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c r="AP591" s="159"/>
      <c r="AQ591" s="159"/>
      <c r="AR591" s="159"/>
      <c r="AS591" s="159"/>
      <c r="AT591" s="159"/>
      <c r="AU591" s="159"/>
      <c r="AV591" s="159"/>
      <c r="AW591" s="159"/>
      <c r="AX591" s="159"/>
      <c r="AY591" s="159"/>
      <c r="AZ591" s="159"/>
      <c r="BA591" s="159"/>
    </row>
    <row r="592" spans="2:53" ht="17.399999999999999" customHeight="1">
      <c r="B592" s="159"/>
      <c r="C592" s="159"/>
      <c r="D592" s="159"/>
      <c r="E592" s="159"/>
      <c r="F592" s="159"/>
      <c r="G592" s="159"/>
      <c r="H592" s="159"/>
      <c r="I592" s="159"/>
      <c r="J592" s="224"/>
      <c r="K592" s="159"/>
      <c r="L592" s="159"/>
      <c r="M592" s="159"/>
      <c r="O592" s="159"/>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c r="AP592" s="159"/>
      <c r="AQ592" s="159"/>
      <c r="AR592" s="159"/>
      <c r="AS592" s="159"/>
      <c r="AT592" s="159"/>
      <c r="AU592" s="159"/>
      <c r="AV592" s="159"/>
      <c r="AW592" s="159"/>
      <c r="AX592" s="159"/>
      <c r="AY592" s="159"/>
      <c r="AZ592" s="159"/>
      <c r="BA592" s="159"/>
    </row>
    <row r="593" spans="2:53" ht="17.399999999999999" customHeight="1">
      <c r="B593" s="159"/>
      <c r="C593" s="159"/>
      <c r="D593" s="159"/>
      <c r="E593" s="159"/>
      <c r="F593" s="159"/>
      <c r="G593" s="159"/>
      <c r="H593" s="159"/>
      <c r="I593" s="159"/>
      <c r="J593" s="224"/>
      <c r="K593" s="159"/>
      <c r="L593" s="159"/>
      <c r="M593" s="159"/>
      <c r="O593" s="159"/>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c r="AP593" s="159"/>
      <c r="AQ593" s="159"/>
      <c r="AR593" s="159"/>
      <c r="AS593" s="159"/>
      <c r="AT593" s="159"/>
      <c r="AU593" s="159"/>
      <c r="AV593" s="159"/>
      <c r="AW593" s="159"/>
      <c r="AX593" s="159"/>
      <c r="AY593" s="159"/>
      <c r="AZ593" s="159"/>
      <c r="BA593" s="159"/>
    </row>
    <row r="594" spans="2:53" ht="17.399999999999999" customHeight="1">
      <c r="B594" s="159"/>
      <c r="C594" s="159"/>
      <c r="D594" s="159"/>
      <c r="E594" s="159"/>
      <c r="F594" s="159"/>
      <c r="G594" s="159"/>
      <c r="H594" s="159"/>
      <c r="I594" s="159"/>
      <c r="J594" s="224"/>
      <c r="K594" s="159"/>
      <c r="L594" s="159"/>
      <c r="M594" s="159"/>
      <c r="O594" s="159"/>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c r="AR594" s="159"/>
      <c r="AS594" s="159"/>
      <c r="AT594" s="159"/>
      <c r="AU594" s="159"/>
      <c r="AV594" s="159"/>
      <c r="AW594" s="159"/>
      <c r="AX594" s="159"/>
      <c r="AY594" s="159"/>
      <c r="AZ594" s="159"/>
      <c r="BA594" s="159"/>
    </row>
    <row r="595" spans="2:53" ht="17.399999999999999" customHeight="1">
      <c r="B595" s="159"/>
      <c r="C595" s="159"/>
      <c r="D595" s="159"/>
      <c r="E595" s="159"/>
      <c r="F595" s="159"/>
      <c r="G595" s="159"/>
      <c r="H595" s="159"/>
      <c r="I595" s="159"/>
      <c r="J595" s="224"/>
      <c r="K595" s="159"/>
      <c r="L595" s="159"/>
      <c r="M595" s="159"/>
      <c r="O595" s="159"/>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c r="AP595" s="159"/>
      <c r="AQ595" s="159"/>
      <c r="AR595" s="159"/>
      <c r="AS595" s="159"/>
      <c r="AT595" s="159"/>
      <c r="AU595" s="159"/>
      <c r="AV595" s="159"/>
      <c r="AW595" s="159"/>
      <c r="AX595" s="159"/>
      <c r="AY595" s="159"/>
      <c r="AZ595" s="159"/>
      <c r="BA595" s="159"/>
    </row>
    <row r="596" spans="2:53" ht="17.399999999999999" customHeight="1">
      <c r="B596" s="159"/>
      <c r="C596" s="159"/>
      <c r="D596" s="159"/>
      <c r="E596" s="159"/>
      <c r="F596" s="159"/>
      <c r="G596" s="159"/>
      <c r="H596" s="159"/>
      <c r="I596" s="159"/>
      <c r="J596" s="224"/>
      <c r="K596" s="159"/>
      <c r="L596" s="159"/>
      <c r="M596" s="159"/>
      <c r="O596" s="159"/>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c r="AP596" s="159"/>
      <c r="AQ596" s="159"/>
      <c r="AR596" s="159"/>
      <c r="AS596" s="159"/>
      <c r="AT596" s="159"/>
      <c r="AU596" s="159"/>
      <c r="AV596" s="159"/>
      <c r="AW596" s="159"/>
      <c r="AX596" s="159"/>
      <c r="AY596" s="159"/>
      <c r="AZ596" s="159"/>
      <c r="BA596" s="159"/>
    </row>
    <row r="597" spans="2:53" ht="17.399999999999999" customHeight="1">
      <c r="B597" s="159"/>
      <c r="C597" s="159"/>
      <c r="D597" s="159"/>
      <c r="E597" s="159"/>
      <c r="F597" s="159"/>
      <c r="G597" s="159"/>
      <c r="H597" s="159"/>
      <c r="I597" s="159"/>
      <c r="J597" s="224"/>
      <c r="K597" s="159"/>
      <c r="L597" s="159"/>
      <c r="M597" s="159"/>
      <c r="O597" s="159"/>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c r="AP597" s="159"/>
      <c r="AQ597" s="159"/>
      <c r="AR597" s="159"/>
      <c r="AS597" s="159"/>
      <c r="AT597" s="159"/>
      <c r="AU597" s="159"/>
      <c r="AV597" s="159"/>
      <c r="AW597" s="159"/>
      <c r="AX597" s="159"/>
      <c r="AY597" s="159"/>
      <c r="AZ597" s="159"/>
      <c r="BA597" s="159"/>
    </row>
    <row r="598" spans="2:53" ht="17.399999999999999" customHeight="1">
      <c r="B598" s="159"/>
      <c r="C598" s="159"/>
      <c r="D598" s="159"/>
      <c r="E598" s="159"/>
      <c r="F598" s="159"/>
      <c r="G598" s="159"/>
      <c r="H598" s="159"/>
      <c r="I598" s="159"/>
      <c r="J598" s="224"/>
      <c r="K598" s="159"/>
      <c r="L598" s="159"/>
      <c r="M598" s="159"/>
      <c r="O598" s="159"/>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c r="AQ598" s="159"/>
      <c r="AR598" s="159"/>
      <c r="AS598" s="159"/>
      <c r="AT598" s="159"/>
      <c r="AU598" s="159"/>
      <c r="AV598" s="159"/>
      <c r="AW598" s="159"/>
      <c r="AX598" s="159"/>
      <c r="AY598" s="159"/>
      <c r="AZ598" s="159"/>
      <c r="BA598" s="159"/>
    </row>
    <row r="599" spans="2:53" ht="17.399999999999999" customHeight="1">
      <c r="B599" s="159"/>
      <c r="C599" s="159"/>
      <c r="D599" s="159"/>
      <c r="E599" s="159"/>
      <c r="F599" s="159"/>
      <c r="G599" s="159"/>
      <c r="H599" s="159"/>
      <c r="I599" s="159"/>
      <c r="J599" s="224"/>
      <c r="K599" s="159"/>
      <c r="L599" s="159"/>
      <c r="M599" s="159"/>
      <c r="O599" s="159"/>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c r="AP599" s="159"/>
      <c r="AQ599" s="159"/>
      <c r="AR599" s="159"/>
      <c r="AS599" s="159"/>
      <c r="AT599" s="159"/>
      <c r="AU599" s="159"/>
      <c r="AV599" s="159"/>
      <c r="AW599" s="159"/>
      <c r="AX599" s="159"/>
      <c r="AY599" s="159"/>
      <c r="AZ599" s="159"/>
      <c r="BA599" s="159"/>
    </row>
    <row r="600" spans="2:53" ht="17.399999999999999" customHeight="1">
      <c r="B600" s="159"/>
      <c r="C600" s="159"/>
      <c r="D600" s="159"/>
      <c r="E600" s="159"/>
      <c r="F600" s="159"/>
      <c r="G600" s="159"/>
      <c r="H600" s="159"/>
      <c r="I600" s="159"/>
      <c r="J600" s="224"/>
      <c r="K600" s="159"/>
      <c r="L600" s="159"/>
      <c r="M600" s="159"/>
      <c r="O600" s="159"/>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c r="AP600" s="159"/>
      <c r="AQ600" s="159"/>
      <c r="AR600" s="159"/>
      <c r="AS600" s="159"/>
      <c r="AT600" s="159"/>
      <c r="AU600" s="159"/>
      <c r="AV600" s="159"/>
      <c r="AW600" s="159"/>
      <c r="AX600" s="159"/>
      <c r="AY600" s="159"/>
      <c r="AZ600" s="159"/>
      <c r="BA600" s="159"/>
    </row>
    <row r="601" spans="2:53" ht="17.399999999999999" customHeight="1">
      <c r="B601" s="159"/>
      <c r="C601" s="159"/>
      <c r="D601" s="159"/>
      <c r="E601" s="159"/>
      <c r="F601" s="159"/>
      <c r="G601" s="159"/>
      <c r="H601" s="159"/>
      <c r="I601" s="159"/>
      <c r="J601" s="224"/>
      <c r="K601" s="159"/>
      <c r="L601" s="159"/>
      <c r="M601" s="159"/>
      <c r="O601" s="159"/>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c r="AP601" s="159"/>
      <c r="AQ601" s="159"/>
      <c r="AR601" s="159"/>
      <c r="AS601" s="159"/>
      <c r="AT601" s="159"/>
      <c r="AU601" s="159"/>
      <c r="AV601" s="159"/>
      <c r="AW601" s="159"/>
      <c r="AX601" s="159"/>
      <c r="AY601" s="159"/>
      <c r="AZ601" s="159"/>
      <c r="BA601" s="159"/>
    </row>
    <row r="602" spans="2:53" ht="17.399999999999999" customHeight="1">
      <c r="B602" s="159"/>
      <c r="C602" s="159"/>
      <c r="D602" s="159"/>
      <c r="E602" s="159"/>
      <c r="F602" s="159"/>
      <c r="G602" s="159"/>
      <c r="H602" s="159"/>
      <c r="I602" s="159"/>
      <c r="J602" s="224"/>
      <c r="K602" s="159"/>
      <c r="L602" s="159"/>
      <c r="M602" s="159"/>
      <c r="O602" s="159"/>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c r="AP602" s="159"/>
      <c r="AQ602" s="159"/>
      <c r="AR602" s="159"/>
      <c r="AS602" s="159"/>
      <c r="AT602" s="159"/>
      <c r="AU602" s="159"/>
      <c r="AV602" s="159"/>
      <c r="AW602" s="159"/>
      <c r="AX602" s="159"/>
      <c r="AY602" s="159"/>
      <c r="AZ602" s="159"/>
      <c r="BA602" s="159"/>
    </row>
    <row r="603" spans="2:53" ht="17.399999999999999" customHeight="1">
      <c r="B603" s="159"/>
      <c r="C603" s="159"/>
      <c r="D603" s="159"/>
      <c r="E603" s="159"/>
      <c r="F603" s="159"/>
      <c r="G603" s="159"/>
      <c r="H603" s="159"/>
      <c r="I603" s="159"/>
      <c r="J603" s="224"/>
      <c r="K603" s="159"/>
      <c r="L603" s="159"/>
      <c r="M603" s="159"/>
      <c r="O603" s="159"/>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c r="AP603" s="159"/>
      <c r="AQ603" s="159"/>
      <c r="AR603" s="159"/>
      <c r="AS603" s="159"/>
      <c r="AT603" s="159"/>
      <c r="AU603" s="159"/>
      <c r="AV603" s="159"/>
      <c r="AW603" s="159"/>
      <c r="AX603" s="159"/>
      <c r="AY603" s="159"/>
      <c r="AZ603" s="159"/>
      <c r="BA603" s="159"/>
    </row>
    <row r="604" spans="2:53" ht="17.399999999999999" customHeight="1">
      <c r="B604" s="159"/>
      <c r="C604" s="159"/>
      <c r="D604" s="159"/>
      <c r="E604" s="159"/>
      <c r="F604" s="159"/>
      <c r="G604" s="159"/>
      <c r="H604" s="159"/>
      <c r="I604" s="159"/>
      <c r="J604" s="224"/>
      <c r="K604" s="159"/>
      <c r="L604" s="159"/>
      <c r="M604" s="159"/>
      <c r="O604" s="159"/>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c r="AP604" s="159"/>
      <c r="AQ604" s="159"/>
      <c r="AR604" s="159"/>
      <c r="AS604" s="159"/>
      <c r="AT604" s="159"/>
      <c r="AU604" s="159"/>
      <c r="AV604" s="159"/>
      <c r="AW604" s="159"/>
      <c r="AX604" s="159"/>
      <c r="AY604" s="159"/>
      <c r="AZ604" s="159"/>
      <c r="BA604" s="159"/>
    </row>
    <row r="605" spans="2:53" ht="17.399999999999999" customHeight="1">
      <c r="B605" s="159"/>
      <c r="C605" s="159"/>
      <c r="D605" s="159"/>
      <c r="E605" s="159"/>
      <c r="F605" s="159"/>
      <c r="G605" s="159"/>
      <c r="H605" s="159"/>
      <c r="I605" s="159"/>
      <c r="J605" s="224"/>
      <c r="K605" s="159"/>
      <c r="L605" s="159"/>
      <c r="M605" s="159"/>
      <c r="O605" s="159"/>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c r="AP605" s="159"/>
      <c r="AQ605" s="159"/>
      <c r="AR605" s="159"/>
      <c r="AS605" s="159"/>
      <c r="AT605" s="159"/>
      <c r="AU605" s="159"/>
      <c r="AV605" s="159"/>
      <c r="AW605" s="159"/>
      <c r="AX605" s="159"/>
      <c r="AY605" s="159"/>
      <c r="AZ605" s="159"/>
      <c r="BA605" s="159"/>
    </row>
    <row r="606" spans="2:53" ht="17.399999999999999" customHeight="1">
      <c r="B606" s="159"/>
      <c r="C606" s="159"/>
      <c r="D606" s="159"/>
      <c r="E606" s="159"/>
      <c r="F606" s="159"/>
      <c r="G606" s="159"/>
      <c r="H606" s="159"/>
      <c r="I606" s="159"/>
      <c r="J606" s="224"/>
      <c r="K606" s="159"/>
      <c r="L606" s="159"/>
      <c r="M606" s="159"/>
      <c r="O606" s="159"/>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c r="AP606" s="159"/>
      <c r="AQ606" s="159"/>
      <c r="AR606" s="159"/>
      <c r="AS606" s="159"/>
      <c r="AT606" s="159"/>
      <c r="AU606" s="159"/>
      <c r="AV606" s="159"/>
      <c r="AW606" s="159"/>
      <c r="AX606" s="159"/>
      <c r="AY606" s="159"/>
      <c r="AZ606" s="159"/>
      <c r="BA606" s="159"/>
    </row>
    <row r="607" spans="2:53" ht="17.399999999999999" customHeight="1">
      <c r="B607" s="159"/>
      <c r="C607" s="159"/>
      <c r="D607" s="159"/>
      <c r="E607" s="159"/>
      <c r="F607" s="159"/>
      <c r="G607" s="159"/>
      <c r="H607" s="159"/>
      <c r="I607" s="159"/>
      <c r="J607" s="224"/>
      <c r="K607" s="159"/>
      <c r="L607" s="159"/>
      <c r="M607" s="159"/>
      <c r="O607" s="159"/>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c r="AN607" s="159"/>
      <c r="AO607" s="159"/>
      <c r="AP607" s="159"/>
      <c r="AQ607" s="159"/>
      <c r="AR607" s="159"/>
      <c r="AS607" s="159"/>
      <c r="AT607" s="159"/>
      <c r="AU607" s="159"/>
      <c r="AV607" s="159"/>
      <c r="AW607" s="159"/>
      <c r="AX607" s="159"/>
      <c r="AY607" s="159"/>
      <c r="AZ607" s="159"/>
      <c r="BA607" s="159"/>
    </row>
    <row r="608" spans="2:53" ht="17.399999999999999" customHeight="1">
      <c r="B608" s="159"/>
      <c r="C608" s="159"/>
      <c r="D608" s="159"/>
      <c r="E608" s="159"/>
      <c r="F608" s="159"/>
      <c r="G608" s="159"/>
      <c r="H608" s="159"/>
      <c r="I608" s="159"/>
      <c r="J608" s="224"/>
      <c r="K608" s="159"/>
      <c r="L608" s="159"/>
      <c r="M608" s="159"/>
      <c r="O608" s="159"/>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c r="AN608" s="159"/>
      <c r="AO608" s="159"/>
      <c r="AP608" s="159"/>
      <c r="AQ608" s="159"/>
      <c r="AR608" s="159"/>
      <c r="AS608" s="159"/>
      <c r="AT608" s="159"/>
      <c r="AU608" s="159"/>
      <c r="AV608" s="159"/>
      <c r="AW608" s="159"/>
      <c r="AX608" s="159"/>
      <c r="AY608" s="159"/>
      <c r="AZ608" s="159"/>
      <c r="BA608" s="159"/>
    </row>
    <row r="609" spans="2:53" ht="17.399999999999999" customHeight="1">
      <c r="B609" s="159"/>
      <c r="C609" s="159"/>
      <c r="D609" s="159"/>
      <c r="E609" s="159"/>
      <c r="F609" s="159"/>
      <c r="G609" s="159"/>
      <c r="H609" s="159"/>
      <c r="I609" s="159"/>
      <c r="J609" s="224"/>
      <c r="K609" s="159"/>
      <c r="L609" s="159"/>
      <c r="M609" s="159"/>
      <c r="O609" s="159"/>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c r="AN609" s="159"/>
      <c r="AO609" s="159"/>
      <c r="AP609" s="159"/>
      <c r="AQ609" s="159"/>
      <c r="AR609" s="159"/>
      <c r="AS609" s="159"/>
      <c r="AT609" s="159"/>
      <c r="AU609" s="159"/>
      <c r="AV609" s="159"/>
      <c r="AW609" s="159"/>
      <c r="AX609" s="159"/>
      <c r="AY609" s="159"/>
      <c r="AZ609" s="159"/>
      <c r="BA609" s="159"/>
    </row>
    <row r="610" spans="2:53" ht="17.399999999999999" customHeight="1">
      <c r="B610" s="159"/>
      <c r="C610" s="159"/>
      <c r="D610" s="159"/>
      <c r="E610" s="159"/>
      <c r="F610" s="159"/>
      <c r="G610" s="159"/>
      <c r="H610" s="159"/>
      <c r="I610" s="159"/>
      <c r="J610" s="224"/>
      <c r="K610" s="159"/>
      <c r="L610" s="159"/>
      <c r="M610" s="159"/>
      <c r="O610" s="159"/>
      <c r="P610" s="159"/>
      <c r="Q610" s="159"/>
      <c r="R610" s="159"/>
      <c r="S610" s="159"/>
      <c r="T610" s="159"/>
      <c r="U610" s="159"/>
      <c r="V610" s="159"/>
      <c r="W610" s="159"/>
      <c r="X610" s="159"/>
      <c r="Y610" s="159"/>
      <c r="Z610" s="159"/>
      <c r="AA610" s="159"/>
      <c r="AB610" s="159"/>
      <c r="AC610" s="159"/>
      <c r="AD610" s="159"/>
      <c r="AE610" s="159"/>
      <c r="AF610" s="159"/>
      <c r="AG610" s="159"/>
      <c r="AH610" s="159"/>
      <c r="AI610" s="159"/>
      <c r="AJ610" s="159"/>
      <c r="AK610" s="159"/>
      <c r="AL610" s="159"/>
      <c r="AM610" s="159"/>
      <c r="AN610" s="159"/>
      <c r="AO610" s="159"/>
      <c r="AP610" s="159"/>
      <c r="AQ610" s="159"/>
      <c r="AR610" s="159"/>
      <c r="AS610" s="159"/>
      <c r="AT610" s="159"/>
      <c r="AU610" s="159"/>
      <c r="AV610" s="159"/>
      <c r="AW610" s="159"/>
      <c r="AX610" s="159"/>
      <c r="AY610" s="159"/>
      <c r="AZ610" s="159"/>
      <c r="BA610" s="159"/>
    </row>
    <row r="611" spans="2:53" ht="17.399999999999999" customHeight="1">
      <c r="B611" s="159"/>
      <c r="C611" s="159"/>
      <c r="D611" s="159"/>
      <c r="E611" s="159"/>
      <c r="F611" s="159"/>
      <c r="G611" s="159"/>
      <c r="H611" s="159"/>
      <c r="I611" s="159"/>
      <c r="J611" s="224"/>
      <c r="K611" s="159"/>
      <c r="L611" s="159"/>
      <c r="M611" s="159"/>
      <c r="O611" s="159"/>
      <c r="P611" s="159"/>
      <c r="Q611" s="159"/>
      <c r="R611" s="159"/>
      <c r="S611" s="159"/>
      <c r="T611" s="159"/>
      <c r="U611" s="159"/>
      <c r="V611" s="159"/>
      <c r="W611" s="159"/>
      <c r="X611" s="159"/>
      <c r="Y611" s="159"/>
      <c r="Z611" s="159"/>
      <c r="AA611" s="159"/>
      <c r="AB611" s="159"/>
      <c r="AC611" s="159"/>
      <c r="AD611" s="159"/>
      <c r="AE611" s="159"/>
      <c r="AF611" s="159"/>
      <c r="AG611" s="159"/>
      <c r="AH611" s="159"/>
      <c r="AI611" s="159"/>
      <c r="AJ611" s="159"/>
      <c r="AK611" s="159"/>
      <c r="AL611" s="159"/>
      <c r="AM611" s="159"/>
      <c r="AN611" s="159"/>
      <c r="AO611" s="159"/>
      <c r="AP611" s="159"/>
      <c r="AQ611" s="159"/>
      <c r="AR611" s="159"/>
      <c r="AS611" s="159"/>
      <c r="AT611" s="159"/>
      <c r="AU611" s="159"/>
      <c r="AV611" s="159"/>
      <c r="AW611" s="159"/>
      <c r="AX611" s="159"/>
      <c r="AY611" s="159"/>
      <c r="AZ611" s="159"/>
      <c r="BA611" s="159"/>
    </row>
    <row r="612" spans="2:53" ht="17.399999999999999" customHeight="1">
      <c r="B612" s="159"/>
      <c r="C612" s="159"/>
      <c r="D612" s="159"/>
      <c r="E612" s="159"/>
      <c r="F612" s="159"/>
      <c r="G612" s="159"/>
      <c r="H612" s="159"/>
      <c r="I612" s="159"/>
      <c r="J612" s="224"/>
      <c r="K612" s="159"/>
      <c r="L612" s="159"/>
      <c r="M612" s="159"/>
      <c r="O612" s="159"/>
      <c r="P612" s="159"/>
      <c r="Q612" s="159"/>
      <c r="R612" s="159"/>
      <c r="S612" s="159"/>
      <c r="T612" s="159"/>
      <c r="U612" s="159"/>
      <c r="V612" s="159"/>
      <c r="W612" s="159"/>
      <c r="X612" s="159"/>
      <c r="Y612" s="159"/>
      <c r="Z612" s="159"/>
      <c r="AA612" s="159"/>
      <c r="AB612" s="159"/>
      <c r="AC612" s="159"/>
      <c r="AD612" s="159"/>
      <c r="AE612" s="159"/>
      <c r="AF612" s="159"/>
      <c r="AG612" s="159"/>
      <c r="AH612" s="159"/>
      <c r="AI612" s="159"/>
      <c r="AJ612" s="159"/>
      <c r="AK612" s="159"/>
      <c r="AL612" s="159"/>
      <c r="AM612" s="159"/>
      <c r="AN612" s="159"/>
      <c r="AO612" s="159"/>
      <c r="AP612" s="159"/>
      <c r="AQ612" s="159"/>
      <c r="AR612" s="159"/>
      <c r="AS612" s="159"/>
      <c r="AT612" s="159"/>
      <c r="AU612" s="159"/>
      <c r="AV612" s="159"/>
      <c r="AW612" s="159"/>
      <c r="AX612" s="159"/>
      <c r="AY612" s="159"/>
      <c r="AZ612" s="159"/>
      <c r="BA612" s="159"/>
    </row>
    <row r="613" spans="2:53" s="159" customFormat="1" ht="17.399999999999999" customHeight="1">
      <c r="J613" s="224"/>
    </row>
    <row r="614" spans="2:53" ht="14.4"/>
    <row r="615" spans="2:53" ht="14.4"/>
    <row r="616" spans="2:53" ht="14.4"/>
    <row r="617" spans="2:53" ht="14.4"/>
    <row r="618" spans="2:53" ht="14.4"/>
    <row r="619" spans="2:53" ht="14.4"/>
    <row r="620" spans="2:53" ht="14.4"/>
    <row r="621" spans="2:53" ht="14.4"/>
    <row r="622" spans="2:53" ht="14.4"/>
    <row r="623" spans="2:53" ht="14.4"/>
    <row r="624" spans="2:53" ht="14.4"/>
    <row r="625" ht="14.4"/>
    <row r="626" ht="14.4"/>
    <row r="627" ht="14.4"/>
    <row r="628" ht="14.4"/>
    <row r="629" ht="14.4"/>
    <row r="630" ht="14.4"/>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sheetData>
  <sheetProtection algorithmName="SHA-512" hashValue="DICeOmriz1ceD4RigmvUPeBoSysD9smWkZei/3livui6+/z4NTOHA+bpUI5EOSxMtpw+/uPluJtkGzTZHXRu8g==" saltValue="UBBbiDsTusMlflTBU0h+zA==" spinCount="100000" sheet="1" selectLockedCells="1"/>
  <mergeCells count="7">
    <mergeCell ref="J97:K97"/>
    <mergeCell ref="J39:M39"/>
    <mergeCell ref="F5:K5"/>
    <mergeCell ref="F7:K7"/>
    <mergeCell ref="F30:K30"/>
    <mergeCell ref="F31:K31"/>
    <mergeCell ref="F32:G32"/>
  </mergeCells>
  <conditionalFormatting sqref="C181">
    <cfRule type="containsText" dxfId="13" priority="2" operator="containsText" text="nie spełniają">
      <formula>NOT(ISERROR(SEARCH("nie spełniają",C181)))</formula>
    </cfRule>
  </conditionalFormatting>
  <conditionalFormatting sqref="C201">
    <cfRule type="containsText" dxfId="12" priority="1" operator="containsText" text="nie spełniają">
      <formula>NOT(ISERROR(SEARCH("nie spełniają",C201)))</formula>
    </cfRule>
  </conditionalFormatting>
  <dataValidations count="2">
    <dataValidation type="list" allowBlank="1" showInputMessage="1" showErrorMessage="1" sqref="Q50" xr:uid="{00000000-0002-0000-0200-000000000000}">
      <formula1>$O$56:$O$59</formula1>
    </dataValidation>
    <dataValidation operator="lessThanOrEqual" allowBlank="1" showInputMessage="1" showErrorMessage="1" sqref="F5:K5" xr:uid="{00000000-0002-0000-0200-000001000000}"/>
  </dataValidations>
  <hyperlinks>
    <hyperlink ref="R187" r:id="rId1" xr:uid="{00000000-0004-0000-0200-000000000000}"/>
    <hyperlink ref="R188" r:id="rId2" xr:uid="{00000000-0004-0000-0200-000001000000}"/>
  </hyperlinks>
  <pageMargins left="0.59055118110236227" right="0.59055118110236227" top="0.78740157480314965" bottom="0.19685039370078741" header="0.19685039370078741" footer="0.19685039370078741"/>
  <pageSetup paperSize="9" scale="95" fitToHeight="0" orientation="portrait" r:id="rId3"/>
  <headerFooter>
    <oddHeader>&amp;R
&amp;G</oddHeader>
    <oddFooter>&amp;C&amp;"-,Standardowy"&amp;9&amp;K00-032 Wydruk wygenerowany z arkusza doboru układów utrzymania ciśnienia firmy IMI HYDRONIC ENGINEERING.</oddFooter>
  </headerFooter>
  <rowBreaks count="5" manualBreakCount="5">
    <brk id="72" max="16383" man="1"/>
    <brk id="116" max="16383" man="1"/>
    <brk id="157" max="16383" man="1"/>
    <brk id="201" max="16383" man="1"/>
    <brk id="239" max="16383" man="1"/>
  </rowBreaks>
  <drawing r:id="rId4"/>
  <legacyDrawing r:id="rId5"/>
  <legacyDrawingHF r:id="rId6"/>
  <oleObjects>
    <mc:AlternateContent xmlns:mc="http://schemas.openxmlformats.org/markup-compatibility/2006">
      <mc:Choice Requires="x14">
        <oleObject progId="Equation.3" shapeId="6152" r:id="rId7">
          <objectPr defaultSize="0" autoPict="0" r:id="rId8">
            <anchor moveWithCells="1">
              <from>
                <xdr:col>3</xdr:col>
                <xdr:colOff>198120</xdr:colOff>
                <xdr:row>45</xdr:row>
                <xdr:rowOff>83820</xdr:rowOff>
              </from>
              <to>
                <xdr:col>8</xdr:col>
                <xdr:colOff>114300</xdr:colOff>
                <xdr:row>48</xdr:row>
                <xdr:rowOff>7620</xdr:rowOff>
              </to>
            </anchor>
          </objectPr>
        </oleObject>
      </mc:Choice>
      <mc:Fallback>
        <oleObject progId="Equation.3" shapeId="6152" r:id="rId7"/>
      </mc:Fallback>
    </mc:AlternateContent>
    <mc:AlternateContent xmlns:mc="http://schemas.openxmlformats.org/markup-compatibility/2006">
      <mc:Choice Requires="x14">
        <oleObject progId="Equation.3" shapeId="6154" r:id="rId9">
          <objectPr defaultSize="0" autoPict="0" r:id="rId10">
            <anchor moveWithCells="1">
              <from>
                <xdr:col>3</xdr:col>
                <xdr:colOff>198120</xdr:colOff>
                <xdr:row>99</xdr:row>
                <xdr:rowOff>99060</xdr:rowOff>
              </from>
              <to>
                <xdr:col>6</xdr:col>
                <xdr:colOff>182880</xdr:colOff>
                <xdr:row>102</xdr:row>
                <xdr:rowOff>22860</xdr:rowOff>
              </to>
            </anchor>
          </objectPr>
        </oleObject>
      </mc:Choice>
      <mc:Fallback>
        <oleObject progId="Equation.3" shapeId="6154" r:id="rId9"/>
      </mc:Fallback>
    </mc:AlternateContent>
    <mc:AlternateContent xmlns:mc="http://schemas.openxmlformats.org/markup-compatibility/2006">
      <mc:Choice Requires="x14">
        <oleObject progId="Equation.3" shapeId="6163" r:id="rId11">
          <objectPr defaultSize="0" autoPict="0" r:id="rId12">
            <anchor moveWithCells="1">
              <from>
                <xdr:col>3</xdr:col>
                <xdr:colOff>114300</xdr:colOff>
                <xdr:row>230</xdr:row>
                <xdr:rowOff>83820</xdr:rowOff>
              </from>
              <to>
                <xdr:col>6</xdr:col>
                <xdr:colOff>403860</xdr:colOff>
                <xdr:row>232</xdr:row>
                <xdr:rowOff>121920</xdr:rowOff>
              </to>
            </anchor>
          </objectPr>
        </oleObject>
      </mc:Choice>
      <mc:Fallback>
        <oleObject progId="Equation.3" shapeId="6163" r:id="rId11"/>
      </mc:Fallback>
    </mc:AlternateContent>
    <mc:AlternateContent xmlns:mc="http://schemas.openxmlformats.org/markup-compatibility/2006">
      <mc:Choice Requires="x14">
        <oleObject progId="Equation.3" shapeId="6172" r:id="rId13">
          <objectPr defaultSize="0" autoPict="0" r:id="rId14">
            <anchor moveWithCells="1">
              <from>
                <xdr:col>3</xdr:col>
                <xdr:colOff>213360</xdr:colOff>
                <xdr:row>57</xdr:row>
                <xdr:rowOff>0</xdr:rowOff>
              </from>
              <to>
                <xdr:col>5</xdr:col>
                <xdr:colOff>312420</xdr:colOff>
                <xdr:row>58</xdr:row>
                <xdr:rowOff>45720</xdr:rowOff>
              </to>
            </anchor>
          </objectPr>
        </oleObject>
      </mc:Choice>
      <mc:Fallback>
        <oleObject progId="Equation.3" shapeId="6172" r:id="rId13"/>
      </mc:Fallback>
    </mc:AlternateContent>
    <mc:AlternateContent xmlns:mc="http://schemas.openxmlformats.org/markup-compatibility/2006">
      <mc:Choice Requires="x14">
        <oleObject progId="Equation.3" shapeId="6177" r:id="rId15">
          <objectPr defaultSize="0" autoPict="0" r:id="rId16">
            <anchor moveWithCells="1">
              <from>
                <xdr:col>3</xdr:col>
                <xdr:colOff>228600</xdr:colOff>
                <xdr:row>73</xdr:row>
                <xdr:rowOff>121920</xdr:rowOff>
              </from>
              <to>
                <xdr:col>5</xdr:col>
                <xdr:colOff>114300</xdr:colOff>
                <xdr:row>75</xdr:row>
                <xdr:rowOff>106680</xdr:rowOff>
              </to>
            </anchor>
          </objectPr>
        </oleObject>
      </mc:Choice>
      <mc:Fallback>
        <oleObject progId="Equation.3" shapeId="6177" r:id="rId15"/>
      </mc:Fallback>
    </mc:AlternateContent>
    <mc:AlternateContent xmlns:mc="http://schemas.openxmlformats.org/markup-compatibility/2006">
      <mc:Choice Requires="x14">
        <oleObject progId="Equation.3" shapeId="6178" r:id="rId17">
          <objectPr defaultSize="0" autoPict="0" r:id="rId18">
            <anchor moveWithCells="1">
              <from>
                <xdr:col>3</xdr:col>
                <xdr:colOff>121920</xdr:colOff>
                <xdr:row>86</xdr:row>
                <xdr:rowOff>22860</xdr:rowOff>
              </from>
              <to>
                <xdr:col>5</xdr:col>
                <xdr:colOff>312420</xdr:colOff>
                <xdr:row>87</xdr:row>
                <xdr:rowOff>30480</xdr:rowOff>
              </to>
            </anchor>
          </objectPr>
        </oleObject>
      </mc:Choice>
      <mc:Fallback>
        <oleObject progId="Equation.3" shapeId="6178" r:id="rId17"/>
      </mc:Fallback>
    </mc:AlternateContent>
    <mc:AlternateContent xmlns:mc="http://schemas.openxmlformats.org/markup-compatibility/2006">
      <mc:Choice Requires="x14">
        <oleObject progId="Equation.3" shapeId="6181" r:id="rId19">
          <objectPr defaultSize="0" autoPict="0" r:id="rId20">
            <anchor moveWithCells="1">
              <from>
                <xdr:col>3</xdr:col>
                <xdr:colOff>198120</xdr:colOff>
                <xdr:row>118</xdr:row>
                <xdr:rowOff>7620</xdr:rowOff>
              </from>
              <to>
                <xdr:col>6</xdr:col>
                <xdr:colOff>60960</xdr:colOff>
                <xdr:row>119</xdr:row>
                <xdr:rowOff>60960</xdr:rowOff>
              </to>
            </anchor>
          </objectPr>
        </oleObject>
      </mc:Choice>
      <mc:Fallback>
        <oleObject progId="Equation.3" shapeId="6181" r:id="rId19"/>
      </mc:Fallback>
    </mc:AlternateContent>
    <mc:AlternateContent xmlns:mc="http://schemas.openxmlformats.org/markup-compatibility/2006">
      <mc:Choice Requires="x14">
        <oleObject progId="Equation.3" shapeId="6184" r:id="rId21">
          <objectPr defaultSize="0" autoPict="0" r:id="rId22">
            <anchor moveWithCells="1">
              <from>
                <xdr:col>3</xdr:col>
                <xdr:colOff>137160</xdr:colOff>
                <xdr:row>135</xdr:row>
                <xdr:rowOff>160020</xdr:rowOff>
              </from>
              <to>
                <xdr:col>7</xdr:col>
                <xdr:colOff>350520</xdr:colOff>
                <xdr:row>141</xdr:row>
                <xdr:rowOff>99060</xdr:rowOff>
              </to>
            </anchor>
          </objectPr>
        </oleObject>
      </mc:Choice>
      <mc:Fallback>
        <oleObject progId="Equation.3" shapeId="6184" r:id="rId21"/>
      </mc:Fallback>
    </mc:AlternateContent>
    <mc:AlternateContent xmlns:mc="http://schemas.openxmlformats.org/markup-compatibility/2006">
      <mc:Choice Requires="x14">
        <oleObject progId="Equation.3" shapeId="6187" r:id="rId23">
          <objectPr defaultSize="0" autoPict="0" r:id="rId8">
            <anchor moveWithCells="1">
              <from>
                <xdr:col>3</xdr:col>
                <xdr:colOff>182880</xdr:colOff>
                <xdr:row>158</xdr:row>
                <xdr:rowOff>137160</xdr:rowOff>
              </from>
              <to>
                <xdr:col>7</xdr:col>
                <xdr:colOff>228600</xdr:colOff>
                <xdr:row>161</xdr:row>
                <xdr:rowOff>0</xdr:rowOff>
              </to>
            </anchor>
          </objectPr>
        </oleObject>
      </mc:Choice>
      <mc:Fallback>
        <oleObject progId="Equation.3" shapeId="6187" r:id="rId23"/>
      </mc:Fallback>
    </mc:AlternateContent>
    <mc:AlternateContent xmlns:mc="http://schemas.openxmlformats.org/markup-compatibility/2006">
      <mc:Choice Requires="x14">
        <oleObject progId="Equation.3" shapeId="6188" r:id="rId24">
          <objectPr defaultSize="0" autoPict="0" r:id="rId25">
            <anchor moveWithCells="1">
              <from>
                <xdr:col>3</xdr:col>
                <xdr:colOff>38100</xdr:colOff>
                <xdr:row>188</xdr:row>
                <xdr:rowOff>99060</xdr:rowOff>
              </from>
              <to>
                <xdr:col>5</xdr:col>
                <xdr:colOff>76200</xdr:colOff>
                <xdr:row>189</xdr:row>
                <xdr:rowOff>152400</xdr:rowOff>
              </to>
            </anchor>
          </objectPr>
        </oleObject>
      </mc:Choice>
      <mc:Fallback>
        <oleObject progId="Equation.3" shapeId="6188" r:id="rId24"/>
      </mc:Fallback>
    </mc:AlternateContent>
    <mc:AlternateContent xmlns:mc="http://schemas.openxmlformats.org/markup-compatibility/2006">
      <mc:Choice Requires="x14">
        <oleObject progId="Equation.3" shapeId="6189" r:id="rId26">
          <objectPr defaultSize="0" autoPict="0" r:id="rId27">
            <anchor moveWithCells="1">
              <from>
                <xdr:col>3</xdr:col>
                <xdr:colOff>403860</xdr:colOff>
                <xdr:row>203</xdr:row>
                <xdr:rowOff>160020</xdr:rowOff>
              </from>
              <to>
                <xdr:col>5</xdr:col>
                <xdr:colOff>266700</xdr:colOff>
                <xdr:row>205</xdr:row>
                <xdr:rowOff>30480</xdr:rowOff>
              </to>
            </anchor>
          </objectPr>
        </oleObject>
      </mc:Choice>
      <mc:Fallback>
        <oleObject progId="Equation.3" shapeId="6189" r:id="rId26"/>
      </mc:Fallback>
    </mc:AlternateContent>
  </oleObjects>
  <mc:AlternateContent xmlns:mc="http://schemas.openxmlformats.org/markup-compatibility/2006">
    <mc:Choice Requires="x14">
      <controls>
        <mc:AlternateContent xmlns:mc="http://schemas.openxmlformats.org/markup-compatibility/2006">
          <mc:Choice Requires="x14">
            <control shapeId="6147" r:id="rId28" name="Spinner 3">
              <controlPr defaultSize="0" autoPict="0">
                <anchor moveWithCells="1" sizeWithCells="1">
                  <from>
                    <xdr:col>11</xdr:col>
                    <xdr:colOff>335280</xdr:colOff>
                    <xdr:row>7</xdr:row>
                    <xdr:rowOff>83820</xdr:rowOff>
                  </from>
                  <to>
                    <xdr:col>12</xdr:col>
                    <xdr:colOff>0</xdr:colOff>
                    <xdr:row>9</xdr:row>
                    <xdr:rowOff>38100</xdr:rowOff>
                  </to>
                </anchor>
              </controlPr>
            </control>
          </mc:Choice>
        </mc:AlternateContent>
        <mc:AlternateContent xmlns:mc="http://schemas.openxmlformats.org/markup-compatibility/2006">
          <mc:Choice Requires="x14">
            <control shapeId="6148" r:id="rId29" name="Spinner 4">
              <controlPr defaultSize="0" autoPict="0">
                <anchor moveWithCells="1" sizeWithCells="1">
                  <from>
                    <xdr:col>11</xdr:col>
                    <xdr:colOff>335280</xdr:colOff>
                    <xdr:row>9</xdr:row>
                    <xdr:rowOff>83820</xdr:rowOff>
                  </from>
                  <to>
                    <xdr:col>12</xdr:col>
                    <xdr:colOff>0</xdr:colOff>
                    <xdr:row>11</xdr:row>
                    <xdr:rowOff>38100</xdr:rowOff>
                  </to>
                </anchor>
              </controlPr>
            </control>
          </mc:Choice>
        </mc:AlternateContent>
        <mc:AlternateContent xmlns:mc="http://schemas.openxmlformats.org/markup-compatibility/2006">
          <mc:Choice Requires="x14">
            <control shapeId="6149" r:id="rId30" name="Spinner 5">
              <controlPr defaultSize="0" autoPict="0">
                <anchor moveWithCells="1" sizeWithCells="1">
                  <from>
                    <xdr:col>11</xdr:col>
                    <xdr:colOff>335280</xdr:colOff>
                    <xdr:row>17</xdr:row>
                    <xdr:rowOff>99060</xdr:rowOff>
                  </from>
                  <to>
                    <xdr:col>12</xdr:col>
                    <xdr:colOff>0</xdr:colOff>
                    <xdr:row>19</xdr:row>
                    <xdr:rowOff>45720</xdr:rowOff>
                  </to>
                </anchor>
              </controlPr>
            </control>
          </mc:Choice>
        </mc:AlternateContent>
        <mc:AlternateContent xmlns:mc="http://schemas.openxmlformats.org/markup-compatibility/2006">
          <mc:Choice Requires="x14">
            <control shapeId="6150" r:id="rId31" name="Spinner 6">
              <controlPr defaultSize="0" autoPict="0">
                <anchor moveWithCells="1" sizeWithCells="1">
                  <from>
                    <xdr:col>11</xdr:col>
                    <xdr:colOff>335280</xdr:colOff>
                    <xdr:row>19</xdr:row>
                    <xdr:rowOff>99060</xdr:rowOff>
                  </from>
                  <to>
                    <xdr:col>12</xdr:col>
                    <xdr:colOff>0</xdr:colOff>
                    <xdr:row>21</xdr:row>
                    <xdr:rowOff>45720</xdr:rowOff>
                  </to>
                </anchor>
              </controlPr>
            </control>
          </mc:Choice>
        </mc:AlternateContent>
        <mc:AlternateContent xmlns:mc="http://schemas.openxmlformats.org/markup-compatibility/2006">
          <mc:Choice Requires="x14">
            <control shapeId="6151" r:id="rId32" name="Check Box 7">
              <controlPr defaultSize="0" autoFill="0" autoLine="0" autoPict="0">
                <anchor moveWithCells="1">
                  <from>
                    <xdr:col>11</xdr:col>
                    <xdr:colOff>175260</xdr:colOff>
                    <xdr:row>22</xdr:row>
                    <xdr:rowOff>160020</xdr:rowOff>
                  </from>
                  <to>
                    <xdr:col>12</xdr:col>
                    <xdr:colOff>30480</xdr:colOff>
                    <xdr:row>23</xdr:row>
                    <xdr:rowOff>160020</xdr:rowOff>
                  </to>
                </anchor>
              </controlPr>
            </control>
          </mc:Choice>
        </mc:AlternateContent>
        <mc:AlternateContent xmlns:mc="http://schemas.openxmlformats.org/markup-compatibility/2006">
          <mc:Choice Requires="x14">
            <control shapeId="6158" r:id="rId33" name="Drop Down 14">
              <controlPr defaultSize="0" autoLine="0" autoPict="0">
                <anchor moveWithCells="1">
                  <from>
                    <xdr:col>2</xdr:col>
                    <xdr:colOff>30480</xdr:colOff>
                    <xdr:row>178</xdr:row>
                    <xdr:rowOff>175260</xdr:rowOff>
                  </from>
                  <to>
                    <xdr:col>4</xdr:col>
                    <xdr:colOff>342900</xdr:colOff>
                    <xdr:row>179</xdr:row>
                    <xdr:rowOff>175260</xdr:rowOff>
                  </to>
                </anchor>
              </controlPr>
            </control>
          </mc:Choice>
        </mc:AlternateContent>
        <mc:AlternateContent xmlns:mc="http://schemas.openxmlformats.org/markup-compatibility/2006">
          <mc:Choice Requires="x14">
            <control shapeId="6159" r:id="rId34" name="Spinner 15">
              <controlPr defaultSize="0" autoPict="0">
                <anchor moveWithCells="1" sizeWithCells="1">
                  <from>
                    <xdr:col>7</xdr:col>
                    <xdr:colOff>289560</xdr:colOff>
                    <xdr:row>178</xdr:row>
                    <xdr:rowOff>45720</xdr:rowOff>
                  </from>
                  <to>
                    <xdr:col>8</xdr:col>
                    <xdr:colOff>137160</xdr:colOff>
                    <xdr:row>180</xdr:row>
                    <xdr:rowOff>0</xdr:rowOff>
                  </to>
                </anchor>
              </controlPr>
            </control>
          </mc:Choice>
        </mc:AlternateContent>
        <mc:AlternateContent xmlns:mc="http://schemas.openxmlformats.org/markup-compatibility/2006">
          <mc:Choice Requires="x14">
            <control shapeId="6192" r:id="rId35" name="Spinner 48">
              <controlPr defaultSize="0" autoPict="0">
                <anchor moveWithCells="1" sizeWithCells="1">
                  <from>
                    <xdr:col>11</xdr:col>
                    <xdr:colOff>335280</xdr:colOff>
                    <xdr:row>24</xdr:row>
                    <xdr:rowOff>106680</xdr:rowOff>
                  </from>
                  <to>
                    <xdr:col>12</xdr:col>
                    <xdr:colOff>0</xdr:colOff>
                    <xdr:row>26</xdr:row>
                    <xdr:rowOff>60960</xdr:rowOff>
                  </to>
                </anchor>
              </controlPr>
            </control>
          </mc:Choice>
        </mc:AlternateContent>
        <mc:AlternateContent xmlns:mc="http://schemas.openxmlformats.org/markup-compatibility/2006">
          <mc:Choice Requires="x14">
            <control shapeId="6197" r:id="rId36" name="Spinner 53">
              <controlPr defaultSize="0" autoPict="0">
                <anchor moveWithCells="1" sizeWithCells="1">
                  <from>
                    <xdr:col>11</xdr:col>
                    <xdr:colOff>335280</xdr:colOff>
                    <xdr:row>11</xdr:row>
                    <xdr:rowOff>83820</xdr:rowOff>
                  </from>
                  <to>
                    <xdr:col>12</xdr:col>
                    <xdr:colOff>0</xdr:colOff>
                    <xdr:row>13</xdr:row>
                    <xdr:rowOff>38100</xdr:rowOff>
                  </to>
                </anchor>
              </controlPr>
            </control>
          </mc:Choice>
        </mc:AlternateContent>
        <mc:AlternateContent xmlns:mc="http://schemas.openxmlformats.org/markup-compatibility/2006">
          <mc:Choice Requires="x14">
            <control shapeId="6198" r:id="rId37" name="Drop Down 54">
              <controlPr defaultSize="0" autoLine="0" autoPict="0">
                <anchor moveWithCells="1">
                  <from>
                    <xdr:col>8</xdr:col>
                    <xdr:colOff>304800</xdr:colOff>
                    <xdr:row>14</xdr:row>
                    <xdr:rowOff>7620</xdr:rowOff>
                  </from>
                  <to>
                    <xdr:col>11</xdr:col>
                    <xdr:colOff>556260</xdr:colOff>
                    <xdr:row>15</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BA746"/>
  <sheetViews>
    <sheetView showGridLines="0" showRowColHeaders="0" zoomScaleNormal="100" zoomScaleSheetLayoutView="100" workbookViewId="0">
      <selection activeCell="F5" sqref="F5:K5"/>
    </sheetView>
  </sheetViews>
  <sheetFormatPr defaultColWidth="0" defaultRowHeight="15" customHeight="1" zeroHeight="1"/>
  <cols>
    <col min="1" max="1" width="8.69921875" style="156" customWidth="1"/>
    <col min="2" max="2" width="3.09765625" style="157" customWidth="1"/>
    <col min="3" max="3" width="7.19921875" style="157" customWidth="1"/>
    <col min="4" max="4" width="6.69921875" style="157" customWidth="1"/>
    <col min="5" max="5" width="7.5" style="157" customWidth="1"/>
    <col min="6" max="6" width="7.8984375" style="157" customWidth="1"/>
    <col min="7" max="7" width="6.69921875" style="157" customWidth="1"/>
    <col min="8" max="8" width="6.5" style="157" customWidth="1"/>
    <col min="9" max="9" width="6.8984375" style="157" customWidth="1"/>
    <col min="10" max="10" width="7.59765625" style="158" customWidth="1"/>
    <col min="11" max="11" width="9.3984375" style="157" customWidth="1"/>
    <col min="12" max="12" width="9.19921875" style="157" customWidth="1"/>
    <col min="13" max="13" width="6.09765625" style="157" customWidth="1"/>
    <col min="14" max="14" width="5.69921875" style="156" customWidth="1"/>
    <col min="15" max="21" width="9" style="157" customWidth="1"/>
    <col min="22" max="22" width="10.19921875" style="157" customWidth="1"/>
    <col min="23" max="23" width="10.3984375" style="157" customWidth="1"/>
    <col min="24" max="24" width="10.59765625" style="157" customWidth="1"/>
    <col min="25" max="25" width="10.8984375" style="157" customWidth="1"/>
    <col min="26" max="26" width="9" style="157" customWidth="1"/>
    <col min="27" max="53" width="0" style="157" hidden="1" customWidth="1"/>
    <col min="54" max="16384" width="9" style="157" hidden="1"/>
  </cols>
  <sheetData>
    <row r="1" spans="2:53" ht="52.5" customHeight="1">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row>
    <row r="2" spans="2:53" ht="17.399999999999999" customHeight="1">
      <c r="B2" s="160"/>
      <c r="C2" s="161"/>
      <c r="D2" s="162"/>
      <c r="E2" s="162"/>
      <c r="F2" s="162"/>
      <c r="G2" s="162"/>
      <c r="H2" s="162"/>
      <c r="I2" s="162"/>
      <c r="J2" s="161"/>
      <c r="K2" s="160"/>
      <c r="L2" s="160"/>
      <c r="M2" s="160"/>
      <c r="O2" s="163"/>
      <c r="P2" s="164"/>
      <c r="Q2" s="164"/>
      <c r="R2" s="164"/>
      <c r="S2" s="164"/>
      <c r="T2" s="164"/>
      <c r="U2" s="164"/>
      <c r="V2" s="164"/>
      <c r="W2" s="164"/>
      <c r="X2" s="164"/>
      <c r="Y2" s="164"/>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row>
    <row r="3" spans="2:53" ht="17.399999999999999" customHeight="1">
      <c r="B3" s="160"/>
      <c r="C3" s="328" t="s">
        <v>2</v>
      </c>
      <c r="D3" s="162"/>
      <c r="E3" s="162"/>
      <c r="F3" s="162"/>
      <c r="G3" s="162"/>
      <c r="H3" s="162"/>
      <c r="I3" s="162"/>
      <c r="J3" s="161"/>
      <c r="K3" s="160"/>
      <c r="L3" s="160"/>
      <c r="M3" s="160"/>
      <c r="O3" s="164"/>
      <c r="P3" s="166"/>
      <c r="Q3" s="166"/>
      <c r="R3" s="166"/>
      <c r="S3" s="166"/>
      <c r="T3" s="166"/>
      <c r="U3" s="166"/>
      <c r="V3" s="166"/>
      <c r="W3" s="166"/>
      <c r="X3" s="166"/>
      <c r="Y3" s="166"/>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row>
    <row r="4" spans="2:53" ht="17.399999999999999" customHeight="1">
      <c r="B4" s="160"/>
      <c r="C4" s="165"/>
      <c r="D4" s="162"/>
      <c r="E4" s="162"/>
      <c r="F4" s="162"/>
      <c r="G4" s="162"/>
      <c r="H4" s="162"/>
      <c r="I4" s="162"/>
      <c r="J4" s="161"/>
      <c r="K4" s="160"/>
      <c r="L4" s="160"/>
      <c r="M4" s="160"/>
      <c r="O4" s="164"/>
      <c r="P4" s="166"/>
      <c r="Q4" s="166"/>
      <c r="R4" s="166"/>
      <c r="S4" s="166"/>
      <c r="T4" s="166"/>
      <c r="U4" s="166"/>
      <c r="V4" s="166"/>
      <c r="W4" s="166"/>
      <c r="X4" s="166"/>
      <c r="Y4" s="166"/>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row>
    <row r="5" spans="2:53" ht="17.399999999999999" customHeight="1">
      <c r="B5" s="160"/>
      <c r="C5" s="165" t="s">
        <v>766</v>
      </c>
      <c r="D5" s="162"/>
      <c r="E5" s="162"/>
      <c r="F5" s="481"/>
      <c r="G5" s="482"/>
      <c r="H5" s="482"/>
      <c r="I5" s="482"/>
      <c r="J5" s="482"/>
      <c r="K5" s="483"/>
      <c r="L5" s="160"/>
      <c r="M5" s="160"/>
      <c r="O5" s="164"/>
      <c r="P5" s="166"/>
      <c r="Q5" s="166"/>
      <c r="R5" s="166"/>
      <c r="S5" s="166"/>
      <c r="T5" s="166"/>
      <c r="U5" s="166"/>
      <c r="V5" s="166"/>
      <c r="W5" s="166"/>
      <c r="X5" s="166"/>
      <c r="Y5" s="166"/>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row>
    <row r="6" spans="2:53" ht="17.399999999999999" customHeight="1">
      <c r="B6" s="160"/>
      <c r="C6" s="165"/>
      <c r="D6" s="162"/>
      <c r="E6" s="162"/>
      <c r="F6" s="162"/>
      <c r="G6" s="162"/>
      <c r="H6" s="162"/>
      <c r="I6" s="162"/>
      <c r="J6" s="161"/>
      <c r="K6" s="160"/>
      <c r="L6" s="160"/>
      <c r="M6" s="160"/>
      <c r="O6" s="164"/>
      <c r="P6" s="166"/>
      <c r="Q6" s="166"/>
      <c r="R6" s="166"/>
      <c r="S6" s="166"/>
      <c r="T6" s="166"/>
      <c r="U6" s="166"/>
      <c r="V6" s="166"/>
      <c r="W6" s="166"/>
      <c r="X6" s="166"/>
      <c r="Y6" s="166"/>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row>
    <row r="7" spans="2:53" ht="17.25" customHeight="1">
      <c r="B7" s="160"/>
      <c r="C7" s="165" t="s">
        <v>767</v>
      </c>
      <c r="D7" s="162"/>
      <c r="E7" s="162"/>
      <c r="F7" s="484" t="s">
        <v>994</v>
      </c>
      <c r="G7" s="482"/>
      <c r="H7" s="482"/>
      <c r="I7" s="482"/>
      <c r="J7" s="482"/>
      <c r="K7" s="483"/>
      <c r="L7" s="160"/>
      <c r="M7" s="160"/>
      <c r="O7" s="164"/>
      <c r="P7" s="166"/>
      <c r="Q7" s="166"/>
      <c r="R7" s="166"/>
      <c r="S7" s="166"/>
      <c r="T7" s="166"/>
      <c r="U7" s="166"/>
      <c r="V7" s="166"/>
      <c r="W7" s="166"/>
      <c r="X7" s="166"/>
      <c r="Y7" s="166"/>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row>
    <row r="8" spans="2:53" ht="17.399999999999999" customHeight="1">
      <c r="B8" s="160"/>
      <c r="C8" s="173"/>
      <c r="D8" s="162"/>
      <c r="E8" s="162"/>
      <c r="F8" s="162"/>
      <c r="G8" s="162"/>
      <c r="H8" s="162"/>
      <c r="I8" s="162"/>
      <c r="J8" s="170"/>
      <c r="K8" s="162"/>
      <c r="L8" s="162"/>
      <c r="M8" s="162"/>
      <c r="N8" s="167"/>
      <c r="O8" s="168"/>
      <c r="P8" s="169"/>
      <c r="Q8" s="169"/>
      <c r="R8" s="169"/>
      <c r="S8" s="169"/>
      <c r="T8" s="169"/>
      <c r="U8" s="169"/>
      <c r="V8" s="169"/>
      <c r="W8" s="169"/>
      <c r="X8" s="169"/>
      <c r="Y8" s="16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row>
    <row r="9" spans="2:53" ht="17.399999999999999" customHeight="1">
      <c r="B9" s="160"/>
      <c r="C9" s="162" t="s">
        <v>686</v>
      </c>
      <c r="D9" s="162"/>
      <c r="E9" s="162"/>
      <c r="F9" s="162"/>
      <c r="G9" s="162"/>
      <c r="H9" s="162"/>
      <c r="I9" s="162"/>
      <c r="J9" s="174"/>
      <c r="K9" s="2">
        <v>40</v>
      </c>
      <c r="L9" s="172" t="s">
        <v>12</v>
      </c>
      <c r="M9" s="162"/>
      <c r="N9" s="167"/>
      <c r="O9" s="168"/>
      <c r="P9" s="164"/>
      <c r="Q9" s="164"/>
      <c r="R9" s="164"/>
      <c r="S9" s="164"/>
      <c r="T9" s="164"/>
      <c r="U9" s="164"/>
      <c r="V9" s="169"/>
      <c r="W9" s="169"/>
      <c r="X9" s="169"/>
      <c r="Y9" s="16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row>
    <row r="10" spans="2:53" ht="17.399999999999999" customHeight="1">
      <c r="B10" s="160"/>
      <c r="C10" s="162"/>
      <c r="D10" s="162"/>
      <c r="E10" s="162"/>
      <c r="F10" s="162"/>
      <c r="G10" s="162"/>
      <c r="H10" s="162"/>
      <c r="I10" s="162"/>
      <c r="J10" s="170"/>
      <c r="K10" s="162"/>
      <c r="L10" s="162"/>
      <c r="M10" s="162"/>
      <c r="N10" s="167"/>
      <c r="O10" s="168"/>
      <c r="P10" s="164"/>
      <c r="Q10" s="164"/>
      <c r="R10" s="164"/>
      <c r="S10" s="164"/>
      <c r="T10" s="164"/>
      <c r="U10" s="164"/>
      <c r="V10" s="169"/>
      <c r="W10" s="169"/>
      <c r="X10" s="169"/>
      <c r="Y10" s="16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row>
    <row r="11" spans="2:53" ht="17.399999999999999" customHeight="1">
      <c r="B11" s="160"/>
      <c r="C11" s="162" t="s">
        <v>687</v>
      </c>
      <c r="D11" s="162"/>
      <c r="E11" s="162"/>
      <c r="F11" s="162"/>
      <c r="G11" s="162"/>
      <c r="H11" s="162"/>
      <c r="I11" s="162"/>
      <c r="J11" s="170"/>
      <c r="K11" s="2">
        <v>5</v>
      </c>
      <c r="L11" s="172" t="s">
        <v>12</v>
      </c>
      <c r="M11" s="162"/>
      <c r="N11" s="167"/>
      <c r="O11" s="168"/>
      <c r="P11" s="164"/>
      <c r="Q11" s="164"/>
      <c r="R11" s="164"/>
      <c r="S11" s="164"/>
      <c r="T11" s="164"/>
      <c r="U11" s="164"/>
      <c r="V11" s="169"/>
      <c r="W11" s="169"/>
      <c r="X11" s="169"/>
      <c r="Y11" s="16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row>
    <row r="12" spans="2:53" ht="17.399999999999999" customHeight="1">
      <c r="B12" s="160"/>
      <c r="C12" s="173" t="str">
        <f>IF(K11&lt;-34,"Min. temperatura powrotu nie może być niższa niż -34˚C","")</f>
        <v/>
      </c>
      <c r="D12" s="162"/>
      <c r="E12" s="162"/>
      <c r="F12" s="162"/>
      <c r="G12" s="162"/>
      <c r="H12" s="162"/>
      <c r="I12" s="162"/>
      <c r="J12" s="170"/>
      <c r="K12" s="162"/>
      <c r="L12" s="162"/>
      <c r="M12" s="162"/>
      <c r="N12" s="167"/>
      <c r="O12" s="168"/>
      <c r="P12" s="164"/>
      <c r="Q12" s="164"/>
      <c r="R12" s="164"/>
      <c r="S12" s="164"/>
      <c r="T12" s="164"/>
      <c r="U12" s="164"/>
      <c r="V12" s="169"/>
      <c r="W12" s="169"/>
      <c r="X12" s="169"/>
      <c r="Y12" s="16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row>
    <row r="13" spans="2:53" ht="17.399999999999999" customHeight="1">
      <c r="B13" s="160"/>
      <c r="C13" s="162" t="s">
        <v>713</v>
      </c>
      <c r="D13" s="162"/>
      <c r="E13" s="162"/>
      <c r="F13" s="162"/>
      <c r="G13" s="162"/>
      <c r="H13" s="162"/>
      <c r="I13" s="162"/>
      <c r="J13" s="170"/>
      <c r="K13" s="162"/>
      <c r="L13" s="162"/>
      <c r="M13" s="162"/>
      <c r="N13" s="167"/>
      <c r="O13" s="168"/>
      <c r="P13" s="164"/>
      <c r="Q13" s="164"/>
      <c r="R13" s="164"/>
      <c r="S13" s="164"/>
      <c r="T13" s="164"/>
      <c r="U13" s="164"/>
      <c r="V13" s="169"/>
      <c r="W13" s="169"/>
      <c r="X13" s="169"/>
      <c r="Y13" s="16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row>
    <row r="14" spans="2:53" ht="17.399999999999999" customHeight="1">
      <c r="B14" s="160"/>
      <c r="C14" s="175"/>
      <c r="D14" s="162"/>
      <c r="E14" s="162"/>
      <c r="F14" s="162"/>
      <c r="G14" s="162"/>
      <c r="H14" s="162"/>
      <c r="I14" s="162"/>
      <c r="J14" s="170"/>
      <c r="K14" s="162"/>
      <c r="L14" s="162"/>
      <c r="M14" s="162"/>
      <c r="N14" s="167"/>
      <c r="O14" s="168"/>
      <c r="P14" s="164"/>
      <c r="Q14" s="164"/>
      <c r="R14" s="164"/>
      <c r="S14" s="164"/>
      <c r="T14" s="164"/>
      <c r="U14" s="164"/>
      <c r="V14" s="169"/>
      <c r="W14" s="169"/>
      <c r="X14" s="169"/>
      <c r="Y14" s="16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row>
    <row r="15" spans="2:53" ht="17.399999999999999" customHeight="1">
      <c r="B15" s="160"/>
      <c r="C15" s="162" t="s">
        <v>770</v>
      </c>
      <c r="D15" s="162"/>
      <c r="E15" s="162"/>
      <c r="F15" s="162"/>
      <c r="G15" s="162"/>
      <c r="H15" s="162"/>
      <c r="I15" s="162"/>
      <c r="J15" s="176"/>
      <c r="K15" s="177"/>
      <c r="L15" s="333">
        <v>88.7</v>
      </c>
      <c r="M15" s="162"/>
      <c r="N15" s="167"/>
      <c r="O15" s="168"/>
      <c r="P15" s="164"/>
      <c r="Q15" s="164"/>
      <c r="R15" s="164"/>
      <c r="S15" s="164"/>
      <c r="T15" s="164"/>
      <c r="U15" s="164"/>
      <c r="V15" s="169"/>
      <c r="W15" s="169"/>
      <c r="X15" s="169"/>
      <c r="Y15" s="16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row>
    <row r="16" spans="2:53" ht="17.399999999999999" customHeight="1">
      <c r="B16" s="160"/>
      <c r="C16" s="162"/>
      <c r="D16" s="162"/>
      <c r="E16" s="162"/>
      <c r="F16" s="162"/>
      <c r="G16" s="162"/>
      <c r="H16" s="162"/>
      <c r="I16" s="162"/>
      <c r="J16" s="176"/>
      <c r="K16" s="177"/>
      <c r="L16" s="162"/>
      <c r="M16" s="162"/>
      <c r="O16" s="156"/>
      <c r="P16" s="156"/>
      <c r="Q16" s="156"/>
      <c r="R16" s="164"/>
      <c r="S16" s="164"/>
      <c r="T16" s="164"/>
      <c r="U16" s="164"/>
      <c r="V16" s="169"/>
      <c r="W16" s="169"/>
      <c r="X16" s="169"/>
      <c r="Y16" s="16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row>
    <row r="17" spans="2:53" ht="17.399999999999999" customHeight="1">
      <c r="B17" s="160"/>
      <c r="C17" s="162" t="s">
        <v>714</v>
      </c>
      <c r="D17" s="162"/>
      <c r="E17" s="162"/>
      <c r="F17" s="162"/>
      <c r="G17" s="162"/>
      <c r="H17" s="162"/>
      <c r="I17" s="162"/>
      <c r="J17" s="176"/>
      <c r="K17" s="2">
        <v>26</v>
      </c>
      <c r="L17" s="178" t="s">
        <v>7</v>
      </c>
      <c r="M17" s="162"/>
      <c r="O17" s="156"/>
      <c r="P17" s="156"/>
      <c r="Q17" s="156"/>
      <c r="R17" s="164"/>
      <c r="S17" s="164"/>
      <c r="T17" s="164"/>
      <c r="U17" s="164"/>
      <c r="V17" s="169"/>
      <c r="W17" s="169"/>
      <c r="X17" s="169"/>
      <c r="Y17" s="16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row>
    <row r="18" spans="2:53" ht="17.399999999999999" customHeight="1">
      <c r="B18" s="160"/>
      <c r="C18" s="162"/>
      <c r="D18" s="162"/>
      <c r="E18" s="162"/>
      <c r="F18" s="162"/>
      <c r="G18" s="162"/>
      <c r="H18" s="162"/>
      <c r="I18" s="162"/>
      <c r="J18" s="176"/>
      <c r="K18" s="177"/>
      <c r="L18" s="162"/>
      <c r="M18" s="162"/>
      <c r="O18" s="156"/>
      <c r="P18" s="156"/>
      <c r="Q18" s="156"/>
      <c r="R18" s="164"/>
      <c r="S18" s="164"/>
      <c r="T18" s="164"/>
      <c r="U18" s="164"/>
      <c r="V18" s="169"/>
      <c r="W18" s="169"/>
      <c r="X18" s="169"/>
      <c r="Y18" s="16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row>
    <row r="19" spans="2:53" ht="17.399999999999999" customHeight="1">
      <c r="B19" s="160"/>
      <c r="C19" s="162" t="s">
        <v>715</v>
      </c>
      <c r="D19" s="162"/>
      <c r="E19" s="162"/>
      <c r="F19" s="162"/>
      <c r="G19" s="162"/>
      <c r="H19" s="162"/>
      <c r="I19" s="162"/>
      <c r="J19" s="176"/>
      <c r="K19" s="179">
        <v>6</v>
      </c>
      <c r="L19" s="178" t="s">
        <v>3</v>
      </c>
      <c r="M19" s="162"/>
      <c r="N19" s="167"/>
      <c r="O19" s="168"/>
      <c r="P19" s="164"/>
      <c r="Q19" s="164"/>
      <c r="R19" s="164"/>
      <c r="S19" s="164"/>
      <c r="T19" s="164"/>
      <c r="U19" s="164"/>
      <c r="V19" s="169"/>
      <c r="W19" s="169"/>
      <c r="X19" s="169"/>
      <c r="Y19" s="16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row>
    <row r="20" spans="2:53" ht="17.399999999999999" customHeight="1">
      <c r="B20" s="160"/>
      <c r="C20" s="272" t="str">
        <f>IF(K19&lt;'3'!C19,"Wybierz ZB o wyższym PSV!!!","")</f>
        <v/>
      </c>
      <c r="D20" s="272"/>
      <c r="E20" s="272"/>
      <c r="F20" s="272"/>
      <c r="G20" s="273" t="str">
        <f>IF(K19&lt;'3'!C19,"PSV min=","")</f>
        <v/>
      </c>
      <c r="H20" s="274" t="str">
        <f>IF(K19&lt;'3'!C19,'3'!C19,"")</f>
        <v/>
      </c>
      <c r="I20" s="274" t="str">
        <f>IF(K19&lt;'3'!C19,"bar","")</f>
        <v/>
      </c>
      <c r="J20" s="290"/>
      <c r="K20" s="177"/>
      <c r="L20" s="162"/>
      <c r="M20" s="162"/>
      <c r="N20" s="167"/>
      <c r="O20" s="168"/>
      <c r="P20" s="164"/>
      <c r="Q20" s="164"/>
      <c r="R20" s="164"/>
      <c r="S20" s="164"/>
      <c r="T20" s="164"/>
      <c r="U20" s="164"/>
      <c r="V20" s="169"/>
      <c r="W20" s="169"/>
      <c r="X20" s="169"/>
      <c r="Y20" s="16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row>
    <row r="21" spans="2:53" ht="17.399999999999999" customHeight="1">
      <c r="B21" s="160"/>
      <c r="C21" s="272" t="str">
        <f>IF(AND('3'!E19&gt;'3'!D19,K19&lt;'3'!C19),"z uwagi na ciś. parowania","")</f>
        <v/>
      </c>
      <c r="D21" s="272"/>
      <c r="E21" s="272"/>
      <c r="F21" s="272"/>
      <c r="G21" s="272"/>
      <c r="H21" s="272"/>
      <c r="I21" s="272"/>
      <c r="J21" s="304"/>
      <c r="K21" s="177"/>
      <c r="L21" s="162"/>
      <c r="M21" s="162"/>
      <c r="N21" s="167"/>
      <c r="O21" s="168"/>
      <c r="P21" s="164"/>
      <c r="Q21" s="164"/>
      <c r="R21" s="164"/>
      <c r="S21" s="164"/>
      <c r="T21" s="164"/>
      <c r="U21" s="164"/>
      <c r="V21" s="169"/>
      <c r="W21" s="169"/>
      <c r="X21" s="169"/>
      <c r="Y21" s="16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row>
    <row r="22" spans="2:53" ht="17.399999999999999" customHeight="1">
      <c r="B22" s="160"/>
      <c r="C22" s="162" t="s">
        <v>716</v>
      </c>
      <c r="D22" s="162"/>
      <c r="E22" s="162"/>
      <c r="F22" s="162"/>
      <c r="G22" s="162"/>
      <c r="H22" s="162"/>
      <c r="I22" s="162"/>
      <c r="J22" s="176"/>
      <c r="K22" s="177"/>
      <c r="L22" s="162"/>
      <c r="M22" s="162"/>
      <c r="N22" s="167"/>
      <c r="O22" s="168"/>
      <c r="P22" s="164"/>
      <c r="Q22" s="164"/>
      <c r="R22" s="164"/>
      <c r="S22" s="164"/>
      <c r="T22" s="164"/>
      <c r="U22" s="164"/>
      <c r="V22" s="169"/>
      <c r="W22" s="169"/>
      <c r="X22" s="169"/>
      <c r="Y22" s="16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row>
    <row r="23" spans="2:53" ht="17.399999999999999" customHeight="1">
      <c r="B23" s="160"/>
      <c r="C23" s="162"/>
      <c r="D23" s="162"/>
      <c r="E23" s="162"/>
      <c r="F23" s="162"/>
      <c r="G23" s="162"/>
      <c r="H23" s="162"/>
      <c r="I23" s="162"/>
      <c r="J23" s="176"/>
      <c r="K23" s="177"/>
      <c r="L23" s="162"/>
      <c r="M23" s="162"/>
      <c r="N23" s="167"/>
      <c r="O23" s="168"/>
      <c r="P23" s="164"/>
      <c r="Q23" s="164"/>
      <c r="R23" s="164"/>
      <c r="S23" s="164"/>
      <c r="T23" s="164"/>
      <c r="U23" s="164"/>
      <c r="V23" s="169"/>
      <c r="W23" s="169"/>
      <c r="X23" s="169"/>
      <c r="Y23" s="16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row>
    <row r="24" spans="2:53" ht="17.399999999999999" customHeight="1">
      <c r="B24" s="160"/>
      <c r="C24" s="162" t="s">
        <v>720</v>
      </c>
      <c r="D24" s="162"/>
      <c r="E24" s="162"/>
      <c r="F24" s="162"/>
      <c r="G24" s="162"/>
      <c r="H24" s="162"/>
      <c r="I24" s="162"/>
      <c r="J24" s="176"/>
      <c r="K24" s="2">
        <v>4530</v>
      </c>
      <c r="L24" s="182" t="s">
        <v>212</v>
      </c>
      <c r="M24" s="162"/>
      <c r="N24" s="167"/>
      <c r="O24" s="168"/>
      <c r="P24" s="164"/>
      <c r="Q24" s="164"/>
      <c r="R24" s="164"/>
      <c r="S24" s="164"/>
      <c r="T24" s="164"/>
      <c r="U24" s="164"/>
      <c r="V24" s="169"/>
      <c r="W24" s="169"/>
      <c r="X24" s="169"/>
      <c r="Y24" s="16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row>
    <row r="25" spans="2:53" ht="17.399999999999999" customHeight="1">
      <c r="B25" s="160"/>
      <c r="C25" s="162"/>
      <c r="D25" s="162"/>
      <c r="E25" s="162"/>
      <c r="F25" s="162"/>
      <c r="G25" s="162"/>
      <c r="H25" s="162"/>
      <c r="I25" s="162"/>
      <c r="J25" s="170"/>
      <c r="K25" s="162"/>
      <c r="L25" s="162"/>
      <c r="M25" s="162"/>
      <c r="N25" s="167"/>
      <c r="O25" s="168"/>
      <c r="P25" s="164"/>
      <c r="Q25" s="164"/>
      <c r="R25" s="164"/>
      <c r="S25" s="164"/>
      <c r="T25" s="164"/>
      <c r="U25" s="164"/>
      <c r="V25" s="169"/>
      <c r="W25" s="169"/>
      <c r="X25" s="169"/>
      <c r="Y25" s="16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row>
    <row r="26" spans="2:53" ht="17.399999999999999" customHeight="1">
      <c r="B26" s="160"/>
      <c r="C26" s="162" t="s">
        <v>474</v>
      </c>
      <c r="D26" s="162"/>
      <c r="E26" s="162"/>
      <c r="F26" s="162"/>
      <c r="G26" s="162"/>
      <c r="H26" s="162"/>
      <c r="I26" s="162"/>
      <c r="J26" s="170"/>
      <c r="K26" s="178">
        <f>'3'!H1/10</f>
        <v>0.5</v>
      </c>
      <c r="L26" s="182" t="s">
        <v>5</v>
      </c>
      <c r="M26" s="162"/>
      <c r="N26" s="167"/>
      <c r="O26" s="168"/>
      <c r="P26" s="164"/>
      <c r="Q26" s="164"/>
      <c r="R26" s="164"/>
      <c r="S26" s="164"/>
      <c r="T26" s="164"/>
      <c r="U26" s="164"/>
      <c r="V26" s="169"/>
      <c r="W26" s="169"/>
      <c r="X26" s="169"/>
      <c r="Y26" s="16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row>
    <row r="27" spans="2:53" ht="17.399999999999999" customHeight="1">
      <c r="B27" s="160"/>
      <c r="C27" s="162"/>
      <c r="D27" s="162"/>
      <c r="E27" s="162"/>
      <c r="F27" s="162"/>
      <c r="G27" s="162"/>
      <c r="H27" s="162"/>
      <c r="I27" s="162"/>
      <c r="J27" s="170"/>
      <c r="K27" s="162"/>
      <c r="L27" s="162"/>
      <c r="M27" s="162"/>
      <c r="N27" s="167"/>
      <c r="O27" s="168"/>
      <c r="P27" s="164"/>
      <c r="Q27" s="164"/>
      <c r="R27" s="164"/>
      <c r="S27" s="164"/>
      <c r="T27" s="164"/>
      <c r="U27" s="164"/>
      <c r="V27" s="169"/>
      <c r="W27" s="169"/>
      <c r="X27" s="169"/>
      <c r="Y27" s="16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row>
    <row r="28" spans="2:53" ht="17.399999999999999" customHeight="1">
      <c r="C28" s="183" t="s">
        <v>364</v>
      </c>
      <c r="O28" s="168"/>
      <c r="P28" s="164"/>
      <c r="Q28" s="164"/>
      <c r="R28" s="164"/>
      <c r="S28" s="164"/>
      <c r="T28" s="164"/>
      <c r="U28" s="164"/>
      <c r="V28" s="169"/>
      <c r="W28" s="169"/>
      <c r="X28" s="169"/>
      <c r="Y28" s="16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row>
    <row r="29" spans="2:53" ht="17.399999999999999" customHeight="1">
      <c r="C29" s="183"/>
      <c r="O29" s="168"/>
      <c r="P29" s="164"/>
      <c r="Q29" s="164"/>
      <c r="R29" s="164"/>
      <c r="S29" s="164"/>
      <c r="T29" s="164"/>
      <c r="U29" s="164"/>
      <c r="V29" s="169"/>
      <c r="W29" s="169"/>
      <c r="X29" s="169"/>
      <c r="Y29" s="16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row>
    <row r="30" spans="2:53" ht="17.399999999999999" customHeight="1">
      <c r="C30" s="183" t="s">
        <v>766</v>
      </c>
      <c r="F30" s="489" t="str">
        <f>IF(F5="","",F5)</f>
        <v/>
      </c>
      <c r="G30" s="490"/>
      <c r="H30" s="490"/>
      <c r="I30" s="490"/>
      <c r="J30" s="490"/>
      <c r="K30" s="490"/>
      <c r="O30" s="168"/>
      <c r="P30" s="164"/>
      <c r="Q30" s="164"/>
      <c r="R30" s="164"/>
      <c r="S30" s="164"/>
      <c r="T30" s="164"/>
      <c r="U30" s="164"/>
      <c r="V30" s="169"/>
      <c r="W30" s="169"/>
      <c r="X30" s="169"/>
      <c r="Y30" s="16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row>
    <row r="31" spans="2:53" ht="17.399999999999999" customHeight="1">
      <c r="C31" s="183" t="s">
        <v>767</v>
      </c>
      <c r="F31" s="491" t="str">
        <f>IF(F7="","",F7)</f>
        <v>IMI Hydronic Engineering</v>
      </c>
      <c r="G31" s="490"/>
      <c r="H31" s="490"/>
      <c r="I31" s="490"/>
      <c r="J31" s="490"/>
      <c r="K31" s="490"/>
      <c r="O31" s="168"/>
      <c r="P31" s="164"/>
      <c r="Q31" s="164"/>
      <c r="R31" s="164"/>
      <c r="S31" s="164"/>
      <c r="T31" s="164"/>
      <c r="U31" s="164"/>
      <c r="V31" s="169"/>
      <c r="W31" s="169"/>
      <c r="X31" s="169"/>
      <c r="Y31" s="16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row>
    <row r="32" spans="2:53" ht="17.399999999999999" customHeight="1">
      <c r="C32" s="332" t="s">
        <v>768</v>
      </c>
      <c r="D32" s="331"/>
      <c r="E32" s="330"/>
      <c r="F32" s="492">
        <f ca="1">NOW()</f>
        <v>44656.337238425927</v>
      </c>
      <c r="G32" s="492"/>
      <c r="J32" s="329"/>
      <c r="O32" s="168"/>
      <c r="P32" s="164"/>
      <c r="Q32" s="164"/>
      <c r="R32" s="164"/>
      <c r="S32" s="164"/>
      <c r="T32" s="164"/>
      <c r="U32" s="164"/>
      <c r="V32" s="169"/>
      <c r="W32" s="169"/>
      <c r="X32" s="169"/>
      <c r="Y32" s="16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row>
    <row r="33" spans="3:53" ht="17.399999999999999" customHeight="1">
      <c r="C33" s="183"/>
      <c r="J33" s="329"/>
      <c r="O33" s="168"/>
      <c r="P33" s="164"/>
      <c r="Q33" s="164"/>
      <c r="R33" s="164"/>
      <c r="S33" s="164"/>
      <c r="T33" s="164"/>
      <c r="U33" s="164"/>
      <c r="V33" s="169"/>
      <c r="W33" s="169"/>
      <c r="X33" s="169"/>
      <c r="Y33" s="16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row>
    <row r="34" spans="3:53" ht="17.399999999999999" customHeight="1">
      <c r="C34" s="183" t="s">
        <v>660</v>
      </c>
      <c r="O34" s="168"/>
      <c r="P34" s="164"/>
      <c r="Q34" s="164"/>
      <c r="R34" s="164"/>
      <c r="S34" s="164"/>
      <c r="T34" s="164"/>
      <c r="U34" s="164"/>
      <c r="V34" s="169"/>
      <c r="W34" s="169"/>
      <c r="X34" s="169"/>
      <c r="Y34" s="16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row>
    <row r="35" spans="3:53" ht="17.399999999999999" customHeight="1">
      <c r="C35" s="183"/>
      <c r="O35" s="168"/>
      <c r="P35" s="164"/>
      <c r="Q35" s="164"/>
      <c r="R35" s="164"/>
      <c r="S35" s="164"/>
      <c r="T35" s="164"/>
      <c r="U35" s="164"/>
      <c r="V35" s="169"/>
      <c r="W35" s="169"/>
      <c r="X35" s="169"/>
      <c r="Y35" s="16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row>
    <row r="36" spans="3:53" ht="17.399999999999999" customHeight="1">
      <c r="C36" s="183" t="s">
        <v>661</v>
      </c>
      <c r="K36" s="183">
        <f>K9</f>
        <v>40</v>
      </c>
      <c r="L36" s="183" t="str">
        <f>L9</f>
        <v>˚C</v>
      </c>
      <c r="O36" s="168"/>
      <c r="P36" s="164"/>
      <c r="Q36" s="164"/>
      <c r="R36" s="164"/>
      <c r="S36" s="164"/>
      <c r="T36" s="164"/>
      <c r="U36" s="164"/>
      <c r="V36" s="169"/>
      <c r="W36" s="169"/>
      <c r="X36" s="169"/>
      <c r="Y36" s="16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row>
    <row r="37" spans="3:53" ht="17.399999999999999" customHeight="1">
      <c r="C37" s="183" t="s">
        <v>662</v>
      </c>
      <c r="K37" s="183">
        <f>K11</f>
        <v>5</v>
      </c>
      <c r="L37" s="183" t="str">
        <f>L11</f>
        <v>˚C</v>
      </c>
      <c r="O37" s="168"/>
      <c r="P37" s="164"/>
      <c r="Q37" s="164"/>
      <c r="R37" s="164"/>
      <c r="S37" s="164"/>
      <c r="T37" s="164"/>
      <c r="U37" s="164"/>
      <c r="V37" s="169"/>
      <c r="W37" s="169"/>
      <c r="X37" s="169"/>
      <c r="Y37" s="16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row>
    <row r="38" spans="3:53" ht="17.399999999999999" customHeight="1">
      <c r="C38" s="183" t="s">
        <v>713</v>
      </c>
      <c r="J38" s="487" t="str">
        <f>'3'!F2</f>
        <v>woda</v>
      </c>
      <c r="K38" s="488"/>
      <c r="L38" s="488"/>
      <c r="M38" s="488"/>
      <c r="O38" s="168"/>
      <c r="P38" s="164"/>
      <c r="Q38" s="164"/>
      <c r="R38" s="164"/>
      <c r="S38" s="164"/>
      <c r="T38" s="164"/>
      <c r="U38" s="164"/>
      <c r="V38" s="169"/>
      <c r="W38" s="169"/>
      <c r="X38" s="169"/>
      <c r="Y38" s="16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row>
    <row r="39" spans="3:53" ht="17.399999999999999" customHeight="1">
      <c r="C39" s="183" t="s">
        <v>772</v>
      </c>
      <c r="K39" s="334">
        <f>L15</f>
        <v>88.7</v>
      </c>
      <c r="L39" s="183" t="s">
        <v>771</v>
      </c>
      <c r="O39" s="168"/>
      <c r="P39" s="164"/>
      <c r="Q39" s="164"/>
      <c r="R39" s="164"/>
      <c r="S39" s="164"/>
      <c r="T39" s="164"/>
      <c r="U39" s="164"/>
      <c r="V39" s="169"/>
      <c r="W39" s="169"/>
      <c r="X39" s="169"/>
      <c r="Y39" s="16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row>
    <row r="40" spans="3:53" ht="17.399999999999999" customHeight="1">
      <c r="C40" s="183" t="s">
        <v>717</v>
      </c>
      <c r="K40" s="183">
        <f>K17</f>
        <v>26</v>
      </c>
      <c r="L40" s="183" t="s">
        <v>7</v>
      </c>
      <c r="M40" s="1"/>
      <c r="O40" s="168"/>
      <c r="P40" s="164"/>
      <c r="Q40" s="164"/>
      <c r="R40" s="164"/>
      <c r="S40" s="164"/>
      <c r="T40" s="164"/>
      <c r="U40" s="164"/>
      <c r="V40" s="169"/>
      <c r="W40" s="169"/>
      <c r="X40" s="169"/>
      <c r="Y40" s="16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row>
    <row r="41" spans="3:53" ht="17.399999999999999" customHeight="1">
      <c r="C41" s="183" t="s">
        <v>718</v>
      </c>
      <c r="K41" s="216">
        <f>K19</f>
        <v>6</v>
      </c>
      <c r="L41" s="183" t="s">
        <v>3</v>
      </c>
      <c r="O41" s="168"/>
      <c r="P41" s="164"/>
      <c r="Q41" s="164"/>
      <c r="R41" s="164"/>
      <c r="S41" s="164"/>
      <c r="T41" s="164"/>
      <c r="U41" s="164"/>
      <c r="V41" s="169"/>
      <c r="W41" s="169"/>
      <c r="X41" s="169"/>
      <c r="Y41" s="16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row>
    <row r="42" spans="3:53" ht="17.399999999999999" customHeight="1">
      <c r="C42" s="183" t="s">
        <v>719</v>
      </c>
      <c r="K42" s="183">
        <f>K24</f>
        <v>4530</v>
      </c>
      <c r="L42" s="183" t="s">
        <v>212</v>
      </c>
      <c r="O42" s="168"/>
      <c r="P42" s="164"/>
      <c r="Q42" s="164"/>
      <c r="R42" s="164"/>
      <c r="S42" s="164"/>
      <c r="T42" s="164"/>
      <c r="U42" s="164"/>
      <c r="V42" s="169"/>
      <c r="W42" s="169"/>
      <c r="X42" s="169"/>
      <c r="Y42" s="16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row>
    <row r="43" spans="3:53" ht="17.399999999999999" customHeight="1">
      <c r="C43" s="183"/>
      <c r="O43" s="168"/>
      <c r="P43" s="164"/>
      <c r="Q43" s="164"/>
      <c r="R43" s="164"/>
      <c r="S43" s="164"/>
      <c r="T43" s="164"/>
      <c r="U43" s="164"/>
      <c r="V43" s="169"/>
      <c r="W43" s="169"/>
      <c r="X43" s="169"/>
      <c r="Y43" s="16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row>
    <row r="44" spans="3:53" ht="17.399999999999999" customHeight="1">
      <c r="C44" s="183" t="s">
        <v>20</v>
      </c>
      <c r="M44" s="184"/>
      <c r="O44" s="168"/>
      <c r="P44" s="164"/>
      <c r="Q44" s="164"/>
      <c r="R44" s="164"/>
      <c r="S44" s="164"/>
      <c r="T44" s="164"/>
      <c r="U44" s="164"/>
      <c r="V44" s="169"/>
      <c r="W44" s="169"/>
      <c r="X44" s="169"/>
      <c r="Y44" s="16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row>
    <row r="45" spans="3:53" ht="17.399999999999999" customHeight="1">
      <c r="L45" s="185"/>
      <c r="O45" s="168"/>
      <c r="P45" s="166"/>
      <c r="Q45" s="164"/>
      <c r="R45" s="166"/>
      <c r="S45" s="164"/>
      <c r="T45" s="166"/>
      <c r="U45" s="164"/>
      <c r="V45" s="169"/>
      <c r="W45" s="169"/>
      <c r="X45" s="169"/>
      <c r="Y45" s="16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row>
    <row r="46" spans="3:53" ht="17.399999999999999" customHeight="1">
      <c r="L46" s="184"/>
      <c r="O46" s="168"/>
      <c r="P46" s="164"/>
      <c r="Q46" s="164"/>
      <c r="R46" s="164"/>
      <c r="S46" s="164"/>
      <c r="T46" s="164"/>
      <c r="U46" s="164"/>
      <c r="V46" s="169"/>
      <c r="W46" s="169"/>
      <c r="X46" s="169"/>
      <c r="Y46" s="16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row>
    <row r="47" spans="3:53" ht="17.399999999999999" customHeight="1">
      <c r="J47" s="1" t="s">
        <v>21</v>
      </c>
      <c r="O47" s="168"/>
      <c r="P47" s="164"/>
      <c r="Q47" s="164"/>
      <c r="R47" s="164"/>
      <c r="S47" s="164"/>
      <c r="T47" s="164"/>
      <c r="U47" s="164"/>
      <c r="V47" s="169"/>
      <c r="W47" s="169"/>
      <c r="X47" s="169"/>
      <c r="Y47" s="16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row>
    <row r="48" spans="3:53" ht="17.399999999999999" customHeight="1">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row>
    <row r="49" spans="3:53" ht="17.399999999999999" customHeight="1">
      <c r="C49" s="1" t="s">
        <v>0</v>
      </c>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row>
    <row r="50" spans="3:53" ht="17.399999999999999" customHeight="1">
      <c r="D50" s="157" t="s">
        <v>132</v>
      </c>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row>
    <row r="51" spans="3:53" ht="17.399999999999999" customHeight="1">
      <c r="D51" s="157" t="s">
        <v>23</v>
      </c>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row>
    <row r="52" spans="3:53" ht="17.399999999999999" customHeight="1">
      <c r="D52" s="157" t="s">
        <v>22</v>
      </c>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row>
    <row r="53" spans="3:53" ht="17.399999999999999" customHeight="1">
      <c r="D53" s="157" t="s">
        <v>65</v>
      </c>
      <c r="N53" s="186"/>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row>
    <row r="54" spans="3:53" ht="17.399999999999999" customHeight="1">
      <c r="D54" s="157" t="s">
        <v>46</v>
      </c>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row>
    <row r="55" spans="3:53" ht="17.399999999999999" customHeight="1">
      <c r="D55" s="157" t="s">
        <v>45</v>
      </c>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row>
    <row r="56" spans="3:53" ht="17.399999999999999" customHeight="1">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row>
    <row r="57" spans="3:53" ht="17.399999999999999" customHeight="1">
      <c r="C57" s="183" t="s">
        <v>24</v>
      </c>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row>
    <row r="58" spans="3:53" ht="17.399999999999999" customHeight="1">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row>
    <row r="59" spans="3:53" ht="17.399999999999999" customHeight="1">
      <c r="E59" s="187"/>
      <c r="F59" s="187"/>
      <c r="G59" s="157" t="s">
        <v>21</v>
      </c>
      <c r="H59" s="188"/>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row>
    <row r="60" spans="3:53" ht="17.399999999999999" customHeight="1">
      <c r="C60" s="1" t="s">
        <v>0</v>
      </c>
      <c r="I60" s="1"/>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row>
    <row r="61" spans="3:53" ht="17.399999999999999" customHeight="1">
      <c r="D61" s="157" t="s">
        <v>23</v>
      </c>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row>
    <row r="62" spans="3:53" ht="17.399999999999999" customHeight="1">
      <c r="D62" s="157" t="s">
        <v>25</v>
      </c>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row>
    <row r="63" spans="3:53" ht="17.399999999999999" customHeight="1">
      <c r="D63" s="157" t="s">
        <v>27</v>
      </c>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row>
    <row r="64" spans="3:53" ht="17.399999999999999" customHeight="1">
      <c r="E64" s="1"/>
      <c r="F64" s="1"/>
      <c r="G64" s="189"/>
      <c r="H64" s="189"/>
      <c r="I64" s="188"/>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row>
    <row r="65" spans="3:53" ht="17.399999999999999" customHeight="1">
      <c r="C65" s="1" t="s">
        <v>28</v>
      </c>
      <c r="E65" s="1"/>
      <c r="F65" s="1"/>
      <c r="G65" s="188"/>
      <c r="H65" s="188"/>
      <c r="I65" s="188"/>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row>
    <row r="66" spans="3:53" ht="17.399999999999999" customHeight="1">
      <c r="D66" s="1" t="s">
        <v>57</v>
      </c>
      <c r="E66" s="190">
        <f>L15*1000</f>
        <v>88700</v>
      </c>
      <c r="F66" s="157" t="s">
        <v>21</v>
      </c>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row>
    <row r="67" spans="3:53" ht="17.399999999999999" customHeight="1">
      <c r="D67" s="1" t="s">
        <v>59</v>
      </c>
      <c r="E67" s="12">
        <f>'3'!C23</f>
        <v>7.8613182826043314E-3</v>
      </c>
      <c r="G67" s="192" t="s">
        <v>36</v>
      </c>
      <c r="H67" s="192" t="s">
        <v>60</v>
      </c>
      <c r="I67" s="157">
        <f>K9</f>
        <v>40</v>
      </c>
      <c r="J67" s="193" t="s">
        <v>33</v>
      </c>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row>
    <row r="68" spans="3:53" ht="17.399999999999999" customHeight="1">
      <c r="H68" s="192" t="s">
        <v>647</v>
      </c>
      <c r="I68" s="157">
        <f>K11</f>
        <v>5</v>
      </c>
      <c r="J68" s="193" t="s">
        <v>33</v>
      </c>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row>
    <row r="69" spans="3:53" ht="17.399999999999999" customHeight="1">
      <c r="C69" s="1" t="s">
        <v>32</v>
      </c>
      <c r="G69" s="157" t="s">
        <v>654</v>
      </c>
      <c r="I69" s="157" t="str">
        <f>'3'!F2</f>
        <v>woda</v>
      </c>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row>
    <row r="70" spans="3:53" ht="17.399999999999999" customHeight="1">
      <c r="D70" s="1" t="s">
        <v>58</v>
      </c>
      <c r="E70" s="184">
        <f>E66*E67</f>
        <v>697.29893166700424</v>
      </c>
      <c r="F70" s="157" t="s">
        <v>230</v>
      </c>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row>
    <row r="71" spans="3:53" ht="17.399999999999999" customHeight="1">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row>
    <row r="72" spans="3:53" ht="17.399999999999999" customHeight="1">
      <c r="C72" s="183" t="s">
        <v>37</v>
      </c>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row>
    <row r="73" spans="3:53" ht="17.399999999999999" customHeight="1">
      <c r="E73" s="194"/>
      <c r="F73" s="194"/>
      <c r="G73" s="188"/>
      <c r="H73" s="188"/>
      <c r="I73" s="188"/>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row>
    <row r="74" spans="3:53" ht="17.399999999999999" customHeight="1">
      <c r="G74" s="157" t="s">
        <v>21</v>
      </c>
      <c r="H74" s="157" t="s">
        <v>38</v>
      </c>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row>
    <row r="75" spans="3:53" ht="17.399999999999999" customHeight="1">
      <c r="C75" s="1" t="s">
        <v>0</v>
      </c>
      <c r="E75" s="1"/>
      <c r="F75" s="1"/>
      <c r="G75" s="189"/>
      <c r="H75" s="189"/>
      <c r="I75" s="188"/>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row>
    <row r="76" spans="3:53" ht="17.399999999999999" customHeight="1">
      <c r="D76" s="157" t="s">
        <v>22</v>
      </c>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row>
    <row r="77" spans="3:53" ht="17.399999999999999" customHeight="1">
      <c r="D77" s="157" t="s">
        <v>475</v>
      </c>
      <c r="I77" s="157" t="s">
        <v>473</v>
      </c>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row>
    <row r="78" spans="3:53" ht="17.399999999999999" customHeight="1">
      <c r="C78" s="183"/>
      <c r="D78" s="157" t="s">
        <v>27</v>
      </c>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row>
    <row r="79" spans="3:53" ht="17.399999999999999" customHeight="1">
      <c r="C79" s="183"/>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row>
    <row r="80" spans="3:53" ht="17.399999999999999" customHeight="1">
      <c r="C80" s="1" t="s">
        <v>28</v>
      </c>
      <c r="E80" s="1"/>
      <c r="F80" s="1"/>
      <c r="G80" s="195"/>
      <c r="H80" s="195"/>
      <c r="I80" s="188"/>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row>
    <row r="81" spans="3:53" ht="17.399999999999999" customHeight="1">
      <c r="D81" s="1" t="s">
        <v>57</v>
      </c>
      <c r="E81" s="190">
        <f>L15*1000</f>
        <v>88700</v>
      </c>
      <c r="F81" s="157" t="s">
        <v>21</v>
      </c>
      <c r="G81" s="196"/>
      <c r="H81" s="196"/>
      <c r="I81" s="197"/>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row>
    <row r="82" spans="3:53" ht="17.399999999999999" customHeight="1">
      <c r="D82" s="1" t="s">
        <v>476</v>
      </c>
      <c r="E82" s="157">
        <f>K26</f>
        <v>0.5</v>
      </c>
      <c r="F82" s="157" t="s">
        <v>264</v>
      </c>
      <c r="G82" s="196"/>
      <c r="H82" s="196"/>
      <c r="I82" s="197"/>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row>
    <row r="83" spans="3:53" ht="17.399999999999999" customHeight="1">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row>
    <row r="84" spans="3:53" ht="17.399999999999999" customHeight="1">
      <c r="C84" s="1" t="s">
        <v>32</v>
      </c>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row>
    <row r="85" spans="3:53" ht="17.399999999999999" customHeight="1">
      <c r="D85" s="1" t="s">
        <v>61</v>
      </c>
      <c r="E85" s="184">
        <f>IF('3'!C24&lt;3,3,'3'!C24)</f>
        <v>443.5</v>
      </c>
      <c r="F85" s="157" t="s">
        <v>230</v>
      </c>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row>
    <row r="86" spans="3:53" ht="17.399999999999999" customHeight="1">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row>
    <row r="87" spans="3:53" ht="17.399999999999999" customHeight="1">
      <c r="C87" s="183" t="s">
        <v>40</v>
      </c>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row>
    <row r="88" spans="3:53" ht="17.399999999999999" customHeight="1">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row>
    <row r="89" spans="3:53" ht="17.399999999999999" customHeight="1">
      <c r="G89" s="157" t="s">
        <v>41</v>
      </c>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row>
    <row r="90" spans="3:53" ht="17.399999999999999" customHeight="1">
      <c r="C90" s="1" t="s">
        <v>0</v>
      </c>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row>
    <row r="91" spans="3:53" ht="17.399999999999999" customHeight="1">
      <c r="D91" s="157" t="s">
        <v>42</v>
      </c>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row>
    <row r="92" spans="3:53" ht="17.399999999999999" customHeight="1">
      <c r="C92" s="183"/>
      <c r="D92" s="157" t="s">
        <v>43</v>
      </c>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row>
    <row r="93" spans="3:53" ht="17.399999999999999" customHeight="1">
      <c r="D93" s="157" t="s">
        <v>44</v>
      </c>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row>
    <row r="94" spans="3:53" ht="17.399999999999999" customHeight="1">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row>
    <row r="95" spans="3:53" ht="17.399999999999999" customHeight="1">
      <c r="C95" s="1" t="s">
        <v>28</v>
      </c>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row>
    <row r="96" spans="3:53" ht="17.399999999999999" customHeight="1">
      <c r="D96" s="1" t="s">
        <v>62</v>
      </c>
      <c r="E96" s="157">
        <f>K17</f>
        <v>26</v>
      </c>
      <c r="F96" s="157" t="s">
        <v>231</v>
      </c>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row>
    <row r="97" spans="3:53" ht="17.399999999999999" customHeight="1">
      <c r="D97" s="1" t="s">
        <v>63</v>
      </c>
      <c r="E97" s="157">
        <f>IF(K9&gt;100,'3'!C25,0)</f>
        <v>0</v>
      </c>
      <c r="F97" s="157" t="s">
        <v>41</v>
      </c>
      <c r="G97" s="191" t="s">
        <v>36</v>
      </c>
      <c r="H97" s="192" t="s">
        <v>60</v>
      </c>
      <c r="I97" s="157">
        <f>K9</f>
        <v>40</v>
      </c>
      <c r="J97" s="193" t="s">
        <v>33</v>
      </c>
      <c r="L97" s="198"/>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row>
    <row r="98" spans="3:53" ht="17.399999999999999" customHeight="1">
      <c r="C98" s="1" t="s">
        <v>32</v>
      </c>
      <c r="G98" s="336" t="s">
        <v>778</v>
      </c>
      <c r="J98" s="157" t="str">
        <f>'3'!F2</f>
        <v>woda</v>
      </c>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row>
    <row r="99" spans="3:53" ht="17.399999999999999" customHeight="1">
      <c r="D99" s="1" t="s">
        <v>64</v>
      </c>
      <c r="E99" s="184">
        <f>E96/10+E97+0.3</f>
        <v>2.9</v>
      </c>
      <c r="F99" s="199" t="s">
        <v>3</v>
      </c>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row>
    <row r="100" spans="3:53" ht="17.399999999999999" customHeight="1">
      <c r="E100" s="1"/>
      <c r="F100" s="1"/>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row>
    <row r="101" spans="3:53" ht="17.399999999999999" customHeight="1">
      <c r="C101" s="183" t="s">
        <v>66</v>
      </c>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row>
    <row r="102" spans="3:53" ht="17.399999999999999" customHeight="1">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row>
    <row r="103" spans="3:53" ht="17.399999999999999" customHeight="1">
      <c r="G103" s="157" t="s">
        <v>41</v>
      </c>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row>
    <row r="104" spans="3:53" ht="17.399999999999999" customHeight="1">
      <c r="C104" s="1" t="s">
        <v>0</v>
      </c>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row>
    <row r="105" spans="3:53" ht="17.399999999999999" customHeight="1">
      <c r="D105" s="157" t="s">
        <v>65</v>
      </c>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row>
    <row r="106" spans="3:53" ht="17.399999999999999" customHeight="1">
      <c r="D106" s="157" t="s">
        <v>67</v>
      </c>
      <c r="E106" s="190"/>
      <c r="F106" s="190"/>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row>
    <row r="107" spans="3:53" ht="17.399999999999999" customHeight="1">
      <c r="D107" s="157" t="s">
        <v>68</v>
      </c>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row>
    <row r="108" spans="3:53" ht="17.399999999999999" customHeight="1">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row>
    <row r="109" spans="3:53" ht="17.399999999999999" customHeight="1">
      <c r="C109" s="1" t="s">
        <v>28</v>
      </c>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row>
    <row r="110" spans="3:53" ht="17.399999999999999" customHeight="1">
      <c r="D110" s="1" t="s">
        <v>69</v>
      </c>
      <c r="E110" s="184">
        <f>K19</f>
        <v>6</v>
      </c>
      <c r="F110" s="200" t="s">
        <v>41</v>
      </c>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row>
    <row r="111" spans="3:53" ht="17.399999999999999" customHeight="1">
      <c r="C111" s="1"/>
      <c r="D111" s="201" t="s">
        <v>70</v>
      </c>
      <c r="E111" s="202">
        <f>IF(E110&gt;5,0.1*E110,0.5)</f>
        <v>0.60000000000000009</v>
      </c>
      <c r="F111" s="200" t="s">
        <v>41</v>
      </c>
      <c r="G111" s="203"/>
      <c r="H111" s="203"/>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row>
    <row r="112" spans="3:53" ht="17.399999999999999" customHeight="1">
      <c r="C112" s="1" t="s">
        <v>32</v>
      </c>
      <c r="E112" s="204"/>
      <c r="F112" s="205"/>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row>
    <row r="113" spans="3:53" ht="17.399999999999999" customHeight="1">
      <c r="D113" s="1" t="s">
        <v>71</v>
      </c>
      <c r="E113" s="184">
        <f>E110-E111</f>
        <v>5.4</v>
      </c>
      <c r="F113" s="200" t="s">
        <v>3</v>
      </c>
      <c r="J113" s="485"/>
      <c r="K113" s="486"/>
      <c r="L113" s="188"/>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row>
    <row r="114" spans="3:53" ht="17.399999999999999" customHeight="1">
      <c r="I114" s="206"/>
      <c r="J114" s="207"/>
      <c r="K114" s="183"/>
      <c r="L114" s="183"/>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row>
    <row r="115" spans="3:53" ht="17.399999999999999" customHeight="1">
      <c r="C115" s="183" t="s">
        <v>72</v>
      </c>
      <c r="J115" s="207"/>
      <c r="K115" s="183"/>
      <c r="L115" s="183"/>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row>
    <row r="116" spans="3:53" ht="17.399999999999999" customHeight="1">
      <c r="J116" s="207"/>
      <c r="K116" s="183"/>
      <c r="L116" s="183"/>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row>
    <row r="117" spans="3:53" ht="17.399999999999999" customHeight="1">
      <c r="C117" s="157" t="s">
        <v>349</v>
      </c>
      <c r="J117" s="207"/>
      <c r="K117" s="183"/>
      <c r="L117" s="183"/>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row>
    <row r="118" spans="3:53" ht="17.399999999999999" customHeight="1">
      <c r="J118" s="207"/>
      <c r="K118" s="183"/>
      <c r="L118" s="183"/>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row>
    <row r="119" spans="3:53" ht="17.399999999999999" customHeight="1">
      <c r="D119" s="1" t="s">
        <v>75</v>
      </c>
      <c r="E119" s="204">
        <v>1.1000000000000001</v>
      </c>
      <c r="J119" s="209"/>
      <c r="K119" s="183"/>
      <c r="L119" s="183"/>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row>
    <row r="120" spans="3:53" ht="17.399999999999999" customHeight="1">
      <c r="J120" s="207"/>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row>
    <row r="121" spans="3:53" ht="17.399999999999999" customHeight="1">
      <c r="C121" s="183" t="s">
        <v>76</v>
      </c>
      <c r="J121" s="207"/>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row>
    <row r="122" spans="3:53" ht="17.399999999999999" customHeight="1">
      <c r="J122" s="207"/>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row>
    <row r="123" spans="3:53" ht="17.399999999999999" customHeight="1">
      <c r="C123" s="1" t="s">
        <v>28</v>
      </c>
      <c r="J123" s="207"/>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row>
    <row r="124" spans="3:53" ht="17.399999999999999" customHeight="1">
      <c r="D124" s="1" t="s">
        <v>58</v>
      </c>
      <c r="E124" s="184">
        <f>E70</f>
        <v>697.29893166700424</v>
      </c>
      <c r="F124" s="157" t="s">
        <v>21</v>
      </c>
      <c r="J124" s="207"/>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row>
    <row r="125" spans="3:53" ht="17.399999999999999" customHeight="1">
      <c r="D125" s="1" t="s">
        <v>61</v>
      </c>
      <c r="E125" s="184">
        <f>E85</f>
        <v>443.5</v>
      </c>
      <c r="F125" s="157" t="s">
        <v>21</v>
      </c>
      <c r="J125" s="207"/>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row>
    <row r="126" spans="3:53" ht="17.399999999999999" customHeight="1">
      <c r="D126" s="1" t="s">
        <v>71</v>
      </c>
      <c r="E126" s="184">
        <f>E113</f>
        <v>5.4</v>
      </c>
      <c r="F126" s="200" t="s">
        <v>41</v>
      </c>
      <c r="J126" s="207"/>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row>
    <row r="127" spans="3:53" ht="17.399999999999999" customHeight="1">
      <c r="D127" s="1" t="s">
        <v>64</v>
      </c>
      <c r="E127" s="184">
        <f>E99</f>
        <v>2.9</v>
      </c>
      <c r="F127" s="200" t="s">
        <v>41</v>
      </c>
      <c r="J127" s="207"/>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row>
    <row r="128" spans="3:53" ht="17.399999999999999" customHeight="1">
      <c r="C128" s="1" t="s">
        <v>32</v>
      </c>
      <c r="J128" s="207"/>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row>
    <row r="129" spans="2:53" ht="17.399999999999999" customHeight="1">
      <c r="D129" s="275" t="s">
        <v>685</v>
      </c>
      <c r="E129" s="239">
        <f>(E124+E125+'3'!D21)*E119</f>
        <v>1260.3788248337046</v>
      </c>
      <c r="F129" s="217" t="s">
        <v>664</v>
      </c>
      <c r="J129" s="207"/>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row>
    <row r="130" spans="2:53" ht="17.399999999999999" customHeight="1">
      <c r="J130" s="207"/>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row>
    <row r="131" spans="2:53" ht="17.399999999999999" customHeight="1">
      <c r="C131" s="183" t="s">
        <v>123</v>
      </c>
      <c r="J131" s="207"/>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row>
    <row r="132" spans="2:53" ht="17.399999999999999" customHeight="1">
      <c r="C132" s="183" t="s">
        <v>358</v>
      </c>
      <c r="J132" s="207"/>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row>
    <row r="133" spans="2:53" ht="17.399999999999999" customHeight="1">
      <c r="B133" s="160"/>
      <c r="C133" s="160"/>
      <c r="D133" s="160"/>
      <c r="E133" s="160"/>
      <c r="F133" s="160"/>
      <c r="G133" s="160"/>
      <c r="H133" s="160"/>
      <c r="I133" s="160"/>
      <c r="J133" s="297"/>
      <c r="K133" s="160"/>
      <c r="L133" s="160"/>
      <c r="M133" s="160"/>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row>
    <row r="134" spans="2:53" ht="17.399999999999999" customHeight="1">
      <c r="B134" s="160"/>
      <c r="C134" s="160"/>
      <c r="D134" s="160"/>
      <c r="E134" s="160"/>
      <c r="F134" s="160"/>
      <c r="G134" s="161" t="s">
        <v>124</v>
      </c>
      <c r="H134" s="162">
        <v>1</v>
      </c>
      <c r="I134" s="162" t="s">
        <v>1</v>
      </c>
      <c r="J134" s="298"/>
      <c r="K134" s="160"/>
      <c r="L134" s="160"/>
      <c r="M134" s="160"/>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row>
    <row r="135" spans="2:53" ht="17.399999999999999" customHeight="1">
      <c r="B135" s="160"/>
      <c r="C135" s="339" t="str">
        <f>C164</f>
        <v>Dobrane naczynia spełniają wymagania normy PN-EN-12828</v>
      </c>
      <c r="D135" s="160"/>
      <c r="E135" s="160"/>
      <c r="F135" s="299"/>
      <c r="G135" s="160"/>
      <c r="H135" s="160"/>
      <c r="I135" s="160"/>
      <c r="J135" s="298"/>
      <c r="K135" s="160"/>
      <c r="L135" s="160"/>
      <c r="M135" s="160"/>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row>
    <row r="136" spans="2:53" ht="17.399999999999999" customHeight="1">
      <c r="B136" s="160"/>
      <c r="C136" s="272" t="str">
        <f>C165</f>
        <v/>
      </c>
      <c r="D136" s="160"/>
      <c r="E136" s="160"/>
      <c r="F136" s="299"/>
      <c r="G136" s="160"/>
      <c r="H136" s="160"/>
      <c r="I136" s="160"/>
      <c r="J136" s="298"/>
      <c r="K136" s="160"/>
      <c r="L136" s="160"/>
      <c r="M136" s="160"/>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row>
    <row r="137" spans="2:53" ht="17.399999999999999" customHeight="1">
      <c r="B137" s="160"/>
      <c r="C137" s="272" t="str">
        <f>IF('3'!F24&lt;Compresso!K19,"Ciśnienie nominalne dla naczynia wzbiorczego jest mniejsze niż wybrane PSV","")</f>
        <v/>
      </c>
      <c r="D137" s="160"/>
      <c r="E137" s="300"/>
      <c r="F137" s="300"/>
      <c r="G137" s="301"/>
      <c r="H137" s="301"/>
      <c r="I137" s="302"/>
      <c r="J137" s="298"/>
      <c r="K137" s="160"/>
      <c r="L137" s="160"/>
      <c r="M137" s="160"/>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row>
    <row r="138" spans="2:53" ht="17.399999999999999" customHeight="1">
      <c r="B138" s="160"/>
      <c r="C138" s="272" t="str">
        <f>IF(C137="Ciśnienie nominalne dla naczynia wzbiorczego jest mniejsze niż wybrane PSV","Wybierz naczynie o wyższym ciśnieniu nominalnym!!!","")</f>
        <v/>
      </c>
      <c r="D138" s="160"/>
      <c r="E138" s="300"/>
      <c r="F138" s="300"/>
      <c r="G138" s="301"/>
      <c r="H138" s="301"/>
      <c r="I138" s="302"/>
      <c r="J138" s="298"/>
      <c r="K138" s="160"/>
      <c r="L138" s="160"/>
      <c r="M138" s="160"/>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row>
    <row r="139" spans="2:53" ht="17.399999999999999" customHeight="1">
      <c r="C139" s="225" t="s">
        <v>359</v>
      </c>
      <c r="E139" s="184"/>
      <c r="F139" s="340" t="str">
        <f>IF('3'!F130=0,"",IF('3'!F23='3'!F130,"","BŁĄD!!! Dobrano inną pojemność naczynia dodatkowego niż podstawowego!"))</f>
        <v/>
      </c>
      <c r="G139" s="213"/>
      <c r="H139" s="213"/>
      <c r="I139" s="18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row>
    <row r="140" spans="2:53" ht="17.399999999999999" customHeight="1">
      <c r="B140" s="160"/>
      <c r="C140" s="160"/>
      <c r="D140" s="160"/>
      <c r="E140" s="160"/>
      <c r="F140" s="160"/>
      <c r="G140" s="160"/>
      <c r="H140" s="160"/>
      <c r="I140" s="160"/>
      <c r="J140" s="297"/>
      <c r="K140" s="160"/>
      <c r="L140" s="160"/>
      <c r="M140" s="160"/>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row>
    <row r="141" spans="2:53" ht="17.399999999999999" customHeight="1">
      <c r="B141" s="160"/>
      <c r="C141" s="160"/>
      <c r="D141" s="160"/>
      <c r="E141" s="160"/>
      <c r="F141" s="160"/>
      <c r="G141" s="303" t="s">
        <v>124</v>
      </c>
      <c r="H141" s="150">
        <v>1</v>
      </c>
      <c r="I141" s="162" t="s">
        <v>1</v>
      </c>
      <c r="J141" s="298"/>
      <c r="K141" s="160"/>
      <c r="L141" s="160"/>
      <c r="M141" s="160"/>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row>
    <row r="142" spans="2:53" ht="17.399999999999999" customHeight="1">
      <c r="B142" s="160"/>
      <c r="C142" s="339" t="str">
        <f>C164</f>
        <v>Dobrane naczynia spełniają wymagania normy PN-EN-12828</v>
      </c>
      <c r="D142" s="160"/>
      <c r="E142" s="160"/>
      <c r="F142" s="299"/>
      <c r="G142" s="160"/>
      <c r="H142" s="160"/>
      <c r="I142" s="160"/>
      <c r="J142" s="298"/>
      <c r="K142" s="160"/>
      <c r="L142" s="160"/>
      <c r="M142" s="160"/>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row>
    <row r="143" spans="2:53" ht="17.399999999999999" customHeight="1">
      <c r="B143" s="160"/>
      <c r="C143" s="272" t="str">
        <f>C165</f>
        <v/>
      </c>
      <c r="D143" s="160"/>
      <c r="E143" s="160"/>
      <c r="F143" s="299"/>
      <c r="G143" s="160"/>
      <c r="H143" s="160"/>
      <c r="I143" s="160"/>
      <c r="J143" s="298"/>
      <c r="K143" s="160"/>
      <c r="L143" s="160"/>
      <c r="M143" s="160"/>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row>
    <row r="144" spans="2:53" ht="17.399999999999999" customHeight="1">
      <c r="B144" s="160"/>
      <c r="C144" s="272" t="str">
        <f>IF('3'!F131&lt;Compresso!K19,"Ciśnienie nominalne dla naczynia wzbiorczego jest mniejsze niż wybrane PSV","")</f>
        <v/>
      </c>
      <c r="D144" s="160"/>
      <c r="E144" s="300"/>
      <c r="F144" s="300"/>
      <c r="G144" s="301"/>
      <c r="H144" s="301"/>
      <c r="I144" s="302"/>
      <c r="J144" s="298"/>
      <c r="K144" s="160"/>
      <c r="L144" s="160"/>
      <c r="M144" s="160"/>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row>
    <row r="145" spans="2:53" ht="17.399999999999999" customHeight="1">
      <c r="B145" s="160"/>
      <c r="C145" s="272" t="str">
        <f>IF(C144="Ciśnienie nominalne dla naczynia wzbiorczego jest mniejsze niż wybrane PSV","Wybierz naczynie o wyższym ciśnieniu nominalnym!!!","")</f>
        <v/>
      </c>
      <c r="D145" s="160"/>
      <c r="E145" s="300"/>
      <c r="F145" s="300"/>
      <c r="G145" s="301"/>
      <c r="H145" s="301"/>
      <c r="I145" s="302"/>
      <c r="J145" s="298"/>
      <c r="K145" s="160"/>
      <c r="L145" s="160"/>
      <c r="M145" s="160"/>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row>
    <row r="146" spans="2:53" ht="17.399999999999999" customHeight="1">
      <c r="C146" s="212"/>
      <c r="E146" s="184"/>
      <c r="F146" s="184"/>
      <c r="G146" s="213"/>
      <c r="H146" s="213"/>
      <c r="I146" s="18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row>
    <row r="147" spans="2:53" ht="17.399999999999999" customHeight="1">
      <c r="C147" s="157" t="s">
        <v>610</v>
      </c>
      <c r="H147" s="157" t="str">
        <f>VLOOKUP('3'!B27,'3'!A29:F74,2,0)</f>
        <v>Compresso CG 1500.6   (podstawowe)</v>
      </c>
      <c r="I147" s="245"/>
      <c r="L147" s="1" t="s">
        <v>130</v>
      </c>
      <c r="M147" s="188">
        <f>H134</f>
        <v>1</v>
      </c>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row>
    <row r="148" spans="2:53" ht="17.399999999999999" customHeight="1">
      <c r="C148" s="157" t="str">
        <f>IF(H141=0,"","oraz naczynie wzbiorcze dodatkowe:")</f>
        <v>oraz naczynie wzbiorcze dodatkowe:</v>
      </c>
      <c r="H148" s="157" t="str">
        <f>IF('3'!B133=1,"",VLOOKUP('3'!B133,'3'!A134:D158,2,0))</f>
        <v/>
      </c>
      <c r="L148" s="1" t="str">
        <f>IF(H141=0,"","w ilości:")</f>
        <v>w ilości:</v>
      </c>
      <c r="M148" s="188">
        <f>IF(H141=0,"",H141)</f>
        <v>1</v>
      </c>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row>
    <row r="149" spans="2:53" ht="17.399999999999999" customHeight="1">
      <c r="C149" s="157" t="s">
        <v>131</v>
      </c>
      <c r="F149" s="157">
        <f>'3'!F23*H134+H141*'3'!F130</f>
        <v>1500</v>
      </c>
      <c r="G149" s="157" t="s">
        <v>230</v>
      </c>
      <c r="L149" s="158"/>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row>
    <row r="150" spans="2:53" ht="17.399999999999999" customHeight="1">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row>
    <row r="151" spans="2:53" ht="17.399999999999999" customHeight="1">
      <c r="C151" s="183" t="s">
        <v>679</v>
      </c>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row>
    <row r="152" spans="2:53" ht="17.399999999999999" customHeight="1">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row>
    <row r="153" spans="2:53" ht="17.399999999999999" customHeight="1">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row>
    <row r="154" spans="2:53" ht="17.399999999999999" customHeight="1">
      <c r="C154" s="1" t="s">
        <v>0</v>
      </c>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row>
    <row r="155" spans="2:53" ht="17.399999999999999" customHeight="1">
      <c r="D155" s="157" t="s">
        <v>132</v>
      </c>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row>
    <row r="156" spans="2:53" ht="17.399999999999999" customHeight="1">
      <c r="D156" s="157" t="s">
        <v>133</v>
      </c>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row>
    <row r="157" spans="2:53" ht="17.399999999999999" customHeight="1">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row>
    <row r="158" spans="2:53" ht="17.399999999999999" customHeight="1">
      <c r="C158" s="1" t="s">
        <v>28</v>
      </c>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row>
    <row r="159" spans="2:53" ht="17.399999999999999" customHeight="1">
      <c r="D159" s="1" t="s">
        <v>136</v>
      </c>
      <c r="E159" s="187">
        <f>E129</f>
        <v>1260.3788248337046</v>
      </c>
      <c r="F159" s="157" t="s">
        <v>21</v>
      </c>
      <c r="G159" s="158"/>
      <c r="H159" s="158"/>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row>
    <row r="160" spans="2:53" ht="17.399999999999999" customHeight="1">
      <c r="D160" s="1" t="s">
        <v>137</v>
      </c>
      <c r="E160" s="1">
        <f>F149</f>
        <v>1500</v>
      </c>
      <c r="F160" s="157" t="s">
        <v>21</v>
      </c>
      <c r="G160" s="158"/>
      <c r="H160" s="158"/>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row>
    <row r="161" spans="3:53" ht="17.399999999999999" customHeight="1">
      <c r="E161" s="1"/>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row>
    <row r="162" spans="3:53" ht="17.399999999999999" customHeight="1">
      <c r="F162" s="157" t="s">
        <v>135</v>
      </c>
      <c r="G162" s="157" t="str">
        <f>IF(E160&gt;E159,"większe od",IF(E160=E159,"równe","mniejsze od"))</f>
        <v>większe od</v>
      </c>
      <c r="I162" s="157" t="s">
        <v>134</v>
      </c>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row>
    <row r="163" spans="3:53" ht="17.399999999999999" customHeight="1">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row>
    <row r="164" spans="3:53" ht="17.399999999999999" customHeight="1">
      <c r="C164" s="225" t="str">
        <f>IF('3'!F24&lt;Compresso!K19,"Dobrane naczynia nie spełniają wymogów normy PN-EN-12828",IF(G162="mniejsze od","Dobrane naczynia nie spełniają wymogów normy PN-EN-12828","Dobrane naczynia spełniają wymagania normy PN-EN-12828"))</f>
        <v>Dobrane naczynia spełniają wymagania normy PN-EN-12828</v>
      </c>
      <c r="J164" s="212"/>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row>
    <row r="165" spans="3:53" ht="17.399999999999999" customHeight="1">
      <c r="C165" s="212" t="str">
        <f>IF(G162="mniejsze od","Dobierz naczynie wzbiorcze o większej pojemności lub zwiększ ich liczbę!!!","")</f>
        <v/>
      </c>
      <c r="I165" s="212"/>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row>
    <row r="166" spans="3:53" ht="17.399999999999999" customHeight="1">
      <c r="C166" s="183" t="s">
        <v>722</v>
      </c>
      <c r="I166" s="212"/>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row>
    <row r="167" spans="3:53" ht="17.399999999999999" customHeight="1">
      <c r="C167" s="212"/>
      <c r="I167" s="212"/>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row>
    <row r="168" spans="3:53" ht="17.399999999999999" customHeight="1">
      <c r="C168" s="226" t="s">
        <v>350</v>
      </c>
      <c r="I168" s="212"/>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row>
    <row r="169" spans="3:53" ht="17.399999999999999" customHeight="1">
      <c r="C169" s="212"/>
      <c r="I169" s="212"/>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row>
    <row r="170" spans="3:53" ht="17.399999999999999" customHeight="1">
      <c r="C170" s="212"/>
      <c r="I170" s="212"/>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row>
    <row r="171" spans="3:53" ht="17.399999999999999" customHeight="1">
      <c r="C171" s="212"/>
      <c r="I171" s="212"/>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row>
    <row r="172" spans="3:53" ht="17.399999999999999" customHeight="1">
      <c r="C172" s="212"/>
      <c r="I172" s="212"/>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row>
    <row r="173" spans="3:53" ht="17.399999999999999" customHeight="1">
      <c r="C173" s="212"/>
      <c r="I173" s="212"/>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row>
    <row r="174" spans="3:53" ht="17.399999999999999" customHeight="1">
      <c r="C174" s="212"/>
      <c r="I174" s="212"/>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row>
    <row r="175" spans="3:53" ht="17.399999999999999" customHeight="1">
      <c r="C175" s="183" t="s">
        <v>681</v>
      </c>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row>
    <row r="176" spans="3:53" ht="17.399999999999999" customHeight="1">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row>
    <row r="177" spans="3:53" ht="17.399999999999999" customHeight="1">
      <c r="C177" s="157" t="s">
        <v>139</v>
      </c>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row>
    <row r="178" spans="3:53" ht="17.399999999999999" customHeight="1">
      <c r="D178" s="183" t="str">
        <f>H147</f>
        <v>Compresso CG 1500.6   (podstawowe)</v>
      </c>
      <c r="I178" s="183">
        <f>H134</f>
        <v>1</v>
      </c>
      <c r="J178" s="183" t="s">
        <v>1</v>
      </c>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row>
    <row r="179" spans="3:53" ht="17.399999999999999" customHeight="1">
      <c r="D179" s="157" t="s">
        <v>140</v>
      </c>
      <c r="I179" s="157">
        <f>VLOOKUP('3'!B27,'3'!A29:F74,3,0)</f>
        <v>1500</v>
      </c>
      <c r="J179" s="188" t="s">
        <v>141</v>
      </c>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row>
    <row r="180" spans="3:53" ht="17.399999999999999" customHeight="1">
      <c r="D180" s="157" t="s">
        <v>159</v>
      </c>
      <c r="I180" s="157">
        <f>VLOOKUP('3'!B27,'3'!A29:F74,4,0)</f>
        <v>6</v>
      </c>
      <c r="J180" s="188" t="s">
        <v>3</v>
      </c>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row>
    <row r="181" spans="3:53" ht="17.399999999999999" customHeight="1">
      <c r="D181" s="157" t="s">
        <v>142</v>
      </c>
      <c r="I181" s="229">
        <f>VLOOKUP('3'!B27,'3'!A29:F74,6,0)</f>
        <v>7121010</v>
      </c>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row>
    <row r="182" spans="3:53" ht="17.399999999999999" customHeight="1">
      <c r="D182" s="157" t="s">
        <v>145</v>
      </c>
      <c r="I182" s="157">
        <f>I179+'3'!F25</f>
        <v>1900</v>
      </c>
      <c r="J182" s="188" t="s">
        <v>146</v>
      </c>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row>
    <row r="183" spans="3:53" ht="17.399999999999999" customHeight="1">
      <c r="D183" s="157" t="s">
        <v>147</v>
      </c>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row>
    <row r="184" spans="3:53" ht="17.399999999999999" customHeight="1">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row>
    <row r="185" spans="3:53" ht="17.399999999999999" customHeight="1">
      <c r="D185" s="183" t="str">
        <f>H148</f>
        <v/>
      </c>
      <c r="I185" s="183" t="str">
        <f>IF('3'!B133=1,"",H141)</f>
        <v/>
      </c>
      <c r="J185" s="183" t="str">
        <f>IF('3'!B133=1,"","szt.")</f>
        <v/>
      </c>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row>
    <row r="186" spans="3:53" ht="17.399999999999999" customHeight="1">
      <c r="D186" s="157" t="str">
        <f>IF('3'!B133=1,"","o pojemności nominalnej jednego naczynia:")</f>
        <v/>
      </c>
      <c r="I186" s="157" t="str">
        <f>IF('3'!B133=1,"",VLOOKUP('3'!B133,'3'!A134:G158,3,0))</f>
        <v/>
      </c>
      <c r="J186" s="188" t="str">
        <f>IF('3'!B133=1,"","litrów")</f>
        <v/>
      </c>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row>
    <row r="187" spans="3:53" ht="17.399999999999999" customHeight="1">
      <c r="D187" s="157" t="str">
        <f>IF('3'!B133=1,"","o ciśnieniu nominalnym PN:")</f>
        <v/>
      </c>
      <c r="I187" s="157" t="str">
        <f>IF('3'!B133=1,"",VLOOKUP('3'!B133,'3'!A134:G158,4,0))</f>
        <v/>
      </c>
      <c r="J187" s="188" t="str">
        <f>IF('3'!B133=1,"","bar")</f>
        <v/>
      </c>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row>
    <row r="188" spans="3:53" ht="17.399999999999999" customHeight="1">
      <c r="D188" s="157" t="str">
        <f>IF('3'!B133=1,"","o nr artykułu:")</f>
        <v/>
      </c>
      <c r="I188" s="229" t="str">
        <f>IF('3'!B133=1,"",VLOOKUP('3'!B133,'3'!A134:G158,6,0))</f>
        <v/>
      </c>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row>
    <row r="189" spans="3:53" ht="17.399999999999999" customHeight="1">
      <c r="D189" s="157" t="str">
        <f>IF('3'!B133=1,"","o wadze operacyjnej pojedynczego naczynia:")</f>
        <v/>
      </c>
      <c r="I189" s="157" t="str">
        <f>IF('3'!B133=1,"",I186+'3'!F132)</f>
        <v/>
      </c>
      <c r="J189" s="188" t="str">
        <f>IF('3'!B133=1,"","kg")</f>
        <v/>
      </c>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row>
    <row r="190" spans="3:53" ht="17.399999999999999" customHeight="1">
      <c r="D190" s="157" t="str">
        <f>IF('3'!B133=1,"","(naczynie w 100% pełne)")</f>
        <v/>
      </c>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row>
    <row r="191" spans="3:53" ht="17.399999999999999" customHeight="1">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row>
    <row r="192" spans="3:53" ht="17.399999999999999" customHeight="1">
      <c r="C192" s="183" t="s">
        <v>723</v>
      </c>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row>
    <row r="193" spans="3:53" ht="17.399999999999999" customHeight="1">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row>
    <row r="194" spans="3:53" ht="17.399999999999999" customHeight="1">
      <c r="C194" s="1" t="s">
        <v>351</v>
      </c>
      <c r="D194" s="184">
        <f>'C-C Auswahl'!P19</f>
        <v>3.2787567787971459</v>
      </c>
      <c r="E194" s="157" t="s">
        <v>3</v>
      </c>
      <c r="H194" s="214"/>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row>
    <row r="195" spans="3:53" ht="17.399999999999999" customHeight="1">
      <c r="C195" s="227" t="s">
        <v>353</v>
      </c>
      <c r="D195" s="216">
        <f>'C-C Auswahl'!P20</f>
        <v>3.4787567787971461</v>
      </c>
      <c r="E195" s="183" t="s">
        <v>3</v>
      </c>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row>
    <row r="196" spans="3:53" ht="17.399999999999999" customHeight="1">
      <c r="C196" s="1" t="s">
        <v>352</v>
      </c>
      <c r="D196" s="184">
        <f>'C-C Auswahl'!P21</f>
        <v>3.6787567787971462</v>
      </c>
      <c r="E196" s="157" t="s">
        <v>3</v>
      </c>
      <c r="H196" s="184"/>
      <c r="K196" s="214"/>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row>
    <row r="197" spans="3:53" ht="17.399999999999999" customHeight="1">
      <c r="H197" s="214"/>
      <c r="K197" s="214"/>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row>
    <row r="198" spans="3:53" ht="17.399999999999999" customHeight="1">
      <c r="C198" s="215"/>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row>
    <row r="199" spans="3:53" ht="17.399999999999999" customHeight="1">
      <c r="C199" s="183" t="s">
        <v>724</v>
      </c>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row>
    <row r="200" spans="3:53" ht="17.399999999999999" customHeight="1">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row>
    <row r="201" spans="3:53" ht="17.399999999999999" customHeight="1">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row>
    <row r="202" spans="3:53" ht="17.399999999999999" customHeight="1">
      <c r="C202" s="216">
        <f>D194</f>
        <v>3.2787567787971459</v>
      </c>
      <c r="D202" s="183" t="s">
        <v>3</v>
      </c>
      <c r="L202" s="216">
        <f>D196</f>
        <v>3.6787567787971462</v>
      </c>
      <c r="M202" s="183" t="s">
        <v>3</v>
      </c>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row>
    <row r="203" spans="3:53" ht="17.399999999999999" customHeight="1">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row>
    <row r="204" spans="3:53" ht="17.399999999999999" customHeight="1">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row>
    <row r="205" spans="3:53" ht="17.399999999999999" customHeight="1">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row>
    <row r="206" spans="3:53" ht="17.399999999999999" customHeight="1">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row>
    <row r="207" spans="3:53" ht="17.399999999999999" customHeight="1">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row>
    <row r="208" spans="3:53" ht="17.399999999999999" customHeight="1">
      <c r="C208" s="216">
        <f>E99</f>
        <v>2.9</v>
      </c>
      <c r="D208" s="183" t="s">
        <v>3</v>
      </c>
      <c r="L208" s="216">
        <f>K19</f>
        <v>6</v>
      </c>
      <c r="M208" s="183" t="s">
        <v>3</v>
      </c>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row>
    <row r="209" spans="3:53" ht="17.399999999999999" customHeight="1">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row>
    <row r="210" spans="3:53" ht="17.399999999999999" customHeight="1">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row>
    <row r="211" spans="3:53" ht="17.399999999999999" customHeight="1">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row>
    <row r="212" spans="3:53" ht="17.399999999999999" customHeight="1">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row>
    <row r="213" spans="3:53" ht="17.399999999999999" customHeight="1">
      <c r="C213" s="183" t="s">
        <v>725</v>
      </c>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row>
    <row r="214" spans="3:53" ht="17.399999999999999" customHeight="1">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row>
    <row r="215" spans="3:53" ht="17.399999999999999" customHeight="1">
      <c r="C215" s="218" t="s">
        <v>740</v>
      </c>
      <c r="D215" s="218"/>
      <c r="E215" s="218"/>
      <c r="F215" s="218"/>
      <c r="G215" s="218"/>
      <c r="H215" s="218"/>
      <c r="I215" s="310"/>
      <c r="J215" s="236">
        <f>C202</f>
        <v>3.2787567787971459</v>
      </c>
      <c r="K215" s="235" t="s">
        <v>3</v>
      </c>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row>
    <row r="216" spans="3:53" ht="17.399999999999999" customHeight="1">
      <c r="C216" s="218" t="s">
        <v>161</v>
      </c>
      <c r="D216" s="218"/>
      <c r="E216" s="218"/>
      <c r="F216" s="218"/>
      <c r="G216" s="218"/>
      <c r="I216" s="218"/>
      <c r="J216" s="236">
        <f>L208</f>
        <v>6</v>
      </c>
      <c r="K216" s="235" t="s">
        <v>3</v>
      </c>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row>
    <row r="217" spans="3:53" ht="17.399999999999999" customHeight="1">
      <c r="C217" s="218"/>
      <c r="D217" s="218"/>
      <c r="E217" s="218"/>
      <c r="F217" s="218"/>
      <c r="G217" s="218"/>
      <c r="H217"/>
      <c r="J217"/>
      <c r="K217" s="218"/>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row>
    <row r="218" spans="3:53" ht="17.399999999999999" customHeight="1">
      <c r="H218"/>
      <c r="J218"/>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row>
    <row r="219" spans="3:53" ht="17.399999999999999" customHeight="1">
      <c r="C219" s="183" t="s">
        <v>726</v>
      </c>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row>
    <row r="220" spans="3:53" ht="17.399999999999999" customHeight="1">
      <c r="C220" s="157" t="s">
        <v>354</v>
      </c>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row>
    <row r="221" spans="3:53" ht="17.399999999999999" customHeight="1">
      <c r="C221" s="157" t="s">
        <v>355</v>
      </c>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row>
    <row r="222" spans="3:53" ht="17.399999999999999" customHeight="1">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row>
    <row r="223" spans="3:53" ht="17.399999999999999" customHeight="1">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row>
    <row r="224" spans="3:53" ht="17.399999999999999" customHeight="1">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row>
    <row r="225" spans="3:53" ht="17.399999999999999" customHeight="1">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row>
    <row r="226" spans="3:53" ht="17.399999999999999" customHeight="1">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row>
    <row r="227" spans="3:53" ht="17.399999999999999" customHeight="1">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row>
    <row r="228" spans="3:53" ht="17.399999999999999" customHeight="1">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row>
    <row r="229" spans="3:53" ht="17.399999999999999" customHeight="1">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row>
    <row r="230" spans="3:53" ht="17.399999999999999" customHeight="1">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row>
    <row r="231" spans="3:53" ht="17.399999999999999" customHeight="1">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row>
    <row r="232" spans="3:53" ht="17.399999999999999" customHeight="1">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row>
    <row r="233" spans="3:53" ht="17.399999999999999" customHeight="1">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row>
    <row r="234" spans="3:53" ht="17.399999999999999" customHeight="1">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row>
    <row r="235" spans="3:53" ht="17.399999999999999" customHeight="1">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row>
    <row r="236" spans="3:53" ht="17.399999999999999" customHeight="1">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row>
    <row r="237" spans="3:53" ht="17.399999999999999" customHeight="1">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row>
    <row r="238" spans="3:53" ht="17.399999999999999" customHeight="1">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row>
    <row r="239" spans="3:53" ht="17.399999999999999" customHeight="1">
      <c r="C239" s="183" t="s">
        <v>357</v>
      </c>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row>
    <row r="240" spans="3:53" ht="17.399999999999999" customHeight="1">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row>
    <row r="241" spans="2:53" ht="17.399999999999999" customHeight="1">
      <c r="C241" s="227" t="s">
        <v>353</v>
      </c>
      <c r="D241" s="216">
        <f>D195</f>
        <v>3.4787567787971461</v>
      </c>
      <c r="E241" s="183" t="s">
        <v>3</v>
      </c>
      <c r="F241" s="206" t="s">
        <v>561</v>
      </c>
      <c r="G241" s="239">
        <f>D241+0.5</f>
        <v>3.9787567787971461</v>
      </c>
      <c r="H241" s="217" t="s">
        <v>3</v>
      </c>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row>
    <row r="242" spans="2:53" ht="17.399999999999999" customHeight="1">
      <c r="C242" s="227"/>
      <c r="D242" s="216"/>
      <c r="E242" s="183"/>
      <c r="F242" s="206"/>
      <c r="G242" s="305"/>
      <c r="H242" s="230"/>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row>
    <row r="243" spans="2:53" ht="17.399999999999999" customHeight="1">
      <c r="B243" s="160"/>
      <c r="C243" s="160"/>
      <c r="D243" s="160"/>
      <c r="E243" s="160"/>
      <c r="F243" s="160"/>
      <c r="G243" s="160"/>
      <c r="H243" s="160"/>
      <c r="I243" s="160"/>
      <c r="J243" s="298"/>
      <c r="K243" s="160"/>
      <c r="L243" s="160"/>
      <c r="M243" s="160"/>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row>
    <row r="244" spans="2:53" ht="17.399999999999999" customHeight="1">
      <c r="B244" s="160"/>
      <c r="C244" s="160"/>
      <c r="D244" s="160"/>
      <c r="E244" s="160"/>
      <c r="F244" s="160"/>
      <c r="G244" s="160"/>
      <c r="H244" s="160"/>
      <c r="I244" s="160"/>
      <c r="J244" s="160"/>
      <c r="K244" s="160"/>
      <c r="L244" s="160"/>
      <c r="M244" s="160"/>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row>
    <row r="245" spans="2:53" ht="17.399999999999999" customHeight="1">
      <c r="B245" s="160"/>
      <c r="C245" s="160"/>
      <c r="D245" s="160"/>
      <c r="E245" s="160"/>
      <c r="F245" s="160"/>
      <c r="G245" s="160"/>
      <c r="H245" s="160"/>
      <c r="I245" s="160"/>
      <c r="J245" s="160"/>
      <c r="K245" s="160"/>
      <c r="L245" s="160"/>
      <c r="M245" s="160"/>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row>
    <row r="246" spans="2:53" ht="17.399999999999999" customHeight="1">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row>
    <row r="247" spans="2:53" ht="17.399999999999999" customHeight="1">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row>
    <row r="248" spans="2:53" ht="17.399999999999999" customHeight="1">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row>
    <row r="249" spans="2:53" ht="17.399999999999999" customHeight="1">
      <c r="C249" s="157" t="s">
        <v>362</v>
      </c>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row>
    <row r="250" spans="2:53" ht="17.399999999999999" customHeight="1">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row>
    <row r="251" spans="2:53" ht="17.399999999999999" customHeight="1">
      <c r="C251" s="183" t="s">
        <v>684</v>
      </c>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row>
    <row r="252" spans="2:53" ht="17.399999999999999" customHeight="1">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row>
    <row r="253" spans="2:53" ht="17.399999999999999" customHeight="1">
      <c r="C253" s="183" t="s">
        <v>219</v>
      </c>
      <c r="H253" s="206" t="s">
        <v>220</v>
      </c>
      <c r="I253" s="183"/>
      <c r="J253" s="183" t="s">
        <v>221</v>
      </c>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row>
    <row r="254" spans="2:53" ht="17.399999999999999" customHeight="1">
      <c r="C254" s="183"/>
      <c r="H254" s="183"/>
      <c r="I254" s="183"/>
      <c r="J254" s="183"/>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row>
    <row r="255" spans="2:53" ht="17.399999999999999" customHeight="1">
      <c r="C255" s="157" t="str">
        <f>VLOOKUP('3'!B161,'3'!A163:B216,2,0)</f>
        <v>Compresso Connect C 15.2-6.0        PS=6.0 bar</v>
      </c>
      <c r="I255" s="391">
        <v>1</v>
      </c>
      <c r="J255" s="157">
        <f>VLOOKUP('3'!B161,'3'!A163:F216,6,0)</f>
        <v>8101474</v>
      </c>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row>
    <row r="256" spans="2:53" ht="17.399999999999999" customHeight="1">
      <c r="C256" s="157" t="str">
        <f>D178</f>
        <v>Compresso CG 1500.6   (podstawowe)</v>
      </c>
      <c r="I256" s="391">
        <f>I178</f>
        <v>1</v>
      </c>
      <c r="J256" s="157">
        <f>I181</f>
        <v>7121010</v>
      </c>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row>
    <row r="257" spans="2:53" ht="17.399999999999999" customHeight="1">
      <c r="C257" s="157" t="str">
        <f>D185</f>
        <v/>
      </c>
      <c r="I257" s="391" t="str">
        <f>I185</f>
        <v/>
      </c>
      <c r="J257" s="190" t="str">
        <f>I188</f>
        <v/>
      </c>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row>
    <row r="258" spans="2:53" ht="17.399999999999999" customHeight="1">
      <c r="J258" s="157"/>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row>
    <row r="259" spans="2:53" ht="17.399999999999999" customHeight="1">
      <c r="C259" s="210" t="s">
        <v>8</v>
      </c>
      <c r="D259" s="210"/>
      <c r="E259" s="210"/>
      <c r="F259" s="210"/>
      <c r="G259" s="210"/>
      <c r="H259" s="210"/>
      <c r="M259" s="222" t="s">
        <v>11</v>
      </c>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row>
    <row r="260" spans="2:53" ht="17.399999999999999" customHeight="1">
      <c r="B260" s="156"/>
      <c r="C260" s="156"/>
      <c r="D260" s="156"/>
      <c r="E260" s="156"/>
      <c r="F260" s="156"/>
      <c r="G260" s="156"/>
      <c r="H260" s="156"/>
      <c r="I260" s="156"/>
      <c r="J260" s="223"/>
      <c r="K260" s="156"/>
      <c r="L260" s="156"/>
      <c r="M260" s="156"/>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row>
    <row r="261" spans="2:53" ht="17.399999999999999" customHeight="1">
      <c r="B261" s="156"/>
      <c r="C261" s="156"/>
      <c r="D261" s="156"/>
      <c r="E261" s="156"/>
      <c r="F261" s="156"/>
      <c r="G261" s="156"/>
      <c r="H261" s="156"/>
      <c r="I261" s="156"/>
      <c r="J261" s="223"/>
      <c r="K261" s="156"/>
      <c r="L261" s="156"/>
      <c r="M261" s="156"/>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row>
    <row r="262" spans="2:53" ht="17.399999999999999" customHeight="1">
      <c r="B262" s="156"/>
      <c r="C262" s="156"/>
      <c r="D262" s="156"/>
      <c r="E262" s="156"/>
      <c r="F262" s="156"/>
      <c r="G262" s="156"/>
      <c r="H262" s="156"/>
      <c r="I262" s="156"/>
      <c r="J262" s="223"/>
      <c r="K262" s="156"/>
      <c r="L262" s="156"/>
      <c r="M262" s="156"/>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row>
    <row r="263" spans="2:53" ht="17.399999999999999" customHeight="1">
      <c r="B263" s="156"/>
      <c r="C263" s="156"/>
      <c r="D263" s="156"/>
      <c r="E263" s="156"/>
      <c r="F263" s="156"/>
      <c r="G263" s="156"/>
      <c r="H263" s="156"/>
      <c r="I263" s="156"/>
      <c r="J263" s="223"/>
      <c r="K263" s="156"/>
      <c r="L263" s="156"/>
      <c r="M263" s="156"/>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row>
    <row r="264" spans="2:53" ht="17.399999999999999" customHeight="1">
      <c r="B264" s="156"/>
      <c r="C264" s="156"/>
      <c r="D264" s="156"/>
      <c r="E264" s="156"/>
      <c r="F264" s="156"/>
      <c r="G264" s="156"/>
      <c r="H264" s="156"/>
      <c r="I264" s="156"/>
      <c r="J264" s="223"/>
      <c r="K264" s="156"/>
      <c r="L264" s="156"/>
      <c r="M264" s="156"/>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row>
    <row r="265" spans="2:53" ht="17.399999999999999" customHeight="1">
      <c r="B265" s="159"/>
      <c r="C265" s="156"/>
      <c r="D265" s="156"/>
      <c r="E265" s="156"/>
      <c r="F265" s="156"/>
      <c r="G265" s="156"/>
      <c r="H265" s="156"/>
      <c r="I265" s="156"/>
      <c r="J265" s="223"/>
      <c r="K265" s="156"/>
      <c r="L265" s="156"/>
      <c r="M265" s="156"/>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row>
    <row r="266" spans="2:53" ht="17.399999999999999" customHeight="1">
      <c r="B266" s="159"/>
      <c r="C266" s="159"/>
      <c r="D266" s="159"/>
      <c r="E266" s="159"/>
      <c r="F266" s="159"/>
      <c r="G266" s="159"/>
      <c r="H266" s="159"/>
      <c r="I266" s="159"/>
      <c r="J266" s="224"/>
      <c r="K266" s="159"/>
      <c r="L266" s="159"/>
      <c r="M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row>
    <row r="267" spans="2:53" ht="17.399999999999999" customHeight="1">
      <c r="B267" s="159"/>
      <c r="C267" s="159"/>
      <c r="D267" s="159"/>
      <c r="E267" s="159"/>
      <c r="F267" s="159"/>
      <c r="G267" s="159"/>
      <c r="H267" s="159"/>
      <c r="I267" s="159"/>
      <c r="J267" s="224"/>
      <c r="K267" s="159"/>
      <c r="L267" s="159"/>
      <c r="M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row>
    <row r="268" spans="2:53" ht="17.399999999999999" customHeight="1">
      <c r="B268" s="159"/>
      <c r="C268" s="159"/>
      <c r="D268" s="159"/>
      <c r="E268" s="159"/>
      <c r="F268" s="159"/>
      <c r="G268" s="159"/>
      <c r="H268" s="159"/>
      <c r="I268" s="159"/>
      <c r="J268" s="224"/>
      <c r="K268" s="159"/>
      <c r="L268" s="159"/>
      <c r="M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row>
    <row r="269" spans="2:53" ht="17.399999999999999" customHeight="1">
      <c r="B269" s="159"/>
      <c r="C269" s="159"/>
      <c r="D269" s="159"/>
      <c r="E269" s="159"/>
      <c r="F269" s="159"/>
      <c r="G269" s="159"/>
      <c r="H269" s="159"/>
      <c r="I269" s="159"/>
      <c r="J269" s="224"/>
      <c r="K269" s="159"/>
      <c r="L269" s="159"/>
      <c r="M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row>
    <row r="270" spans="2:53" ht="17.399999999999999" customHeight="1">
      <c r="B270" s="159"/>
      <c r="C270" s="159"/>
      <c r="D270" s="159"/>
      <c r="E270" s="159"/>
      <c r="F270" s="159"/>
      <c r="G270" s="159"/>
      <c r="H270" s="159"/>
      <c r="I270" s="159"/>
      <c r="J270" s="224"/>
      <c r="K270" s="159"/>
      <c r="L270" s="159"/>
      <c r="M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row>
    <row r="271" spans="2:53" ht="17.399999999999999" customHeight="1">
      <c r="B271" s="159"/>
      <c r="C271" s="159"/>
      <c r="D271" s="159"/>
      <c r="E271" s="159"/>
      <c r="F271" s="159"/>
      <c r="G271" s="159"/>
      <c r="H271" s="159"/>
      <c r="I271" s="159"/>
      <c r="J271" s="224"/>
      <c r="K271" s="159"/>
      <c r="L271" s="159"/>
      <c r="M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row>
    <row r="272" spans="2:53" ht="17.399999999999999" customHeight="1">
      <c r="B272" s="159"/>
      <c r="C272" s="159"/>
      <c r="D272" s="159"/>
      <c r="E272" s="159"/>
      <c r="F272" s="159"/>
      <c r="G272" s="159"/>
      <c r="H272" s="159"/>
      <c r="I272" s="159"/>
      <c r="J272" s="224"/>
      <c r="K272" s="159"/>
      <c r="L272" s="159"/>
      <c r="M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row>
    <row r="273" spans="2:53" ht="17.399999999999999" customHeight="1">
      <c r="B273" s="159"/>
      <c r="C273" s="159"/>
      <c r="D273" s="159"/>
      <c r="E273" s="159"/>
      <c r="F273" s="159"/>
      <c r="G273" s="159"/>
      <c r="H273" s="159"/>
      <c r="I273" s="159"/>
      <c r="J273" s="224"/>
      <c r="K273" s="159"/>
      <c r="L273" s="159"/>
      <c r="M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row>
    <row r="274" spans="2:53" ht="17.399999999999999" customHeight="1">
      <c r="B274" s="159"/>
      <c r="C274" s="159"/>
      <c r="D274" s="159"/>
      <c r="E274" s="159"/>
      <c r="F274" s="159"/>
      <c r="G274" s="159"/>
      <c r="H274" s="159"/>
      <c r="I274" s="159"/>
      <c r="J274" s="224"/>
      <c r="K274" s="159"/>
      <c r="L274" s="159"/>
      <c r="M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row>
    <row r="275" spans="2:53" ht="17.399999999999999" customHeight="1">
      <c r="B275" s="159"/>
      <c r="C275" s="159"/>
      <c r="D275" s="159"/>
      <c r="E275" s="159"/>
      <c r="F275" s="159"/>
      <c r="G275" s="159"/>
      <c r="H275" s="159"/>
      <c r="I275" s="159"/>
      <c r="J275" s="224"/>
      <c r="K275" s="159"/>
      <c r="L275" s="159"/>
      <c r="M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row>
    <row r="276" spans="2:53" ht="17.399999999999999" customHeight="1">
      <c r="B276" s="159"/>
      <c r="C276" s="159"/>
      <c r="D276" s="159"/>
      <c r="E276" s="159"/>
      <c r="F276" s="159"/>
      <c r="G276" s="159"/>
      <c r="H276" s="159"/>
      <c r="I276" s="159"/>
      <c r="J276" s="224"/>
      <c r="K276" s="159"/>
      <c r="L276" s="159"/>
      <c r="M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row>
    <row r="277" spans="2:53" ht="17.399999999999999" customHeight="1">
      <c r="B277" s="159"/>
      <c r="C277" s="159"/>
      <c r="D277" s="159"/>
      <c r="E277" s="159"/>
      <c r="F277" s="159"/>
      <c r="G277" s="159"/>
      <c r="H277" s="159"/>
      <c r="I277" s="159"/>
      <c r="J277" s="224"/>
      <c r="K277" s="159"/>
      <c r="L277" s="159"/>
      <c r="M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row>
    <row r="278" spans="2:53" ht="17.399999999999999" customHeight="1">
      <c r="B278" s="159"/>
      <c r="C278" s="159"/>
      <c r="D278" s="159"/>
      <c r="E278" s="159"/>
      <c r="F278" s="159"/>
      <c r="G278" s="159"/>
      <c r="H278" s="159"/>
      <c r="I278" s="159"/>
      <c r="J278" s="224"/>
      <c r="K278" s="159"/>
      <c r="L278" s="159"/>
      <c r="M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row>
    <row r="279" spans="2:53" ht="17.399999999999999" customHeight="1">
      <c r="B279" s="159"/>
      <c r="C279" s="159"/>
      <c r="D279" s="159"/>
      <c r="E279" s="159"/>
      <c r="F279" s="159"/>
      <c r="G279" s="159"/>
      <c r="H279" s="159"/>
      <c r="I279" s="159"/>
      <c r="J279" s="224"/>
      <c r="K279" s="159"/>
      <c r="L279" s="159"/>
      <c r="M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row>
    <row r="280" spans="2:53" ht="17.399999999999999" customHeight="1">
      <c r="B280" s="159"/>
      <c r="C280" s="159"/>
      <c r="D280" s="159"/>
      <c r="E280" s="159"/>
      <c r="F280" s="159"/>
      <c r="G280" s="159"/>
      <c r="H280" s="159"/>
      <c r="I280" s="159"/>
      <c r="J280" s="224"/>
      <c r="K280" s="159"/>
      <c r="L280" s="159"/>
      <c r="M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row>
    <row r="281" spans="2:53" ht="17.399999999999999" customHeight="1">
      <c r="B281" s="159"/>
      <c r="C281" s="159"/>
      <c r="D281" s="159"/>
      <c r="E281" s="159"/>
      <c r="F281" s="159"/>
      <c r="G281" s="159"/>
      <c r="H281" s="159"/>
      <c r="I281" s="159"/>
      <c r="J281" s="224"/>
      <c r="K281" s="159"/>
      <c r="L281" s="159"/>
      <c r="M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row>
    <row r="282" spans="2:53" ht="17.399999999999999" customHeight="1">
      <c r="B282" s="159"/>
      <c r="C282" s="159"/>
      <c r="D282" s="159"/>
      <c r="E282" s="159"/>
      <c r="F282" s="159"/>
      <c r="G282" s="159"/>
      <c r="H282" s="159"/>
      <c r="I282" s="159"/>
      <c r="J282" s="224"/>
      <c r="K282" s="159"/>
      <c r="L282" s="159"/>
      <c r="M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row>
    <row r="283" spans="2:53" ht="17.399999999999999" customHeight="1">
      <c r="B283" s="159"/>
      <c r="C283" s="159"/>
      <c r="D283" s="159"/>
      <c r="E283" s="159"/>
      <c r="F283" s="159"/>
      <c r="G283" s="159"/>
      <c r="H283" s="159"/>
      <c r="I283" s="159"/>
      <c r="J283" s="224"/>
      <c r="K283" s="159"/>
      <c r="L283" s="159"/>
      <c r="M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row>
    <row r="284" spans="2:53" ht="17.399999999999999" customHeight="1">
      <c r="B284" s="159"/>
      <c r="C284" s="159"/>
      <c r="D284" s="159"/>
      <c r="E284" s="159"/>
      <c r="F284" s="159"/>
      <c r="G284" s="159"/>
      <c r="H284" s="159"/>
      <c r="I284" s="159"/>
      <c r="J284" s="224"/>
      <c r="K284" s="159"/>
      <c r="L284" s="159"/>
      <c r="M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row>
    <row r="285" spans="2:53" ht="17.399999999999999" customHeight="1">
      <c r="B285" s="159"/>
      <c r="C285" s="159"/>
      <c r="D285" s="159"/>
      <c r="E285" s="159"/>
      <c r="F285" s="159"/>
      <c r="G285" s="159"/>
      <c r="H285" s="159"/>
      <c r="I285" s="159"/>
      <c r="J285" s="224"/>
      <c r="K285" s="159"/>
      <c r="L285" s="159"/>
      <c r="M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row>
    <row r="286" spans="2:53" ht="17.399999999999999" customHeight="1">
      <c r="B286" s="159"/>
      <c r="C286" s="159"/>
      <c r="D286" s="159"/>
      <c r="E286" s="159"/>
      <c r="F286" s="159"/>
      <c r="G286" s="159"/>
      <c r="H286" s="159"/>
      <c r="I286" s="159"/>
      <c r="J286" s="224"/>
      <c r="K286" s="159"/>
      <c r="L286" s="159"/>
      <c r="M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row>
    <row r="287" spans="2:53" ht="17.399999999999999" customHeight="1">
      <c r="B287" s="159"/>
      <c r="C287" s="159"/>
      <c r="D287" s="159"/>
      <c r="E287" s="159"/>
      <c r="F287" s="159"/>
      <c r="G287" s="159"/>
      <c r="H287" s="159"/>
      <c r="I287" s="159"/>
      <c r="J287" s="224"/>
      <c r="K287" s="159"/>
      <c r="L287" s="159"/>
      <c r="M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row>
    <row r="288" spans="2:53" ht="17.399999999999999" customHeight="1">
      <c r="B288" s="159"/>
      <c r="C288" s="159"/>
      <c r="D288" s="159"/>
      <c r="E288" s="159"/>
      <c r="F288" s="159"/>
      <c r="G288" s="159"/>
      <c r="H288" s="159"/>
      <c r="I288" s="159"/>
      <c r="J288" s="224"/>
      <c r="K288" s="159"/>
      <c r="L288" s="159"/>
      <c r="M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row>
    <row r="289" spans="2:53" ht="17.399999999999999" customHeight="1">
      <c r="B289" s="159"/>
      <c r="C289" s="159"/>
      <c r="D289" s="159"/>
      <c r="E289" s="159"/>
      <c r="F289" s="159"/>
      <c r="G289" s="159"/>
      <c r="H289" s="159"/>
      <c r="I289" s="159"/>
      <c r="J289" s="224"/>
      <c r="K289" s="159"/>
      <c r="L289" s="159"/>
      <c r="M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row>
    <row r="290" spans="2:53" ht="17.399999999999999" customHeight="1">
      <c r="B290" s="159"/>
      <c r="C290" s="159"/>
      <c r="D290" s="159"/>
      <c r="E290" s="159"/>
      <c r="F290" s="159"/>
      <c r="G290" s="159"/>
      <c r="H290" s="159"/>
      <c r="I290" s="159"/>
      <c r="J290" s="224"/>
      <c r="K290" s="159"/>
      <c r="L290" s="159"/>
      <c r="M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row>
    <row r="291" spans="2:53" ht="17.399999999999999" customHeight="1">
      <c r="B291" s="159"/>
      <c r="C291" s="159"/>
      <c r="D291" s="159"/>
      <c r="E291" s="159"/>
      <c r="F291" s="159"/>
      <c r="G291" s="159"/>
      <c r="H291" s="159"/>
      <c r="I291" s="159"/>
      <c r="J291" s="224"/>
      <c r="K291" s="159"/>
      <c r="L291" s="159"/>
      <c r="M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row>
    <row r="292" spans="2:53" ht="17.399999999999999" customHeight="1">
      <c r="B292" s="159"/>
      <c r="C292" s="159"/>
      <c r="D292" s="159"/>
      <c r="E292" s="159"/>
      <c r="F292" s="159"/>
      <c r="G292" s="159"/>
      <c r="H292" s="159"/>
      <c r="I292" s="159"/>
      <c r="J292" s="224"/>
      <c r="K292" s="159"/>
      <c r="L292" s="159"/>
      <c r="M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row>
    <row r="293" spans="2:53" ht="17.399999999999999" customHeight="1">
      <c r="B293" s="159"/>
      <c r="C293" s="159"/>
      <c r="D293" s="159"/>
      <c r="E293" s="159"/>
      <c r="F293" s="159"/>
      <c r="G293" s="159"/>
      <c r="H293" s="159"/>
      <c r="I293" s="159"/>
      <c r="J293" s="224"/>
      <c r="K293" s="159"/>
      <c r="L293" s="159"/>
      <c r="M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row>
    <row r="294" spans="2:53" ht="17.399999999999999" customHeight="1">
      <c r="B294" s="159"/>
      <c r="C294" s="159"/>
      <c r="D294" s="159"/>
      <c r="E294" s="159"/>
      <c r="F294" s="159"/>
      <c r="G294" s="159"/>
      <c r="H294" s="159"/>
      <c r="I294" s="159"/>
      <c r="J294" s="224"/>
      <c r="K294" s="159"/>
      <c r="L294" s="159"/>
      <c r="M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row>
    <row r="295" spans="2:53" ht="17.399999999999999" customHeight="1">
      <c r="B295" s="159"/>
      <c r="C295" s="159"/>
      <c r="D295" s="159"/>
      <c r="E295" s="159"/>
      <c r="F295" s="159"/>
      <c r="G295" s="159"/>
      <c r="H295" s="159"/>
      <c r="I295" s="159"/>
      <c r="J295" s="224"/>
      <c r="K295" s="159"/>
      <c r="L295" s="159"/>
      <c r="M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row>
    <row r="296" spans="2:53" ht="17.399999999999999" customHeight="1">
      <c r="B296" s="159"/>
      <c r="C296" s="159"/>
      <c r="D296" s="159"/>
      <c r="E296" s="159"/>
      <c r="F296" s="159"/>
      <c r="G296" s="159"/>
      <c r="H296" s="159"/>
      <c r="I296" s="159"/>
      <c r="J296" s="224"/>
      <c r="K296" s="159"/>
      <c r="L296" s="159"/>
      <c r="M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row>
    <row r="297" spans="2:53" ht="17.399999999999999" customHeight="1">
      <c r="B297" s="159"/>
      <c r="C297" s="159"/>
      <c r="D297" s="159"/>
      <c r="E297" s="159"/>
      <c r="F297" s="159"/>
      <c r="G297" s="159"/>
      <c r="H297" s="159"/>
      <c r="I297" s="159"/>
      <c r="J297" s="224"/>
      <c r="K297" s="159"/>
      <c r="L297" s="159"/>
      <c r="M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row>
    <row r="298" spans="2:53" ht="17.399999999999999" customHeight="1">
      <c r="B298" s="159"/>
      <c r="C298" s="159"/>
      <c r="D298" s="159"/>
      <c r="E298" s="159"/>
      <c r="F298" s="159"/>
      <c r="G298" s="159"/>
      <c r="H298" s="159"/>
      <c r="I298" s="159"/>
      <c r="J298" s="224"/>
      <c r="K298" s="159"/>
      <c r="L298" s="159"/>
      <c r="M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row>
    <row r="299" spans="2:53" ht="17.399999999999999" customHeight="1">
      <c r="B299" s="159"/>
      <c r="C299" s="159"/>
      <c r="D299" s="159"/>
      <c r="E299" s="159"/>
      <c r="F299" s="159"/>
      <c r="G299" s="159"/>
      <c r="H299" s="159"/>
      <c r="I299" s="159"/>
      <c r="J299" s="224"/>
      <c r="K299" s="159"/>
      <c r="L299" s="159"/>
      <c r="M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row>
    <row r="300" spans="2:53" ht="17.399999999999999" customHeight="1">
      <c r="B300" s="159"/>
      <c r="C300" s="159"/>
      <c r="D300" s="159"/>
      <c r="E300" s="159"/>
      <c r="F300" s="159"/>
      <c r="G300" s="159"/>
      <c r="H300" s="159"/>
      <c r="I300" s="159"/>
      <c r="J300" s="224"/>
      <c r="K300" s="159"/>
      <c r="L300" s="159"/>
      <c r="M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row>
    <row r="301" spans="2:53" ht="17.399999999999999" customHeight="1">
      <c r="B301" s="159"/>
      <c r="C301" s="159"/>
      <c r="D301" s="159"/>
      <c r="E301" s="159"/>
      <c r="F301" s="159"/>
      <c r="G301" s="159"/>
      <c r="H301" s="159"/>
      <c r="I301" s="159"/>
      <c r="J301" s="224"/>
      <c r="K301" s="159"/>
      <c r="L301" s="159"/>
      <c r="M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row>
    <row r="302" spans="2:53" ht="17.399999999999999" customHeight="1">
      <c r="B302" s="159"/>
      <c r="C302" s="159"/>
      <c r="D302" s="159"/>
      <c r="E302" s="159"/>
      <c r="F302" s="159"/>
      <c r="G302" s="159"/>
      <c r="H302" s="159"/>
      <c r="I302" s="159"/>
      <c r="J302" s="224"/>
      <c r="K302" s="159"/>
      <c r="L302" s="159"/>
      <c r="M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row>
    <row r="303" spans="2:53" ht="17.399999999999999" customHeight="1">
      <c r="B303" s="159"/>
      <c r="C303" s="159"/>
      <c r="D303" s="159"/>
      <c r="E303" s="159"/>
      <c r="F303" s="159"/>
      <c r="G303" s="159"/>
      <c r="H303" s="159"/>
      <c r="I303" s="159"/>
      <c r="J303" s="224"/>
      <c r="K303" s="159"/>
      <c r="L303" s="159"/>
      <c r="M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row>
    <row r="304" spans="2:53" ht="17.399999999999999" customHeight="1">
      <c r="B304" s="159"/>
      <c r="C304" s="159"/>
      <c r="D304" s="159"/>
      <c r="E304" s="159"/>
      <c r="F304" s="159"/>
      <c r="G304" s="159"/>
      <c r="H304" s="159"/>
      <c r="I304" s="159"/>
      <c r="J304" s="224"/>
      <c r="K304" s="159"/>
      <c r="L304" s="159"/>
      <c r="M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row>
    <row r="305" spans="2:53" ht="17.399999999999999" customHeight="1">
      <c r="B305" s="159"/>
      <c r="C305" s="159"/>
      <c r="D305" s="159"/>
      <c r="E305" s="159"/>
      <c r="F305" s="159"/>
      <c r="G305" s="159"/>
      <c r="H305" s="159"/>
      <c r="I305" s="159"/>
      <c r="J305" s="224"/>
      <c r="K305" s="159"/>
      <c r="L305" s="159"/>
      <c r="M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row>
    <row r="306" spans="2:53" ht="17.399999999999999" customHeight="1">
      <c r="B306" s="159"/>
      <c r="C306" s="159"/>
      <c r="D306" s="159"/>
      <c r="E306" s="159"/>
      <c r="F306" s="159"/>
      <c r="G306" s="159"/>
      <c r="H306" s="159"/>
      <c r="I306" s="159"/>
      <c r="J306" s="224"/>
      <c r="K306" s="159"/>
      <c r="L306" s="159"/>
      <c r="M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row>
    <row r="307" spans="2:53" ht="17.399999999999999" customHeight="1">
      <c r="B307" s="159"/>
      <c r="C307" s="159"/>
      <c r="D307" s="159"/>
      <c r="E307" s="159"/>
      <c r="F307" s="159"/>
      <c r="G307" s="159"/>
      <c r="H307" s="159"/>
      <c r="I307" s="159"/>
      <c r="J307" s="224"/>
      <c r="K307" s="159"/>
      <c r="L307" s="159"/>
      <c r="M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row>
    <row r="308" spans="2:53" ht="17.399999999999999" customHeight="1">
      <c r="B308" s="159"/>
      <c r="C308" s="159"/>
      <c r="D308" s="159"/>
      <c r="E308" s="159"/>
      <c r="F308" s="159"/>
      <c r="G308" s="159"/>
      <c r="H308" s="159"/>
      <c r="I308" s="159"/>
      <c r="J308" s="224"/>
      <c r="K308" s="159"/>
      <c r="L308" s="159"/>
      <c r="M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row>
    <row r="309" spans="2:53" ht="17.399999999999999" customHeight="1">
      <c r="B309" s="159"/>
      <c r="C309" s="159"/>
      <c r="D309" s="159"/>
      <c r="E309" s="159"/>
      <c r="F309" s="159"/>
      <c r="G309" s="159"/>
      <c r="H309" s="159"/>
      <c r="I309" s="159"/>
      <c r="J309" s="224"/>
      <c r="K309" s="159"/>
      <c r="L309" s="159"/>
      <c r="M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row>
    <row r="310" spans="2:53" ht="17.399999999999999" customHeight="1">
      <c r="B310" s="159"/>
      <c r="C310" s="159"/>
      <c r="D310" s="159"/>
      <c r="E310" s="159"/>
      <c r="F310" s="159"/>
      <c r="G310" s="159"/>
      <c r="H310" s="159"/>
      <c r="I310" s="159"/>
      <c r="J310" s="224"/>
      <c r="K310" s="159"/>
      <c r="L310" s="159"/>
      <c r="M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row>
    <row r="311" spans="2:53" ht="17.399999999999999" customHeight="1">
      <c r="B311" s="159"/>
      <c r="C311" s="159"/>
      <c r="D311" s="159"/>
      <c r="E311" s="159"/>
      <c r="F311" s="159"/>
      <c r="G311" s="159"/>
      <c r="H311" s="159"/>
      <c r="I311" s="159"/>
      <c r="J311" s="224"/>
      <c r="K311" s="159"/>
      <c r="L311" s="159"/>
      <c r="M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row>
    <row r="312" spans="2:53" ht="17.399999999999999" customHeight="1">
      <c r="B312" s="159"/>
      <c r="C312" s="159"/>
      <c r="D312" s="159"/>
      <c r="E312" s="159"/>
      <c r="F312" s="159"/>
      <c r="G312" s="159"/>
      <c r="H312" s="159"/>
      <c r="I312" s="159"/>
      <c r="J312" s="224"/>
      <c r="K312" s="159"/>
      <c r="L312" s="159"/>
      <c r="M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row>
    <row r="313" spans="2:53" ht="17.399999999999999" customHeight="1">
      <c r="B313" s="159"/>
      <c r="C313" s="159"/>
      <c r="D313" s="159"/>
      <c r="E313" s="159"/>
      <c r="F313" s="159"/>
      <c r="G313" s="159"/>
      <c r="H313" s="159"/>
      <c r="I313" s="159"/>
      <c r="J313" s="224"/>
      <c r="K313" s="159"/>
      <c r="L313" s="159"/>
      <c r="M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row>
    <row r="314" spans="2:53" ht="17.399999999999999" customHeight="1">
      <c r="B314" s="159"/>
      <c r="C314" s="159"/>
      <c r="D314" s="159"/>
      <c r="E314" s="159"/>
      <c r="F314" s="159"/>
      <c r="G314" s="159"/>
      <c r="H314" s="159"/>
      <c r="I314" s="159"/>
      <c r="J314" s="224"/>
      <c r="K314" s="159"/>
      <c r="L314" s="159"/>
      <c r="M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row>
    <row r="315" spans="2:53" ht="17.399999999999999" customHeight="1">
      <c r="B315" s="159"/>
      <c r="C315" s="159"/>
      <c r="D315" s="159"/>
      <c r="E315" s="159"/>
      <c r="F315" s="159"/>
      <c r="G315" s="159"/>
      <c r="H315" s="159"/>
      <c r="I315" s="159"/>
      <c r="J315" s="224"/>
      <c r="K315" s="159"/>
      <c r="L315" s="159"/>
      <c r="M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row>
    <row r="316" spans="2:53" ht="17.399999999999999" customHeight="1">
      <c r="B316" s="159"/>
      <c r="C316" s="159"/>
      <c r="D316" s="159"/>
      <c r="E316" s="159"/>
      <c r="F316" s="159"/>
      <c r="G316" s="159"/>
      <c r="H316" s="159"/>
      <c r="I316" s="159"/>
      <c r="J316" s="224"/>
      <c r="K316" s="159"/>
      <c r="L316" s="159"/>
      <c r="M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row>
    <row r="317" spans="2:53" ht="17.399999999999999" customHeight="1">
      <c r="B317" s="159"/>
      <c r="C317" s="159"/>
      <c r="D317" s="159"/>
      <c r="E317" s="159"/>
      <c r="F317" s="159"/>
      <c r="G317" s="159"/>
      <c r="H317" s="159"/>
      <c r="I317" s="159"/>
      <c r="J317" s="224"/>
      <c r="K317" s="159"/>
      <c r="L317" s="159"/>
      <c r="M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row>
    <row r="318" spans="2:53" ht="17.399999999999999" customHeight="1">
      <c r="B318" s="159"/>
      <c r="C318" s="159"/>
      <c r="D318" s="159"/>
      <c r="E318" s="159"/>
      <c r="F318" s="159"/>
      <c r="G318" s="159"/>
      <c r="H318" s="159"/>
      <c r="I318" s="159"/>
      <c r="J318" s="224"/>
      <c r="K318" s="159"/>
      <c r="L318" s="159"/>
      <c r="M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row>
    <row r="319" spans="2:53" ht="17.399999999999999" customHeight="1">
      <c r="B319" s="159"/>
      <c r="C319" s="159"/>
      <c r="D319" s="159"/>
      <c r="E319" s="159"/>
      <c r="F319" s="159"/>
      <c r="G319" s="159"/>
      <c r="H319" s="159"/>
      <c r="I319" s="159"/>
      <c r="J319" s="224"/>
      <c r="K319" s="159"/>
      <c r="L319" s="159"/>
      <c r="M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row>
    <row r="320" spans="2:53" ht="17.399999999999999" customHeight="1">
      <c r="B320" s="159"/>
      <c r="C320" s="159"/>
      <c r="D320" s="159"/>
      <c r="E320" s="159"/>
      <c r="F320" s="159"/>
      <c r="G320" s="159"/>
      <c r="H320" s="159"/>
      <c r="I320" s="159"/>
      <c r="J320" s="224"/>
      <c r="K320" s="159"/>
      <c r="L320" s="159"/>
      <c r="M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row>
    <row r="321" spans="2:53" ht="17.399999999999999" customHeight="1">
      <c r="B321" s="159"/>
      <c r="C321" s="159"/>
      <c r="D321" s="159"/>
      <c r="E321" s="159"/>
      <c r="F321" s="159"/>
      <c r="G321" s="159"/>
      <c r="H321" s="159"/>
      <c r="I321" s="159"/>
      <c r="J321" s="224"/>
      <c r="K321" s="159"/>
      <c r="L321" s="159"/>
      <c r="M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row>
    <row r="322" spans="2:53" ht="17.399999999999999" customHeight="1">
      <c r="B322" s="159"/>
      <c r="C322" s="159"/>
      <c r="D322" s="159"/>
      <c r="E322" s="159"/>
      <c r="F322" s="159"/>
      <c r="G322" s="159"/>
      <c r="H322" s="159"/>
      <c r="I322" s="159"/>
      <c r="J322" s="224"/>
      <c r="K322" s="159"/>
      <c r="L322" s="159"/>
      <c r="M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row>
    <row r="323" spans="2:53" ht="17.399999999999999" customHeight="1">
      <c r="B323" s="159"/>
      <c r="C323" s="159"/>
      <c r="D323" s="159"/>
      <c r="E323" s="159"/>
      <c r="F323" s="159"/>
      <c r="G323" s="159"/>
      <c r="H323" s="159"/>
      <c r="I323" s="159"/>
      <c r="J323" s="224"/>
      <c r="K323" s="159"/>
      <c r="L323" s="159"/>
      <c r="M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row>
    <row r="324" spans="2:53" ht="17.399999999999999" customHeight="1">
      <c r="B324" s="159"/>
      <c r="C324" s="159"/>
      <c r="D324" s="159"/>
      <c r="E324" s="159"/>
      <c r="F324" s="159"/>
      <c r="G324" s="159"/>
      <c r="H324" s="159"/>
      <c r="I324" s="159"/>
      <c r="J324" s="224"/>
      <c r="K324" s="159"/>
      <c r="L324" s="159"/>
      <c r="M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row>
    <row r="325" spans="2:53" ht="17.399999999999999" customHeight="1">
      <c r="B325" s="159"/>
      <c r="C325" s="159"/>
      <c r="D325" s="159"/>
      <c r="E325" s="159"/>
      <c r="F325" s="159"/>
      <c r="G325" s="159"/>
      <c r="H325" s="159"/>
      <c r="I325" s="159"/>
      <c r="J325" s="224"/>
      <c r="K325" s="159"/>
      <c r="L325" s="159"/>
      <c r="M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row>
    <row r="326" spans="2:53" ht="17.399999999999999" customHeight="1">
      <c r="B326" s="159"/>
      <c r="C326" s="159"/>
      <c r="D326" s="159"/>
      <c r="E326" s="159"/>
      <c r="F326" s="159"/>
      <c r="G326" s="159"/>
      <c r="H326" s="159"/>
      <c r="I326" s="159"/>
      <c r="J326" s="224"/>
      <c r="K326" s="159"/>
      <c r="L326" s="159"/>
      <c r="M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row>
    <row r="327" spans="2:53" ht="17.399999999999999" customHeight="1">
      <c r="B327" s="159"/>
      <c r="C327" s="159"/>
      <c r="D327" s="159"/>
      <c r="E327" s="159"/>
      <c r="F327" s="159"/>
      <c r="G327" s="159"/>
      <c r="H327" s="159"/>
      <c r="I327" s="159"/>
      <c r="J327" s="224"/>
      <c r="K327" s="159"/>
      <c r="L327" s="159"/>
      <c r="M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row>
    <row r="328" spans="2:53" ht="17.399999999999999" customHeight="1">
      <c r="B328" s="159"/>
      <c r="C328" s="159"/>
      <c r="D328" s="159"/>
      <c r="E328" s="159"/>
      <c r="F328" s="159"/>
      <c r="G328" s="159"/>
      <c r="H328" s="159"/>
      <c r="I328" s="159"/>
      <c r="J328" s="224"/>
      <c r="K328" s="159"/>
      <c r="L328" s="159"/>
      <c r="M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row>
    <row r="329" spans="2:53" ht="17.399999999999999" customHeight="1">
      <c r="B329" s="159"/>
      <c r="C329" s="159"/>
      <c r="D329" s="159"/>
      <c r="E329" s="159"/>
      <c r="F329" s="159"/>
      <c r="G329" s="159"/>
      <c r="H329" s="159"/>
      <c r="I329" s="159"/>
      <c r="J329" s="224"/>
      <c r="K329" s="159"/>
      <c r="L329" s="159"/>
      <c r="M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row>
    <row r="330" spans="2:53" ht="17.399999999999999" customHeight="1">
      <c r="B330" s="159"/>
      <c r="C330" s="159"/>
      <c r="D330" s="159"/>
      <c r="E330" s="159"/>
      <c r="F330" s="159"/>
      <c r="G330" s="159"/>
      <c r="H330" s="159"/>
      <c r="I330" s="159"/>
      <c r="J330" s="224"/>
      <c r="K330" s="159"/>
      <c r="L330" s="159"/>
      <c r="M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row>
    <row r="331" spans="2:53" ht="17.399999999999999" customHeight="1">
      <c r="B331" s="159"/>
      <c r="C331" s="159"/>
      <c r="D331" s="159"/>
      <c r="E331" s="159"/>
      <c r="F331" s="159"/>
      <c r="G331" s="159"/>
      <c r="H331" s="159"/>
      <c r="I331" s="159"/>
      <c r="J331" s="224"/>
      <c r="K331" s="159"/>
      <c r="L331" s="159"/>
      <c r="M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row>
    <row r="332" spans="2:53" ht="17.399999999999999" customHeight="1">
      <c r="B332" s="159"/>
      <c r="C332" s="159"/>
      <c r="D332" s="159"/>
      <c r="E332" s="159"/>
      <c r="F332" s="159"/>
      <c r="G332" s="159"/>
      <c r="H332" s="159"/>
      <c r="I332" s="159"/>
      <c r="J332" s="224"/>
      <c r="K332" s="159"/>
      <c r="L332" s="159"/>
      <c r="M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row>
    <row r="333" spans="2:53" ht="17.399999999999999" customHeight="1">
      <c r="B333" s="159"/>
      <c r="C333" s="159"/>
      <c r="D333" s="159"/>
      <c r="E333" s="159"/>
      <c r="F333" s="159"/>
      <c r="G333" s="159"/>
      <c r="H333" s="159"/>
      <c r="I333" s="159"/>
      <c r="J333" s="224"/>
      <c r="K333" s="159"/>
      <c r="L333" s="159"/>
      <c r="M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row>
    <row r="334" spans="2:53" ht="17.399999999999999" customHeight="1">
      <c r="B334" s="159"/>
      <c r="C334" s="159"/>
      <c r="D334" s="159"/>
      <c r="E334" s="159"/>
      <c r="F334" s="159"/>
      <c r="G334" s="159"/>
      <c r="H334" s="159"/>
      <c r="I334" s="159"/>
      <c r="J334" s="224"/>
      <c r="K334" s="159"/>
      <c r="L334" s="159"/>
      <c r="M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row>
    <row r="335" spans="2:53" ht="17.399999999999999" customHeight="1">
      <c r="B335" s="159"/>
      <c r="C335" s="159"/>
      <c r="D335" s="159"/>
      <c r="E335" s="159"/>
      <c r="F335" s="159"/>
      <c r="G335" s="159"/>
      <c r="H335" s="159"/>
      <c r="I335" s="159"/>
      <c r="J335" s="224"/>
      <c r="K335" s="159"/>
      <c r="L335" s="159"/>
      <c r="M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row>
    <row r="336" spans="2:53" ht="17.399999999999999" customHeight="1">
      <c r="B336" s="159"/>
      <c r="C336" s="159"/>
      <c r="D336" s="159"/>
      <c r="E336" s="159"/>
      <c r="F336" s="159"/>
      <c r="G336" s="159"/>
      <c r="H336" s="159"/>
      <c r="I336" s="159"/>
      <c r="J336" s="224"/>
      <c r="K336" s="159"/>
      <c r="L336" s="159"/>
      <c r="M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row>
    <row r="337" spans="2:53" ht="17.399999999999999" customHeight="1">
      <c r="B337" s="159"/>
      <c r="C337" s="159"/>
      <c r="D337" s="159"/>
      <c r="E337" s="159"/>
      <c r="F337" s="159"/>
      <c r="G337" s="159"/>
      <c r="H337" s="159"/>
      <c r="I337" s="159"/>
      <c r="J337" s="224"/>
      <c r="K337" s="159"/>
      <c r="L337" s="159"/>
      <c r="M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row>
    <row r="338" spans="2:53" ht="17.399999999999999" customHeight="1">
      <c r="B338" s="159"/>
      <c r="C338" s="159"/>
      <c r="D338" s="159"/>
      <c r="E338" s="159"/>
      <c r="F338" s="159"/>
      <c r="G338" s="159"/>
      <c r="H338" s="159"/>
      <c r="I338" s="159"/>
      <c r="J338" s="224"/>
      <c r="K338" s="159"/>
      <c r="L338" s="159"/>
      <c r="M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row>
    <row r="339" spans="2:53" ht="17.399999999999999" customHeight="1">
      <c r="B339" s="159"/>
      <c r="C339" s="159"/>
      <c r="D339" s="159"/>
      <c r="E339" s="159"/>
      <c r="F339" s="159"/>
      <c r="G339" s="159"/>
      <c r="H339" s="159"/>
      <c r="I339" s="159"/>
      <c r="J339" s="224"/>
      <c r="K339" s="159"/>
      <c r="L339" s="159"/>
      <c r="M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row>
    <row r="340" spans="2:53" ht="17.399999999999999" customHeight="1">
      <c r="B340" s="159"/>
      <c r="C340" s="159"/>
      <c r="D340" s="159"/>
      <c r="E340" s="159"/>
      <c r="F340" s="159"/>
      <c r="G340" s="159"/>
      <c r="H340" s="159"/>
      <c r="I340" s="159"/>
      <c r="J340" s="224"/>
      <c r="K340" s="159"/>
      <c r="L340" s="159"/>
      <c r="M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row>
    <row r="341" spans="2:53" ht="17.399999999999999" customHeight="1">
      <c r="B341" s="159"/>
      <c r="C341" s="159"/>
      <c r="D341" s="159"/>
      <c r="E341" s="159"/>
      <c r="F341" s="159"/>
      <c r="G341" s="159"/>
      <c r="H341" s="159"/>
      <c r="I341" s="159"/>
      <c r="J341" s="224"/>
      <c r="K341" s="159"/>
      <c r="L341" s="159"/>
      <c r="M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row>
    <row r="342" spans="2:53" ht="17.399999999999999" customHeight="1">
      <c r="B342" s="159"/>
      <c r="C342" s="159"/>
      <c r="D342" s="159"/>
      <c r="E342" s="159"/>
      <c r="F342" s="159"/>
      <c r="G342" s="159"/>
      <c r="H342" s="159"/>
      <c r="I342" s="159"/>
      <c r="J342" s="224"/>
      <c r="K342" s="159"/>
      <c r="L342" s="159"/>
      <c r="M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row>
    <row r="343" spans="2:53" ht="17.399999999999999" customHeight="1">
      <c r="B343" s="159"/>
      <c r="C343" s="159"/>
      <c r="D343" s="159"/>
      <c r="E343" s="159"/>
      <c r="F343" s="159"/>
      <c r="G343" s="159"/>
      <c r="H343" s="159"/>
      <c r="I343" s="159"/>
      <c r="J343" s="224"/>
      <c r="K343" s="159"/>
      <c r="L343" s="159"/>
      <c r="M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row>
    <row r="344" spans="2:53" ht="17.399999999999999" customHeight="1">
      <c r="B344" s="159"/>
      <c r="C344" s="159"/>
      <c r="D344" s="159"/>
      <c r="E344" s="159"/>
      <c r="F344" s="159"/>
      <c r="G344" s="159"/>
      <c r="H344" s="159"/>
      <c r="I344" s="159"/>
      <c r="J344" s="224"/>
      <c r="K344" s="159"/>
      <c r="L344" s="159"/>
      <c r="M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row>
    <row r="345" spans="2:53" ht="17.399999999999999" customHeight="1">
      <c r="B345" s="159"/>
      <c r="C345" s="159"/>
      <c r="D345" s="159"/>
      <c r="E345" s="159"/>
      <c r="F345" s="159"/>
      <c r="G345" s="159"/>
      <c r="H345" s="159"/>
      <c r="I345" s="159"/>
      <c r="J345" s="224"/>
      <c r="K345" s="159"/>
      <c r="L345" s="159"/>
      <c r="M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c r="AT345" s="159"/>
      <c r="AU345" s="159"/>
      <c r="AV345" s="159"/>
      <c r="AW345" s="159"/>
      <c r="AX345" s="159"/>
      <c r="AY345" s="159"/>
      <c r="AZ345" s="159"/>
      <c r="BA345" s="159"/>
    </row>
    <row r="346" spans="2:53" ht="17.399999999999999" customHeight="1">
      <c r="B346" s="159"/>
      <c r="C346" s="159"/>
      <c r="D346" s="159"/>
      <c r="E346" s="159"/>
      <c r="F346" s="159"/>
      <c r="G346" s="159"/>
      <c r="H346" s="159"/>
      <c r="I346" s="159"/>
      <c r="J346" s="224"/>
      <c r="K346" s="159"/>
      <c r="L346" s="159"/>
      <c r="M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row>
    <row r="347" spans="2:53" ht="17.399999999999999" customHeight="1">
      <c r="B347" s="159"/>
      <c r="C347" s="159"/>
      <c r="D347" s="159"/>
      <c r="E347" s="159"/>
      <c r="F347" s="159"/>
      <c r="G347" s="159"/>
      <c r="H347" s="159"/>
      <c r="I347" s="159"/>
      <c r="J347" s="224"/>
      <c r="K347" s="159"/>
      <c r="L347" s="159"/>
      <c r="M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row>
    <row r="348" spans="2:53" ht="17.399999999999999" customHeight="1">
      <c r="B348" s="159"/>
      <c r="C348" s="159"/>
      <c r="D348" s="159"/>
      <c r="E348" s="159"/>
      <c r="F348" s="159"/>
      <c r="G348" s="159"/>
      <c r="H348" s="159"/>
      <c r="I348" s="159"/>
      <c r="J348" s="224"/>
      <c r="K348" s="159"/>
      <c r="L348" s="159"/>
      <c r="M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59"/>
      <c r="AY348" s="159"/>
      <c r="AZ348" s="159"/>
      <c r="BA348" s="159"/>
    </row>
    <row r="349" spans="2:53" ht="17.399999999999999" customHeight="1">
      <c r="B349" s="159"/>
      <c r="C349" s="159"/>
      <c r="D349" s="159"/>
      <c r="E349" s="159"/>
      <c r="F349" s="159"/>
      <c r="G349" s="159"/>
      <c r="H349" s="159"/>
      <c r="I349" s="159"/>
      <c r="J349" s="224"/>
      <c r="K349" s="159"/>
      <c r="L349" s="159"/>
      <c r="M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c r="AT349" s="159"/>
      <c r="AU349" s="159"/>
      <c r="AV349" s="159"/>
      <c r="AW349" s="159"/>
      <c r="AX349" s="159"/>
      <c r="AY349" s="159"/>
      <c r="AZ349" s="159"/>
      <c r="BA349" s="159"/>
    </row>
    <row r="350" spans="2:53" ht="17.399999999999999" customHeight="1">
      <c r="B350" s="159"/>
      <c r="C350" s="159"/>
      <c r="D350" s="159"/>
      <c r="E350" s="159"/>
      <c r="F350" s="159"/>
      <c r="G350" s="159"/>
      <c r="H350" s="159"/>
      <c r="I350" s="159"/>
      <c r="J350" s="224"/>
      <c r="K350" s="159"/>
      <c r="L350" s="159"/>
      <c r="M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c r="AT350" s="159"/>
      <c r="AU350" s="159"/>
      <c r="AV350" s="159"/>
      <c r="AW350" s="159"/>
      <c r="AX350" s="159"/>
      <c r="AY350" s="159"/>
      <c r="AZ350" s="159"/>
      <c r="BA350" s="159"/>
    </row>
    <row r="351" spans="2:53" ht="17.399999999999999" customHeight="1">
      <c r="B351" s="159"/>
      <c r="C351" s="159"/>
      <c r="D351" s="159"/>
      <c r="E351" s="159"/>
      <c r="F351" s="159"/>
      <c r="G351" s="159"/>
      <c r="H351" s="159"/>
      <c r="I351" s="159"/>
      <c r="J351" s="224"/>
      <c r="K351" s="159"/>
      <c r="L351" s="159"/>
      <c r="M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c r="AT351" s="159"/>
      <c r="AU351" s="159"/>
      <c r="AV351" s="159"/>
      <c r="AW351" s="159"/>
      <c r="AX351" s="159"/>
      <c r="AY351" s="159"/>
      <c r="AZ351" s="159"/>
      <c r="BA351" s="159"/>
    </row>
    <row r="352" spans="2:53" ht="17.399999999999999" customHeight="1">
      <c r="B352" s="159"/>
      <c r="C352" s="159"/>
      <c r="D352" s="159"/>
      <c r="E352" s="159"/>
      <c r="F352" s="159"/>
      <c r="G352" s="159"/>
      <c r="H352" s="159"/>
      <c r="I352" s="159"/>
      <c r="J352" s="224"/>
      <c r="K352" s="159"/>
      <c r="L352" s="159"/>
      <c r="M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row>
    <row r="353" spans="2:53" ht="17.399999999999999" customHeight="1">
      <c r="B353" s="159"/>
      <c r="C353" s="159"/>
      <c r="D353" s="159"/>
      <c r="E353" s="159"/>
      <c r="F353" s="159"/>
      <c r="G353" s="159"/>
      <c r="H353" s="159"/>
      <c r="I353" s="159"/>
      <c r="J353" s="224"/>
      <c r="K353" s="159"/>
      <c r="L353" s="159"/>
      <c r="M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row>
    <row r="354" spans="2:53" ht="17.399999999999999" customHeight="1">
      <c r="B354" s="159"/>
      <c r="C354" s="159"/>
      <c r="D354" s="159"/>
      <c r="E354" s="159"/>
      <c r="F354" s="159"/>
      <c r="G354" s="159"/>
      <c r="H354" s="159"/>
      <c r="I354" s="159"/>
      <c r="J354" s="224"/>
      <c r="K354" s="159"/>
      <c r="L354" s="159"/>
      <c r="M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row>
    <row r="355" spans="2:53" ht="17.399999999999999" customHeight="1">
      <c r="B355" s="159"/>
      <c r="C355" s="159"/>
      <c r="D355" s="159"/>
      <c r="E355" s="159"/>
      <c r="F355" s="159"/>
      <c r="G355" s="159"/>
      <c r="H355" s="159"/>
      <c r="I355" s="159"/>
      <c r="J355" s="224"/>
      <c r="K355" s="159"/>
      <c r="L355" s="159"/>
      <c r="M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row>
    <row r="356" spans="2:53" ht="17.399999999999999" customHeight="1">
      <c r="B356" s="159"/>
      <c r="C356" s="159"/>
      <c r="D356" s="159"/>
      <c r="E356" s="159"/>
      <c r="F356" s="159"/>
      <c r="G356" s="159"/>
      <c r="H356" s="159"/>
      <c r="I356" s="159"/>
      <c r="J356" s="224"/>
      <c r="K356" s="159"/>
      <c r="L356" s="159"/>
      <c r="M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row>
    <row r="357" spans="2:53" ht="17.399999999999999" customHeight="1">
      <c r="B357" s="159"/>
      <c r="C357" s="159"/>
      <c r="D357" s="159"/>
      <c r="E357" s="159"/>
      <c r="F357" s="159"/>
      <c r="G357" s="159"/>
      <c r="H357" s="159"/>
      <c r="I357" s="159"/>
      <c r="J357" s="224"/>
      <c r="K357" s="159"/>
      <c r="L357" s="159"/>
      <c r="M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row>
    <row r="358" spans="2:53" ht="17.399999999999999" customHeight="1">
      <c r="B358" s="159"/>
      <c r="C358" s="159"/>
      <c r="D358" s="159"/>
      <c r="E358" s="159"/>
      <c r="F358" s="159"/>
      <c r="G358" s="159"/>
      <c r="H358" s="159"/>
      <c r="I358" s="159"/>
      <c r="J358" s="224"/>
      <c r="K358" s="159"/>
      <c r="L358" s="159"/>
      <c r="M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row>
    <row r="359" spans="2:53" ht="17.399999999999999" customHeight="1">
      <c r="B359" s="159"/>
      <c r="C359" s="159"/>
      <c r="D359" s="159"/>
      <c r="E359" s="159"/>
      <c r="F359" s="159"/>
      <c r="G359" s="159"/>
      <c r="H359" s="159"/>
      <c r="I359" s="159"/>
      <c r="J359" s="224"/>
      <c r="K359" s="159"/>
      <c r="L359" s="159"/>
      <c r="M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row>
    <row r="360" spans="2:53" ht="17.399999999999999" customHeight="1">
      <c r="B360" s="159"/>
      <c r="C360" s="159"/>
      <c r="D360" s="159"/>
      <c r="E360" s="159"/>
      <c r="F360" s="159"/>
      <c r="G360" s="159"/>
      <c r="H360" s="159"/>
      <c r="I360" s="159"/>
      <c r="J360" s="224"/>
      <c r="K360" s="159"/>
      <c r="L360" s="159"/>
      <c r="M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row>
    <row r="361" spans="2:53" ht="17.399999999999999" customHeight="1">
      <c r="B361" s="159"/>
      <c r="C361" s="159"/>
      <c r="D361" s="159"/>
      <c r="E361" s="159"/>
      <c r="F361" s="159"/>
      <c r="G361" s="159"/>
      <c r="H361" s="159"/>
      <c r="I361" s="159"/>
      <c r="J361" s="224"/>
      <c r="K361" s="159"/>
      <c r="L361" s="159"/>
      <c r="M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row>
    <row r="362" spans="2:53" ht="17.399999999999999" customHeight="1">
      <c r="B362" s="159"/>
      <c r="C362" s="159"/>
      <c r="D362" s="159"/>
      <c r="E362" s="159"/>
      <c r="F362" s="159"/>
      <c r="G362" s="159"/>
      <c r="H362" s="159"/>
      <c r="I362" s="159"/>
      <c r="J362" s="224"/>
      <c r="K362" s="159"/>
      <c r="L362" s="159"/>
      <c r="M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row>
    <row r="363" spans="2:53" ht="17.399999999999999" customHeight="1">
      <c r="B363" s="159"/>
      <c r="C363" s="159"/>
      <c r="D363" s="159"/>
      <c r="E363" s="159"/>
      <c r="F363" s="159"/>
      <c r="G363" s="159"/>
      <c r="H363" s="159"/>
      <c r="I363" s="159"/>
      <c r="J363" s="224"/>
      <c r="K363" s="159"/>
      <c r="L363" s="159"/>
      <c r="M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c r="AT363" s="159"/>
      <c r="AU363" s="159"/>
      <c r="AV363" s="159"/>
      <c r="AW363" s="159"/>
      <c r="AX363" s="159"/>
      <c r="AY363" s="159"/>
      <c r="AZ363" s="159"/>
      <c r="BA363" s="159"/>
    </row>
    <row r="364" spans="2:53" ht="17.399999999999999" customHeight="1">
      <c r="B364" s="159"/>
      <c r="C364" s="159"/>
      <c r="D364" s="159"/>
      <c r="E364" s="159"/>
      <c r="F364" s="159"/>
      <c r="G364" s="159"/>
      <c r="H364" s="159"/>
      <c r="I364" s="159"/>
      <c r="J364" s="224"/>
      <c r="K364" s="159"/>
      <c r="L364" s="159"/>
      <c r="M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c r="AT364" s="159"/>
      <c r="AU364" s="159"/>
      <c r="AV364" s="159"/>
      <c r="AW364" s="159"/>
      <c r="AX364" s="159"/>
      <c r="AY364" s="159"/>
      <c r="AZ364" s="159"/>
      <c r="BA364" s="159"/>
    </row>
    <row r="365" spans="2:53" ht="17.399999999999999" customHeight="1">
      <c r="B365" s="159"/>
      <c r="C365" s="159"/>
      <c r="D365" s="159"/>
      <c r="E365" s="159"/>
      <c r="F365" s="159"/>
      <c r="G365" s="159"/>
      <c r="H365" s="159"/>
      <c r="I365" s="159"/>
      <c r="J365" s="224"/>
      <c r="K365" s="159"/>
      <c r="L365" s="159"/>
      <c r="M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c r="AT365" s="159"/>
      <c r="AU365" s="159"/>
      <c r="AV365" s="159"/>
      <c r="AW365" s="159"/>
      <c r="AX365" s="159"/>
      <c r="AY365" s="159"/>
      <c r="AZ365" s="159"/>
      <c r="BA365" s="159"/>
    </row>
    <row r="366" spans="2:53" ht="17.399999999999999" customHeight="1">
      <c r="B366" s="159"/>
      <c r="C366" s="159"/>
      <c r="D366" s="159"/>
      <c r="E366" s="159"/>
      <c r="F366" s="159"/>
      <c r="G366" s="159"/>
      <c r="H366" s="159"/>
      <c r="I366" s="159"/>
      <c r="J366" s="224"/>
      <c r="K366" s="159"/>
      <c r="L366" s="159"/>
      <c r="M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row>
    <row r="367" spans="2:53" ht="17.399999999999999" customHeight="1">
      <c r="B367" s="159"/>
      <c r="C367" s="159"/>
      <c r="D367" s="159"/>
      <c r="E367" s="159"/>
      <c r="F367" s="159"/>
      <c r="G367" s="159"/>
      <c r="H367" s="159"/>
      <c r="I367" s="159"/>
      <c r="J367" s="224"/>
      <c r="K367" s="159"/>
      <c r="L367" s="159"/>
      <c r="M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c r="AT367" s="159"/>
      <c r="AU367" s="159"/>
      <c r="AV367" s="159"/>
      <c r="AW367" s="159"/>
      <c r="AX367" s="159"/>
      <c r="AY367" s="159"/>
      <c r="AZ367" s="159"/>
      <c r="BA367" s="159"/>
    </row>
    <row r="368" spans="2:53" ht="17.399999999999999" customHeight="1">
      <c r="B368" s="159"/>
      <c r="C368" s="159"/>
      <c r="D368" s="159"/>
      <c r="E368" s="159"/>
      <c r="F368" s="159"/>
      <c r="G368" s="159"/>
      <c r="H368" s="159"/>
      <c r="I368" s="159"/>
      <c r="J368" s="224"/>
      <c r="K368" s="159"/>
      <c r="L368" s="159"/>
      <c r="M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59"/>
      <c r="AY368" s="159"/>
      <c r="AZ368" s="159"/>
      <c r="BA368" s="159"/>
    </row>
    <row r="369" spans="2:53" ht="17.399999999999999" customHeight="1">
      <c r="B369" s="159"/>
      <c r="C369" s="159"/>
      <c r="D369" s="159"/>
      <c r="E369" s="159"/>
      <c r="F369" s="159"/>
      <c r="G369" s="159"/>
      <c r="H369" s="159"/>
      <c r="I369" s="159"/>
      <c r="J369" s="224"/>
      <c r="K369" s="159"/>
      <c r="L369" s="159"/>
      <c r="M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c r="AT369" s="159"/>
      <c r="AU369" s="159"/>
      <c r="AV369" s="159"/>
      <c r="AW369" s="159"/>
      <c r="AX369" s="159"/>
      <c r="AY369" s="159"/>
      <c r="AZ369" s="159"/>
      <c r="BA369" s="159"/>
    </row>
    <row r="370" spans="2:53" ht="17.399999999999999" customHeight="1">
      <c r="B370" s="159"/>
      <c r="C370" s="159"/>
      <c r="D370" s="159"/>
      <c r="E370" s="159"/>
      <c r="F370" s="159"/>
      <c r="G370" s="159"/>
      <c r="H370" s="159"/>
      <c r="I370" s="159"/>
      <c r="J370" s="224"/>
      <c r="K370" s="159"/>
      <c r="L370" s="159"/>
      <c r="M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c r="AT370" s="159"/>
      <c r="AU370" s="159"/>
      <c r="AV370" s="159"/>
      <c r="AW370" s="159"/>
      <c r="AX370" s="159"/>
      <c r="AY370" s="159"/>
      <c r="AZ370" s="159"/>
      <c r="BA370" s="159"/>
    </row>
    <row r="371" spans="2:53" ht="17.399999999999999" customHeight="1">
      <c r="B371" s="159"/>
      <c r="C371" s="159"/>
      <c r="D371" s="159"/>
      <c r="E371" s="159"/>
      <c r="F371" s="159"/>
      <c r="G371" s="159"/>
      <c r="H371" s="159"/>
      <c r="I371" s="159"/>
      <c r="J371" s="224"/>
      <c r="K371" s="159"/>
      <c r="L371" s="159"/>
      <c r="M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c r="AT371" s="159"/>
      <c r="AU371" s="159"/>
      <c r="AV371" s="159"/>
      <c r="AW371" s="159"/>
      <c r="AX371" s="159"/>
      <c r="AY371" s="159"/>
      <c r="AZ371" s="159"/>
      <c r="BA371" s="159"/>
    </row>
    <row r="372" spans="2:53" ht="17.399999999999999" customHeight="1">
      <c r="B372" s="159"/>
      <c r="C372" s="159"/>
      <c r="D372" s="159"/>
      <c r="E372" s="159"/>
      <c r="F372" s="159"/>
      <c r="G372" s="159"/>
      <c r="H372" s="159"/>
      <c r="I372" s="159"/>
      <c r="J372" s="224"/>
      <c r="K372" s="159"/>
      <c r="L372" s="159"/>
      <c r="M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c r="AT372" s="159"/>
      <c r="AU372" s="159"/>
      <c r="AV372" s="159"/>
      <c r="AW372" s="159"/>
      <c r="AX372" s="159"/>
      <c r="AY372" s="159"/>
      <c r="AZ372" s="159"/>
      <c r="BA372" s="159"/>
    </row>
    <row r="373" spans="2:53" ht="17.399999999999999" customHeight="1">
      <c r="B373" s="159"/>
      <c r="C373" s="159"/>
      <c r="D373" s="159"/>
      <c r="E373" s="159"/>
      <c r="F373" s="159"/>
      <c r="G373" s="159"/>
      <c r="H373" s="159"/>
      <c r="I373" s="159"/>
      <c r="J373" s="224"/>
      <c r="K373" s="159"/>
      <c r="L373" s="159"/>
      <c r="M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c r="AT373" s="159"/>
      <c r="AU373" s="159"/>
      <c r="AV373" s="159"/>
      <c r="AW373" s="159"/>
      <c r="AX373" s="159"/>
      <c r="AY373" s="159"/>
      <c r="AZ373" s="159"/>
      <c r="BA373" s="159"/>
    </row>
    <row r="374" spans="2:53" ht="17.399999999999999" customHeight="1">
      <c r="B374" s="159"/>
      <c r="C374" s="159"/>
      <c r="D374" s="159"/>
      <c r="E374" s="159"/>
      <c r="F374" s="159"/>
      <c r="G374" s="159"/>
      <c r="H374" s="159"/>
      <c r="I374" s="159"/>
      <c r="J374" s="224"/>
      <c r="K374" s="159"/>
      <c r="L374" s="159"/>
      <c r="M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row>
    <row r="375" spans="2:53" ht="17.399999999999999" customHeight="1">
      <c r="B375" s="159"/>
      <c r="C375" s="159"/>
      <c r="D375" s="159"/>
      <c r="E375" s="159"/>
      <c r="F375" s="159"/>
      <c r="G375" s="159"/>
      <c r="H375" s="159"/>
      <c r="I375" s="159"/>
      <c r="J375" s="224"/>
      <c r="K375" s="159"/>
      <c r="L375" s="159"/>
      <c r="M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c r="AT375" s="159"/>
      <c r="AU375" s="159"/>
      <c r="AV375" s="159"/>
      <c r="AW375" s="159"/>
      <c r="AX375" s="159"/>
      <c r="AY375" s="159"/>
      <c r="AZ375" s="159"/>
      <c r="BA375" s="159"/>
    </row>
    <row r="376" spans="2:53" ht="17.399999999999999" customHeight="1">
      <c r="B376" s="159"/>
      <c r="C376" s="159"/>
      <c r="D376" s="159"/>
      <c r="E376" s="159"/>
      <c r="F376" s="159"/>
      <c r="G376" s="159"/>
      <c r="H376" s="159"/>
      <c r="I376" s="159"/>
      <c r="J376" s="224"/>
      <c r="K376" s="159"/>
      <c r="L376" s="159"/>
      <c r="M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c r="AT376" s="159"/>
      <c r="AU376" s="159"/>
      <c r="AV376" s="159"/>
      <c r="AW376" s="159"/>
      <c r="AX376" s="159"/>
      <c r="AY376" s="159"/>
      <c r="AZ376" s="159"/>
      <c r="BA376" s="159"/>
    </row>
    <row r="377" spans="2:53" ht="17.399999999999999" customHeight="1">
      <c r="B377" s="159"/>
      <c r="C377" s="159"/>
      <c r="D377" s="159"/>
      <c r="E377" s="159"/>
      <c r="F377" s="159"/>
      <c r="G377" s="159"/>
      <c r="H377" s="159"/>
      <c r="I377" s="159"/>
      <c r="J377" s="224"/>
      <c r="K377" s="159"/>
      <c r="L377" s="159"/>
      <c r="M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c r="AT377" s="159"/>
      <c r="AU377" s="159"/>
      <c r="AV377" s="159"/>
      <c r="AW377" s="159"/>
      <c r="AX377" s="159"/>
      <c r="AY377" s="159"/>
      <c r="AZ377" s="159"/>
      <c r="BA377" s="159"/>
    </row>
    <row r="378" spans="2:53" ht="17.399999999999999" customHeight="1">
      <c r="B378" s="159"/>
      <c r="C378" s="159"/>
      <c r="D378" s="159"/>
      <c r="E378" s="159"/>
      <c r="F378" s="159"/>
      <c r="G378" s="159"/>
      <c r="H378" s="159"/>
      <c r="I378" s="159"/>
      <c r="J378" s="224"/>
      <c r="K378" s="159"/>
      <c r="L378" s="159"/>
      <c r="M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c r="AT378" s="159"/>
      <c r="AU378" s="159"/>
      <c r="AV378" s="159"/>
      <c r="AW378" s="159"/>
      <c r="AX378" s="159"/>
      <c r="AY378" s="159"/>
      <c r="AZ378" s="159"/>
      <c r="BA378" s="159"/>
    </row>
    <row r="379" spans="2:53" ht="17.399999999999999" customHeight="1">
      <c r="B379" s="159"/>
      <c r="C379" s="159"/>
      <c r="D379" s="159"/>
      <c r="E379" s="159"/>
      <c r="F379" s="159"/>
      <c r="G379" s="159"/>
      <c r="H379" s="159"/>
      <c r="I379" s="159"/>
      <c r="J379" s="224"/>
      <c r="K379" s="159"/>
      <c r="L379" s="159"/>
      <c r="M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c r="AT379" s="159"/>
      <c r="AU379" s="159"/>
      <c r="AV379" s="159"/>
      <c r="AW379" s="159"/>
      <c r="AX379" s="159"/>
      <c r="AY379" s="159"/>
      <c r="AZ379" s="159"/>
      <c r="BA379" s="159"/>
    </row>
    <row r="380" spans="2:53" ht="17.399999999999999" customHeight="1">
      <c r="B380" s="159"/>
      <c r="C380" s="159"/>
      <c r="D380" s="159"/>
      <c r="E380" s="159"/>
      <c r="F380" s="159"/>
      <c r="G380" s="159"/>
      <c r="H380" s="159"/>
      <c r="I380" s="159"/>
      <c r="J380" s="224"/>
      <c r="K380" s="159"/>
      <c r="L380" s="159"/>
      <c r="M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c r="AT380" s="159"/>
      <c r="AU380" s="159"/>
      <c r="AV380" s="159"/>
      <c r="AW380" s="159"/>
      <c r="AX380" s="159"/>
      <c r="AY380" s="159"/>
      <c r="AZ380" s="159"/>
      <c r="BA380" s="159"/>
    </row>
    <row r="381" spans="2:53" ht="17.399999999999999" customHeight="1">
      <c r="B381" s="159"/>
      <c r="C381" s="159"/>
      <c r="D381" s="159"/>
      <c r="E381" s="159"/>
      <c r="F381" s="159"/>
      <c r="G381" s="159"/>
      <c r="H381" s="159"/>
      <c r="I381" s="159"/>
      <c r="J381" s="224"/>
      <c r="K381" s="159"/>
      <c r="L381" s="159"/>
      <c r="M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row>
    <row r="382" spans="2:53" ht="17.399999999999999" customHeight="1">
      <c r="B382" s="159"/>
      <c r="C382" s="159"/>
      <c r="D382" s="159"/>
      <c r="E382" s="159"/>
      <c r="F382" s="159"/>
      <c r="G382" s="159"/>
      <c r="H382" s="159"/>
      <c r="I382" s="159"/>
      <c r="J382" s="224"/>
      <c r="K382" s="159"/>
      <c r="L382" s="159"/>
      <c r="M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c r="AT382" s="159"/>
      <c r="AU382" s="159"/>
      <c r="AV382" s="159"/>
      <c r="AW382" s="159"/>
      <c r="AX382" s="159"/>
      <c r="AY382" s="159"/>
      <c r="AZ382" s="159"/>
      <c r="BA382" s="159"/>
    </row>
    <row r="383" spans="2:53" ht="17.399999999999999" customHeight="1">
      <c r="B383" s="159"/>
      <c r="C383" s="159"/>
      <c r="D383" s="159"/>
      <c r="E383" s="159"/>
      <c r="F383" s="159"/>
      <c r="G383" s="159"/>
      <c r="H383" s="159"/>
      <c r="I383" s="159"/>
      <c r="J383" s="224"/>
      <c r="K383" s="159"/>
      <c r="L383" s="159"/>
      <c r="M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row>
    <row r="384" spans="2:53" ht="17.399999999999999" customHeight="1">
      <c r="B384" s="159"/>
      <c r="C384" s="159"/>
      <c r="D384" s="159"/>
      <c r="E384" s="159"/>
      <c r="F384" s="159"/>
      <c r="G384" s="159"/>
      <c r="H384" s="159"/>
      <c r="I384" s="159"/>
      <c r="J384" s="224"/>
      <c r="K384" s="159"/>
      <c r="L384" s="159"/>
      <c r="M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c r="AT384" s="159"/>
      <c r="AU384" s="159"/>
      <c r="AV384" s="159"/>
      <c r="AW384" s="159"/>
      <c r="AX384" s="159"/>
      <c r="AY384" s="159"/>
      <c r="AZ384" s="159"/>
      <c r="BA384" s="159"/>
    </row>
    <row r="385" spans="2:53" ht="17.399999999999999" customHeight="1">
      <c r="B385" s="159"/>
      <c r="C385" s="159"/>
      <c r="D385" s="159"/>
      <c r="E385" s="159"/>
      <c r="F385" s="159"/>
      <c r="G385" s="159"/>
      <c r="H385" s="159"/>
      <c r="I385" s="159"/>
      <c r="J385" s="224"/>
      <c r="K385" s="159"/>
      <c r="L385" s="159"/>
      <c r="M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c r="AT385" s="159"/>
      <c r="AU385" s="159"/>
      <c r="AV385" s="159"/>
      <c r="AW385" s="159"/>
      <c r="AX385" s="159"/>
      <c r="AY385" s="159"/>
      <c r="AZ385" s="159"/>
      <c r="BA385" s="159"/>
    </row>
    <row r="386" spans="2:53" ht="17.399999999999999" customHeight="1">
      <c r="B386" s="159"/>
      <c r="C386" s="159"/>
      <c r="D386" s="159"/>
      <c r="E386" s="159"/>
      <c r="F386" s="159"/>
      <c r="G386" s="159"/>
      <c r="H386" s="159"/>
      <c r="I386" s="159"/>
      <c r="J386" s="224"/>
      <c r="K386" s="159"/>
      <c r="L386" s="159"/>
      <c r="M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c r="AT386" s="159"/>
      <c r="AU386" s="159"/>
      <c r="AV386" s="159"/>
      <c r="AW386" s="159"/>
      <c r="AX386" s="159"/>
      <c r="AY386" s="159"/>
      <c r="AZ386" s="159"/>
      <c r="BA386" s="159"/>
    </row>
    <row r="387" spans="2:53" ht="17.399999999999999" customHeight="1">
      <c r="B387" s="159"/>
      <c r="C387" s="159"/>
      <c r="D387" s="159"/>
      <c r="E387" s="159"/>
      <c r="F387" s="159"/>
      <c r="G387" s="159"/>
      <c r="H387" s="159"/>
      <c r="I387" s="159"/>
      <c r="J387" s="224"/>
      <c r="K387" s="159"/>
      <c r="L387" s="159"/>
      <c r="M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row>
    <row r="388" spans="2:53" ht="17.399999999999999" customHeight="1">
      <c r="B388" s="159"/>
      <c r="C388" s="159"/>
      <c r="D388" s="159"/>
      <c r="E388" s="159"/>
      <c r="F388" s="159"/>
      <c r="G388" s="159"/>
      <c r="H388" s="159"/>
      <c r="I388" s="159"/>
      <c r="J388" s="224"/>
      <c r="K388" s="159"/>
      <c r="L388" s="159"/>
      <c r="M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159"/>
      <c r="AU388" s="159"/>
      <c r="AV388" s="159"/>
      <c r="AW388" s="159"/>
      <c r="AX388" s="159"/>
      <c r="AY388" s="159"/>
      <c r="AZ388" s="159"/>
      <c r="BA388" s="159"/>
    </row>
    <row r="389" spans="2:53" ht="17.399999999999999" customHeight="1">
      <c r="B389" s="159"/>
      <c r="C389" s="159"/>
      <c r="D389" s="159"/>
      <c r="E389" s="159"/>
      <c r="F389" s="159"/>
      <c r="G389" s="159"/>
      <c r="H389" s="159"/>
      <c r="I389" s="159"/>
      <c r="J389" s="224"/>
      <c r="K389" s="159"/>
      <c r="L389" s="159"/>
      <c r="M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row>
    <row r="390" spans="2:53" ht="17.399999999999999" customHeight="1">
      <c r="B390" s="159"/>
      <c r="C390" s="159"/>
      <c r="D390" s="159"/>
      <c r="E390" s="159"/>
      <c r="F390" s="159"/>
      <c r="G390" s="159"/>
      <c r="H390" s="159"/>
      <c r="I390" s="159"/>
      <c r="J390" s="224"/>
      <c r="K390" s="159"/>
      <c r="L390" s="159"/>
      <c r="M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row>
    <row r="391" spans="2:53" ht="17.399999999999999" customHeight="1">
      <c r="B391" s="159"/>
      <c r="C391" s="159"/>
      <c r="D391" s="159"/>
      <c r="E391" s="159"/>
      <c r="F391" s="159"/>
      <c r="G391" s="159"/>
      <c r="H391" s="159"/>
      <c r="I391" s="159"/>
      <c r="J391" s="224"/>
      <c r="K391" s="159"/>
      <c r="L391" s="159"/>
      <c r="M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row>
    <row r="392" spans="2:53" ht="17.399999999999999" customHeight="1">
      <c r="B392" s="159"/>
      <c r="C392" s="159"/>
      <c r="D392" s="159"/>
      <c r="E392" s="159"/>
      <c r="F392" s="159"/>
      <c r="G392" s="159"/>
      <c r="H392" s="159"/>
      <c r="I392" s="159"/>
      <c r="J392" s="224"/>
      <c r="K392" s="159"/>
      <c r="L392" s="159"/>
      <c r="M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row>
    <row r="393" spans="2:53" ht="17.399999999999999" customHeight="1">
      <c r="B393" s="159"/>
      <c r="C393" s="159"/>
      <c r="D393" s="159"/>
      <c r="E393" s="159"/>
      <c r="F393" s="159"/>
      <c r="G393" s="159"/>
      <c r="H393" s="159"/>
      <c r="I393" s="159"/>
      <c r="J393" s="224"/>
      <c r="K393" s="159"/>
      <c r="L393" s="159"/>
      <c r="M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row>
    <row r="394" spans="2:53" ht="17.399999999999999" customHeight="1">
      <c r="B394" s="159"/>
      <c r="C394" s="159"/>
      <c r="D394" s="159"/>
      <c r="E394" s="159"/>
      <c r="F394" s="159"/>
      <c r="G394" s="159"/>
      <c r="H394" s="159"/>
      <c r="I394" s="159"/>
      <c r="J394" s="224"/>
      <c r="K394" s="159"/>
      <c r="L394" s="159"/>
      <c r="M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row>
    <row r="395" spans="2:53" ht="17.399999999999999" customHeight="1">
      <c r="B395" s="159"/>
      <c r="C395" s="159"/>
      <c r="D395" s="159"/>
      <c r="E395" s="159"/>
      <c r="F395" s="159"/>
      <c r="G395" s="159"/>
      <c r="H395" s="159"/>
      <c r="I395" s="159"/>
      <c r="J395" s="224"/>
      <c r="K395" s="159"/>
      <c r="L395" s="159"/>
      <c r="M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c r="AT395" s="159"/>
      <c r="AU395" s="159"/>
      <c r="AV395" s="159"/>
      <c r="AW395" s="159"/>
      <c r="AX395" s="159"/>
      <c r="AY395" s="159"/>
      <c r="AZ395" s="159"/>
      <c r="BA395" s="159"/>
    </row>
    <row r="396" spans="2:53" ht="17.399999999999999" customHeight="1">
      <c r="B396" s="159"/>
      <c r="C396" s="159"/>
      <c r="D396" s="159"/>
      <c r="E396" s="159"/>
      <c r="F396" s="159"/>
      <c r="G396" s="159"/>
      <c r="H396" s="159"/>
      <c r="I396" s="159"/>
      <c r="J396" s="224"/>
      <c r="K396" s="159"/>
      <c r="L396" s="159"/>
      <c r="M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c r="AT396" s="159"/>
      <c r="AU396" s="159"/>
      <c r="AV396" s="159"/>
      <c r="AW396" s="159"/>
      <c r="AX396" s="159"/>
      <c r="AY396" s="159"/>
      <c r="AZ396" s="159"/>
      <c r="BA396" s="159"/>
    </row>
    <row r="397" spans="2:53" ht="17.399999999999999" customHeight="1">
      <c r="B397" s="159"/>
      <c r="C397" s="159"/>
      <c r="D397" s="159"/>
      <c r="E397" s="159"/>
      <c r="F397" s="159"/>
      <c r="G397" s="159"/>
      <c r="H397" s="159"/>
      <c r="I397" s="159"/>
      <c r="J397" s="224"/>
      <c r="K397" s="159"/>
      <c r="L397" s="159"/>
      <c r="M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row>
    <row r="398" spans="2:53" ht="17.399999999999999" customHeight="1">
      <c r="B398" s="159"/>
      <c r="C398" s="159"/>
      <c r="D398" s="159"/>
      <c r="E398" s="159"/>
      <c r="F398" s="159"/>
      <c r="G398" s="159"/>
      <c r="H398" s="159"/>
      <c r="I398" s="159"/>
      <c r="J398" s="224"/>
      <c r="K398" s="159"/>
      <c r="L398" s="159"/>
      <c r="M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c r="AT398" s="159"/>
      <c r="AU398" s="159"/>
      <c r="AV398" s="159"/>
      <c r="AW398" s="159"/>
      <c r="AX398" s="159"/>
      <c r="AY398" s="159"/>
      <c r="AZ398" s="159"/>
      <c r="BA398" s="159"/>
    </row>
    <row r="399" spans="2:53" ht="17.399999999999999" customHeight="1">
      <c r="B399" s="159"/>
      <c r="C399" s="159"/>
      <c r="D399" s="159"/>
      <c r="E399" s="159"/>
      <c r="F399" s="159"/>
      <c r="G399" s="159"/>
      <c r="H399" s="159"/>
      <c r="I399" s="159"/>
      <c r="J399" s="224"/>
      <c r="K399" s="159"/>
      <c r="L399" s="159"/>
      <c r="M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c r="AT399" s="159"/>
      <c r="AU399" s="159"/>
      <c r="AV399" s="159"/>
      <c r="AW399" s="159"/>
      <c r="AX399" s="159"/>
      <c r="AY399" s="159"/>
      <c r="AZ399" s="159"/>
      <c r="BA399" s="159"/>
    </row>
    <row r="400" spans="2:53" ht="17.399999999999999" customHeight="1">
      <c r="B400" s="159"/>
      <c r="C400" s="159"/>
      <c r="D400" s="159"/>
      <c r="E400" s="159"/>
      <c r="F400" s="159"/>
      <c r="G400" s="159"/>
      <c r="H400" s="159"/>
      <c r="I400" s="159"/>
      <c r="J400" s="224"/>
      <c r="K400" s="159"/>
      <c r="L400" s="159"/>
      <c r="M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c r="AT400" s="159"/>
      <c r="AU400" s="159"/>
      <c r="AV400" s="159"/>
      <c r="AW400" s="159"/>
      <c r="AX400" s="159"/>
      <c r="AY400" s="159"/>
      <c r="AZ400" s="159"/>
      <c r="BA400" s="159"/>
    </row>
    <row r="401" spans="2:53" ht="17.399999999999999" customHeight="1">
      <c r="B401" s="159"/>
      <c r="C401" s="159"/>
      <c r="D401" s="159"/>
      <c r="E401" s="159"/>
      <c r="F401" s="159"/>
      <c r="G401" s="159"/>
      <c r="H401" s="159"/>
      <c r="I401" s="159"/>
      <c r="J401" s="224"/>
      <c r="K401" s="159"/>
      <c r="L401" s="159"/>
      <c r="M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c r="AT401" s="159"/>
      <c r="AU401" s="159"/>
      <c r="AV401" s="159"/>
      <c r="AW401" s="159"/>
      <c r="AX401" s="159"/>
      <c r="AY401" s="159"/>
      <c r="AZ401" s="159"/>
      <c r="BA401" s="159"/>
    </row>
    <row r="402" spans="2:53" ht="17.399999999999999" customHeight="1">
      <c r="B402" s="159"/>
      <c r="C402" s="159"/>
      <c r="D402" s="159"/>
      <c r="E402" s="159"/>
      <c r="F402" s="159"/>
      <c r="G402" s="159"/>
      <c r="H402" s="159"/>
      <c r="I402" s="159"/>
      <c r="J402" s="224"/>
      <c r="K402" s="159"/>
      <c r="L402" s="159"/>
      <c r="M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c r="AT402" s="159"/>
      <c r="AU402" s="159"/>
      <c r="AV402" s="159"/>
      <c r="AW402" s="159"/>
      <c r="AX402" s="159"/>
      <c r="AY402" s="159"/>
      <c r="AZ402" s="159"/>
      <c r="BA402" s="159"/>
    </row>
    <row r="403" spans="2:53" ht="17.399999999999999" customHeight="1">
      <c r="B403" s="159"/>
      <c r="C403" s="159"/>
      <c r="D403" s="159"/>
      <c r="E403" s="159"/>
      <c r="F403" s="159"/>
      <c r="G403" s="159"/>
      <c r="H403" s="159"/>
      <c r="I403" s="159"/>
      <c r="J403" s="224"/>
      <c r="K403" s="159"/>
      <c r="L403" s="159"/>
      <c r="M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c r="AT403" s="159"/>
      <c r="AU403" s="159"/>
      <c r="AV403" s="159"/>
      <c r="AW403" s="159"/>
      <c r="AX403" s="159"/>
      <c r="AY403" s="159"/>
      <c r="AZ403" s="159"/>
      <c r="BA403" s="159"/>
    </row>
    <row r="404" spans="2:53" ht="17.399999999999999" customHeight="1">
      <c r="B404" s="159"/>
      <c r="C404" s="159"/>
      <c r="D404" s="159"/>
      <c r="E404" s="159"/>
      <c r="F404" s="159"/>
      <c r="G404" s="159"/>
      <c r="H404" s="159"/>
      <c r="I404" s="159"/>
      <c r="J404" s="224"/>
      <c r="K404" s="159"/>
      <c r="L404" s="159"/>
      <c r="M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c r="AT404" s="159"/>
      <c r="AU404" s="159"/>
      <c r="AV404" s="159"/>
      <c r="AW404" s="159"/>
      <c r="AX404" s="159"/>
      <c r="AY404" s="159"/>
      <c r="AZ404" s="159"/>
      <c r="BA404" s="159"/>
    </row>
    <row r="405" spans="2:53" ht="17.399999999999999" customHeight="1">
      <c r="B405" s="159"/>
      <c r="C405" s="159"/>
      <c r="D405" s="159"/>
      <c r="E405" s="159"/>
      <c r="F405" s="159"/>
      <c r="G405" s="159"/>
      <c r="H405" s="159"/>
      <c r="I405" s="159"/>
      <c r="J405" s="224"/>
      <c r="K405" s="159"/>
      <c r="L405" s="159"/>
      <c r="M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c r="AT405" s="159"/>
      <c r="AU405" s="159"/>
      <c r="AV405" s="159"/>
      <c r="AW405" s="159"/>
      <c r="AX405" s="159"/>
      <c r="AY405" s="159"/>
      <c r="AZ405" s="159"/>
      <c r="BA405" s="159"/>
    </row>
    <row r="406" spans="2:53" ht="17.399999999999999" customHeight="1">
      <c r="B406" s="159"/>
      <c r="C406" s="159"/>
      <c r="D406" s="159"/>
      <c r="E406" s="159"/>
      <c r="F406" s="159"/>
      <c r="G406" s="159"/>
      <c r="H406" s="159"/>
      <c r="I406" s="159"/>
      <c r="J406" s="224"/>
      <c r="K406" s="159"/>
      <c r="L406" s="159"/>
      <c r="M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row>
    <row r="407" spans="2:53" ht="17.399999999999999" customHeight="1">
      <c r="B407" s="159"/>
      <c r="C407" s="159"/>
      <c r="D407" s="159"/>
      <c r="E407" s="159"/>
      <c r="F407" s="159"/>
      <c r="G407" s="159"/>
      <c r="H407" s="159"/>
      <c r="I407" s="159"/>
      <c r="J407" s="224"/>
      <c r="K407" s="159"/>
      <c r="L407" s="159"/>
      <c r="M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c r="AT407" s="159"/>
      <c r="AU407" s="159"/>
      <c r="AV407" s="159"/>
      <c r="AW407" s="159"/>
      <c r="AX407" s="159"/>
      <c r="AY407" s="159"/>
      <c r="AZ407" s="159"/>
      <c r="BA407" s="159"/>
    </row>
    <row r="408" spans="2:53" ht="17.399999999999999" customHeight="1">
      <c r="B408" s="159"/>
      <c r="C408" s="159"/>
      <c r="D408" s="159"/>
      <c r="E408" s="159"/>
      <c r="F408" s="159"/>
      <c r="G408" s="159"/>
      <c r="H408" s="159"/>
      <c r="I408" s="159"/>
      <c r="J408" s="224"/>
      <c r="K408" s="159"/>
      <c r="L408" s="159"/>
      <c r="M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c r="AT408" s="159"/>
      <c r="AU408" s="159"/>
      <c r="AV408" s="159"/>
      <c r="AW408" s="159"/>
      <c r="AX408" s="159"/>
      <c r="AY408" s="159"/>
      <c r="AZ408" s="159"/>
      <c r="BA408" s="159"/>
    </row>
    <row r="409" spans="2:53" ht="17.399999999999999" customHeight="1">
      <c r="B409" s="159"/>
      <c r="C409" s="159"/>
      <c r="D409" s="159"/>
      <c r="E409" s="159"/>
      <c r="F409" s="159"/>
      <c r="G409" s="159"/>
      <c r="H409" s="159"/>
      <c r="I409" s="159"/>
      <c r="J409" s="224"/>
      <c r="K409" s="159"/>
      <c r="L409" s="159"/>
      <c r="M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c r="AT409" s="159"/>
      <c r="AU409" s="159"/>
      <c r="AV409" s="159"/>
      <c r="AW409" s="159"/>
      <c r="AX409" s="159"/>
      <c r="AY409" s="159"/>
      <c r="AZ409" s="159"/>
      <c r="BA409" s="159"/>
    </row>
    <row r="410" spans="2:53" ht="17.399999999999999" customHeight="1">
      <c r="B410" s="159"/>
      <c r="C410" s="159"/>
      <c r="D410" s="159"/>
      <c r="E410" s="159"/>
      <c r="F410" s="159"/>
      <c r="G410" s="159"/>
      <c r="H410" s="159"/>
      <c r="I410" s="159"/>
      <c r="J410" s="224"/>
      <c r="K410" s="159"/>
      <c r="L410" s="159"/>
      <c r="M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c r="AT410" s="159"/>
      <c r="AU410" s="159"/>
      <c r="AV410" s="159"/>
      <c r="AW410" s="159"/>
      <c r="AX410" s="159"/>
      <c r="AY410" s="159"/>
      <c r="AZ410" s="159"/>
      <c r="BA410" s="159"/>
    </row>
    <row r="411" spans="2:53" ht="17.399999999999999" customHeight="1">
      <c r="B411" s="159"/>
      <c r="C411" s="159"/>
      <c r="D411" s="159"/>
      <c r="E411" s="159"/>
      <c r="F411" s="159"/>
      <c r="G411" s="159"/>
      <c r="H411" s="159"/>
      <c r="I411" s="159"/>
      <c r="J411" s="224"/>
      <c r="K411" s="159"/>
      <c r="L411" s="159"/>
      <c r="M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c r="AT411" s="159"/>
      <c r="AU411" s="159"/>
      <c r="AV411" s="159"/>
      <c r="AW411" s="159"/>
      <c r="AX411" s="159"/>
      <c r="AY411" s="159"/>
      <c r="AZ411" s="159"/>
      <c r="BA411" s="159"/>
    </row>
    <row r="412" spans="2:53" ht="17.399999999999999" customHeight="1">
      <c r="B412" s="159"/>
      <c r="C412" s="159"/>
      <c r="D412" s="159"/>
      <c r="E412" s="159"/>
      <c r="F412" s="159"/>
      <c r="G412" s="159"/>
      <c r="H412" s="159"/>
      <c r="I412" s="159"/>
      <c r="J412" s="224"/>
      <c r="K412" s="159"/>
      <c r="L412" s="159"/>
      <c r="M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c r="AT412" s="159"/>
      <c r="AU412" s="159"/>
      <c r="AV412" s="159"/>
      <c r="AW412" s="159"/>
      <c r="AX412" s="159"/>
      <c r="AY412" s="159"/>
      <c r="AZ412" s="159"/>
      <c r="BA412" s="159"/>
    </row>
    <row r="413" spans="2:53" ht="17.399999999999999" customHeight="1">
      <c r="B413" s="159"/>
      <c r="C413" s="159"/>
      <c r="D413" s="159"/>
      <c r="E413" s="159"/>
      <c r="F413" s="159"/>
      <c r="G413" s="159"/>
      <c r="H413" s="159"/>
      <c r="I413" s="159"/>
      <c r="J413" s="224"/>
      <c r="K413" s="159"/>
      <c r="L413" s="159"/>
      <c r="M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c r="AT413" s="159"/>
      <c r="AU413" s="159"/>
      <c r="AV413" s="159"/>
      <c r="AW413" s="159"/>
      <c r="AX413" s="159"/>
      <c r="AY413" s="159"/>
      <c r="AZ413" s="159"/>
      <c r="BA413" s="159"/>
    </row>
    <row r="414" spans="2:53" ht="17.399999999999999" customHeight="1">
      <c r="B414" s="159"/>
      <c r="C414" s="159"/>
      <c r="D414" s="159"/>
      <c r="E414" s="159"/>
      <c r="F414" s="159"/>
      <c r="G414" s="159"/>
      <c r="H414" s="159"/>
      <c r="I414" s="159"/>
      <c r="J414" s="224"/>
      <c r="K414" s="159"/>
      <c r="L414" s="159"/>
      <c r="M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c r="AT414" s="159"/>
      <c r="AU414" s="159"/>
      <c r="AV414" s="159"/>
      <c r="AW414" s="159"/>
      <c r="AX414" s="159"/>
      <c r="AY414" s="159"/>
      <c r="AZ414" s="159"/>
      <c r="BA414" s="159"/>
    </row>
    <row r="415" spans="2:53" ht="17.399999999999999" customHeight="1">
      <c r="B415" s="159"/>
      <c r="C415" s="159"/>
      <c r="D415" s="159"/>
      <c r="E415" s="159"/>
      <c r="F415" s="159"/>
      <c r="G415" s="159"/>
      <c r="H415" s="159"/>
      <c r="I415" s="159"/>
      <c r="J415" s="224"/>
      <c r="K415" s="159"/>
      <c r="L415" s="159"/>
      <c r="M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c r="AT415" s="159"/>
      <c r="AU415" s="159"/>
      <c r="AV415" s="159"/>
      <c r="AW415" s="159"/>
      <c r="AX415" s="159"/>
      <c r="AY415" s="159"/>
      <c r="AZ415" s="159"/>
      <c r="BA415" s="159"/>
    </row>
    <row r="416" spans="2:53" ht="17.399999999999999" customHeight="1">
      <c r="B416" s="159"/>
      <c r="C416" s="159"/>
      <c r="D416" s="159"/>
      <c r="E416" s="159"/>
      <c r="F416" s="159"/>
      <c r="G416" s="159"/>
      <c r="H416" s="159"/>
      <c r="I416" s="159"/>
      <c r="J416" s="224"/>
      <c r="K416" s="159"/>
      <c r="L416" s="159"/>
      <c r="M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c r="AT416" s="159"/>
      <c r="AU416" s="159"/>
      <c r="AV416" s="159"/>
      <c r="AW416" s="159"/>
      <c r="AX416" s="159"/>
      <c r="AY416" s="159"/>
      <c r="AZ416" s="159"/>
      <c r="BA416" s="159"/>
    </row>
    <row r="417" spans="2:53" ht="17.399999999999999" customHeight="1">
      <c r="B417" s="159"/>
      <c r="C417" s="159"/>
      <c r="D417" s="159"/>
      <c r="E417" s="159"/>
      <c r="F417" s="159"/>
      <c r="G417" s="159"/>
      <c r="H417" s="159"/>
      <c r="I417" s="159"/>
      <c r="J417" s="224"/>
      <c r="K417" s="159"/>
      <c r="L417" s="159"/>
      <c r="M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c r="AT417" s="159"/>
      <c r="AU417" s="159"/>
      <c r="AV417" s="159"/>
      <c r="AW417" s="159"/>
      <c r="AX417" s="159"/>
      <c r="AY417" s="159"/>
      <c r="AZ417" s="159"/>
      <c r="BA417" s="159"/>
    </row>
    <row r="418" spans="2:53" ht="17.399999999999999" customHeight="1">
      <c r="B418" s="159"/>
      <c r="C418" s="159"/>
      <c r="D418" s="159"/>
      <c r="E418" s="159"/>
      <c r="F418" s="159"/>
      <c r="G418" s="159"/>
      <c r="H418" s="159"/>
      <c r="I418" s="159"/>
      <c r="J418" s="224"/>
      <c r="K418" s="159"/>
      <c r="L418" s="159"/>
      <c r="M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c r="AT418" s="159"/>
      <c r="AU418" s="159"/>
      <c r="AV418" s="159"/>
      <c r="AW418" s="159"/>
      <c r="AX418" s="159"/>
      <c r="AY418" s="159"/>
      <c r="AZ418" s="159"/>
      <c r="BA418" s="159"/>
    </row>
    <row r="419" spans="2:53" ht="17.399999999999999" customHeight="1">
      <c r="B419" s="159"/>
      <c r="C419" s="159"/>
      <c r="D419" s="159"/>
      <c r="E419" s="159"/>
      <c r="F419" s="159"/>
      <c r="G419" s="159"/>
      <c r="H419" s="159"/>
      <c r="I419" s="159"/>
      <c r="J419" s="224"/>
      <c r="K419" s="159"/>
      <c r="L419" s="159"/>
      <c r="M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c r="AT419" s="159"/>
      <c r="AU419" s="159"/>
      <c r="AV419" s="159"/>
      <c r="AW419" s="159"/>
      <c r="AX419" s="159"/>
      <c r="AY419" s="159"/>
      <c r="AZ419" s="159"/>
      <c r="BA419" s="159"/>
    </row>
    <row r="420" spans="2:53" ht="17.399999999999999" customHeight="1">
      <c r="B420" s="159"/>
      <c r="C420" s="159"/>
      <c r="D420" s="159"/>
      <c r="E420" s="159"/>
      <c r="F420" s="159"/>
      <c r="G420" s="159"/>
      <c r="H420" s="159"/>
      <c r="I420" s="159"/>
      <c r="J420" s="224"/>
      <c r="K420" s="159"/>
      <c r="L420" s="159"/>
      <c r="M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c r="AT420" s="159"/>
      <c r="AU420" s="159"/>
      <c r="AV420" s="159"/>
      <c r="AW420" s="159"/>
      <c r="AX420" s="159"/>
      <c r="AY420" s="159"/>
      <c r="AZ420" s="159"/>
      <c r="BA420" s="159"/>
    </row>
    <row r="421" spans="2:53" ht="17.399999999999999" customHeight="1">
      <c r="B421" s="159"/>
      <c r="C421" s="159"/>
      <c r="D421" s="159"/>
      <c r="E421" s="159"/>
      <c r="F421" s="159"/>
      <c r="G421" s="159"/>
      <c r="H421" s="159"/>
      <c r="I421" s="159"/>
      <c r="J421" s="224"/>
      <c r="K421" s="159"/>
      <c r="L421" s="159"/>
      <c r="M421" s="159"/>
      <c r="O421" s="159"/>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c r="AT421" s="159"/>
      <c r="AU421" s="159"/>
      <c r="AV421" s="159"/>
      <c r="AW421" s="159"/>
      <c r="AX421" s="159"/>
      <c r="AY421" s="159"/>
      <c r="AZ421" s="159"/>
      <c r="BA421" s="159"/>
    </row>
    <row r="422" spans="2:53" ht="17.399999999999999" customHeight="1">
      <c r="B422" s="159"/>
      <c r="C422" s="159"/>
      <c r="D422" s="159"/>
      <c r="E422" s="159"/>
      <c r="F422" s="159"/>
      <c r="G422" s="159"/>
      <c r="H422" s="159"/>
      <c r="I422" s="159"/>
      <c r="J422" s="224"/>
      <c r="K422" s="159"/>
      <c r="L422" s="159"/>
      <c r="M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c r="AT422" s="159"/>
      <c r="AU422" s="159"/>
      <c r="AV422" s="159"/>
      <c r="AW422" s="159"/>
      <c r="AX422" s="159"/>
      <c r="AY422" s="159"/>
      <c r="AZ422" s="159"/>
      <c r="BA422" s="159"/>
    </row>
    <row r="423" spans="2:53" ht="17.399999999999999" customHeight="1">
      <c r="B423" s="159"/>
      <c r="C423" s="159"/>
      <c r="D423" s="159"/>
      <c r="E423" s="159"/>
      <c r="F423" s="159"/>
      <c r="G423" s="159"/>
      <c r="H423" s="159"/>
      <c r="I423" s="159"/>
      <c r="J423" s="224"/>
      <c r="K423" s="159"/>
      <c r="L423" s="159"/>
      <c r="M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c r="AT423" s="159"/>
      <c r="AU423" s="159"/>
      <c r="AV423" s="159"/>
      <c r="AW423" s="159"/>
      <c r="AX423" s="159"/>
      <c r="AY423" s="159"/>
      <c r="AZ423" s="159"/>
      <c r="BA423" s="159"/>
    </row>
    <row r="424" spans="2:53" ht="17.399999999999999" customHeight="1">
      <c r="B424" s="159"/>
      <c r="C424" s="159"/>
      <c r="D424" s="159"/>
      <c r="E424" s="159"/>
      <c r="F424" s="159"/>
      <c r="G424" s="159"/>
      <c r="H424" s="159"/>
      <c r="I424" s="159"/>
      <c r="J424" s="224"/>
      <c r="K424" s="159"/>
      <c r="L424" s="159"/>
      <c r="M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c r="AT424" s="159"/>
      <c r="AU424" s="159"/>
      <c r="AV424" s="159"/>
      <c r="AW424" s="159"/>
      <c r="AX424" s="159"/>
      <c r="AY424" s="159"/>
      <c r="AZ424" s="159"/>
      <c r="BA424" s="159"/>
    </row>
    <row r="425" spans="2:53" ht="17.399999999999999" customHeight="1">
      <c r="B425" s="159"/>
      <c r="C425" s="159"/>
      <c r="D425" s="159"/>
      <c r="E425" s="159"/>
      <c r="F425" s="159"/>
      <c r="G425" s="159"/>
      <c r="H425" s="159"/>
      <c r="I425" s="159"/>
      <c r="J425" s="224"/>
      <c r="K425" s="159"/>
      <c r="L425" s="159"/>
      <c r="M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c r="AT425" s="159"/>
      <c r="AU425" s="159"/>
      <c r="AV425" s="159"/>
      <c r="AW425" s="159"/>
      <c r="AX425" s="159"/>
      <c r="AY425" s="159"/>
      <c r="AZ425" s="159"/>
      <c r="BA425" s="159"/>
    </row>
    <row r="426" spans="2:53" ht="17.399999999999999" customHeight="1">
      <c r="B426" s="159"/>
      <c r="C426" s="159"/>
      <c r="D426" s="159"/>
      <c r="E426" s="159"/>
      <c r="F426" s="159"/>
      <c r="G426" s="159"/>
      <c r="H426" s="159"/>
      <c r="I426" s="159"/>
      <c r="J426" s="224"/>
      <c r="K426" s="159"/>
      <c r="L426" s="159"/>
      <c r="M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c r="AT426" s="159"/>
      <c r="AU426" s="159"/>
      <c r="AV426" s="159"/>
      <c r="AW426" s="159"/>
      <c r="AX426" s="159"/>
      <c r="AY426" s="159"/>
      <c r="AZ426" s="159"/>
      <c r="BA426" s="159"/>
    </row>
    <row r="427" spans="2:53" ht="17.399999999999999" customHeight="1">
      <c r="B427" s="159"/>
      <c r="C427" s="159"/>
      <c r="D427" s="159"/>
      <c r="E427" s="159"/>
      <c r="F427" s="159"/>
      <c r="G427" s="159"/>
      <c r="H427" s="159"/>
      <c r="I427" s="159"/>
      <c r="J427" s="224"/>
      <c r="K427" s="159"/>
      <c r="L427" s="159"/>
      <c r="M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c r="AT427" s="159"/>
      <c r="AU427" s="159"/>
      <c r="AV427" s="159"/>
      <c r="AW427" s="159"/>
      <c r="AX427" s="159"/>
      <c r="AY427" s="159"/>
      <c r="AZ427" s="159"/>
      <c r="BA427" s="159"/>
    </row>
    <row r="428" spans="2:53" ht="17.399999999999999" customHeight="1">
      <c r="B428" s="159"/>
      <c r="C428" s="159"/>
      <c r="D428" s="159"/>
      <c r="E428" s="159"/>
      <c r="F428" s="159"/>
      <c r="G428" s="159"/>
      <c r="H428" s="159"/>
      <c r="I428" s="159"/>
      <c r="J428" s="224"/>
      <c r="K428" s="159"/>
      <c r="L428" s="159"/>
      <c r="M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c r="AT428" s="159"/>
      <c r="AU428" s="159"/>
      <c r="AV428" s="159"/>
      <c r="AW428" s="159"/>
      <c r="AX428" s="159"/>
      <c r="AY428" s="159"/>
      <c r="AZ428" s="159"/>
      <c r="BA428" s="159"/>
    </row>
    <row r="429" spans="2:53" ht="17.399999999999999" customHeight="1">
      <c r="B429" s="159"/>
      <c r="C429" s="159"/>
      <c r="D429" s="159"/>
      <c r="E429" s="159"/>
      <c r="F429" s="159"/>
      <c r="G429" s="159"/>
      <c r="H429" s="159"/>
      <c r="I429" s="159"/>
      <c r="J429" s="224"/>
      <c r="K429" s="159"/>
      <c r="L429" s="159"/>
      <c r="M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c r="AT429" s="159"/>
      <c r="AU429" s="159"/>
      <c r="AV429" s="159"/>
      <c r="AW429" s="159"/>
      <c r="AX429" s="159"/>
      <c r="AY429" s="159"/>
      <c r="AZ429" s="159"/>
      <c r="BA429" s="159"/>
    </row>
    <row r="430" spans="2:53" ht="17.399999999999999" customHeight="1">
      <c r="B430" s="159"/>
      <c r="C430" s="159"/>
      <c r="D430" s="159"/>
      <c r="E430" s="159"/>
      <c r="F430" s="159"/>
      <c r="G430" s="159"/>
      <c r="H430" s="159"/>
      <c r="I430" s="159"/>
      <c r="J430" s="224"/>
      <c r="K430" s="159"/>
      <c r="L430" s="159"/>
      <c r="M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c r="AT430" s="159"/>
      <c r="AU430" s="159"/>
      <c r="AV430" s="159"/>
      <c r="AW430" s="159"/>
      <c r="AX430" s="159"/>
      <c r="AY430" s="159"/>
      <c r="AZ430" s="159"/>
      <c r="BA430" s="159"/>
    </row>
    <row r="431" spans="2:53" ht="17.399999999999999" customHeight="1">
      <c r="B431" s="159"/>
      <c r="C431" s="159"/>
      <c r="D431" s="159"/>
      <c r="E431" s="159"/>
      <c r="F431" s="159"/>
      <c r="G431" s="159"/>
      <c r="H431" s="159"/>
      <c r="I431" s="159"/>
      <c r="J431" s="224"/>
      <c r="K431" s="159"/>
      <c r="L431" s="159"/>
      <c r="M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c r="AT431" s="159"/>
      <c r="AU431" s="159"/>
      <c r="AV431" s="159"/>
      <c r="AW431" s="159"/>
      <c r="AX431" s="159"/>
      <c r="AY431" s="159"/>
      <c r="AZ431" s="159"/>
      <c r="BA431" s="159"/>
    </row>
    <row r="432" spans="2:53" ht="17.399999999999999" customHeight="1">
      <c r="B432" s="159"/>
      <c r="C432" s="159"/>
      <c r="D432" s="159"/>
      <c r="E432" s="159"/>
      <c r="F432" s="159"/>
      <c r="G432" s="159"/>
      <c r="H432" s="159"/>
      <c r="I432" s="159"/>
      <c r="J432" s="224"/>
      <c r="K432" s="159"/>
      <c r="L432" s="159"/>
      <c r="M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c r="AT432" s="159"/>
      <c r="AU432" s="159"/>
      <c r="AV432" s="159"/>
      <c r="AW432" s="159"/>
      <c r="AX432" s="159"/>
      <c r="AY432" s="159"/>
      <c r="AZ432" s="159"/>
      <c r="BA432" s="159"/>
    </row>
    <row r="433" spans="2:53" ht="17.399999999999999" customHeight="1">
      <c r="B433" s="159"/>
      <c r="C433" s="159"/>
      <c r="D433" s="159"/>
      <c r="E433" s="159"/>
      <c r="F433" s="159"/>
      <c r="G433" s="159"/>
      <c r="H433" s="159"/>
      <c r="I433" s="159"/>
      <c r="J433" s="224"/>
      <c r="K433" s="159"/>
      <c r="L433" s="159"/>
      <c r="M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c r="AT433" s="159"/>
      <c r="AU433" s="159"/>
      <c r="AV433" s="159"/>
      <c r="AW433" s="159"/>
      <c r="AX433" s="159"/>
      <c r="AY433" s="159"/>
      <c r="AZ433" s="159"/>
      <c r="BA433" s="159"/>
    </row>
    <row r="434" spans="2:53" ht="17.399999999999999" customHeight="1">
      <c r="B434" s="159"/>
      <c r="C434" s="159"/>
      <c r="D434" s="159"/>
      <c r="E434" s="159"/>
      <c r="F434" s="159"/>
      <c r="G434" s="159"/>
      <c r="H434" s="159"/>
      <c r="I434" s="159"/>
      <c r="J434" s="224"/>
      <c r="K434" s="159"/>
      <c r="L434" s="159"/>
      <c r="M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c r="AT434" s="159"/>
      <c r="AU434" s="159"/>
      <c r="AV434" s="159"/>
      <c r="AW434" s="159"/>
      <c r="AX434" s="159"/>
      <c r="AY434" s="159"/>
      <c r="AZ434" s="159"/>
      <c r="BA434" s="159"/>
    </row>
    <row r="435" spans="2:53" ht="17.399999999999999" customHeight="1">
      <c r="B435" s="159"/>
      <c r="C435" s="159"/>
      <c r="D435" s="159"/>
      <c r="E435" s="159"/>
      <c r="F435" s="159"/>
      <c r="G435" s="159"/>
      <c r="H435" s="159"/>
      <c r="I435" s="159"/>
      <c r="J435" s="224"/>
      <c r="K435" s="159"/>
      <c r="L435" s="159"/>
      <c r="M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c r="AT435" s="159"/>
      <c r="AU435" s="159"/>
      <c r="AV435" s="159"/>
      <c r="AW435" s="159"/>
      <c r="AX435" s="159"/>
      <c r="AY435" s="159"/>
      <c r="AZ435" s="159"/>
      <c r="BA435" s="159"/>
    </row>
    <row r="436" spans="2:53" ht="17.399999999999999" customHeight="1">
      <c r="B436" s="159"/>
      <c r="C436" s="159"/>
      <c r="D436" s="159"/>
      <c r="E436" s="159"/>
      <c r="F436" s="159"/>
      <c r="G436" s="159"/>
      <c r="H436" s="159"/>
      <c r="I436" s="159"/>
      <c r="J436" s="224"/>
      <c r="K436" s="159"/>
      <c r="L436" s="159"/>
      <c r="M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c r="AT436" s="159"/>
      <c r="AU436" s="159"/>
      <c r="AV436" s="159"/>
      <c r="AW436" s="159"/>
      <c r="AX436" s="159"/>
      <c r="AY436" s="159"/>
      <c r="AZ436" s="159"/>
      <c r="BA436" s="159"/>
    </row>
    <row r="437" spans="2:53" ht="17.399999999999999" customHeight="1">
      <c r="B437" s="159"/>
      <c r="C437" s="159"/>
      <c r="D437" s="159"/>
      <c r="E437" s="159"/>
      <c r="F437" s="159"/>
      <c r="G437" s="159"/>
      <c r="H437" s="159"/>
      <c r="I437" s="159"/>
      <c r="J437" s="224"/>
      <c r="K437" s="159"/>
      <c r="L437" s="159"/>
      <c r="M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c r="AT437" s="159"/>
      <c r="AU437" s="159"/>
      <c r="AV437" s="159"/>
      <c r="AW437" s="159"/>
      <c r="AX437" s="159"/>
      <c r="AY437" s="159"/>
      <c r="AZ437" s="159"/>
      <c r="BA437" s="159"/>
    </row>
    <row r="438" spans="2:53" ht="17.399999999999999" customHeight="1">
      <c r="B438" s="159"/>
      <c r="C438" s="159"/>
      <c r="D438" s="159"/>
      <c r="E438" s="159"/>
      <c r="F438" s="159"/>
      <c r="G438" s="159"/>
      <c r="H438" s="159"/>
      <c r="I438" s="159"/>
      <c r="J438" s="224"/>
      <c r="K438" s="159"/>
      <c r="L438" s="159"/>
      <c r="M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c r="AT438" s="159"/>
      <c r="AU438" s="159"/>
      <c r="AV438" s="159"/>
      <c r="AW438" s="159"/>
      <c r="AX438" s="159"/>
      <c r="AY438" s="159"/>
      <c r="AZ438" s="159"/>
      <c r="BA438" s="159"/>
    </row>
    <row r="439" spans="2:53" ht="17.399999999999999" customHeight="1">
      <c r="B439" s="159"/>
      <c r="C439" s="159"/>
      <c r="D439" s="159"/>
      <c r="E439" s="159"/>
      <c r="F439" s="159"/>
      <c r="G439" s="159"/>
      <c r="H439" s="159"/>
      <c r="I439" s="159"/>
      <c r="J439" s="224"/>
      <c r="K439" s="159"/>
      <c r="L439" s="159"/>
      <c r="M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c r="AT439" s="159"/>
      <c r="AU439" s="159"/>
      <c r="AV439" s="159"/>
      <c r="AW439" s="159"/>
      <c r="AX439" s="159"/>
      <c r="AY439" s="159"/>
      <c r="AZ439" s="159"/>
      <c r="BA439" s="159"/>
    </row>
    <row r="440" spans="2:53" ht="17.399999999999999" customHeight="1">
      <c r="B440" s="159"/>
      <c r="C440" s="159"/>
      <c r="D440" s="159"/>
      <c r="E440" s="159"/>
      <c r="F440" s="159"/>
      <c r="G440" s="159"/>
      <c r="H440" s="159"/>
      <c r="I440" s="159"/>
      <c r="J440" s="224"/>
      <c r="K440" s="159"/>
      <c r="L440" s="159"/>
      <c r="M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c r="AT440" s="159"/>
      <c r="AU440" s="159"/>
      <c r="AV440" s="159"/>
      <c r="AW440" s="159"/>
      <c r="AX440" s="159"/>
      <c r="AY440" s="159"/>
      <c r="AZ440" s="159"/>
      <c r="BA440" s="159"/>
    </row>
    <row r="441" spans="2:53" ht="17.399999999999999" customHeight="1">
      <c r="B441" s="159"/>
      <c r="C441" s="159"/>
      <c r="D441" s="159"/>
      <c r="E441" s="159"/>
      <c r="F441" s="159"/>
      <c r="G441" s="159"/>
      <c r="H441" s="159"/>
      <c r="I441" s="159"/>
      <c r="J441" s="224"/>
      <c r="K441" s="159"/>
      <c r="L441" s="159"/>
      <c r="M441" s="159"/>
      <c r="O441" s="159"/>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c r="AT441" s="159"/>
      <c r="AU441" s="159"/>
      <c r="AV441" s="159"/>
      <c r="AW441" s="159"/>
      <c r="AX441" s="159"/>
      <c r="AY441" s="159"/>
      <c r="AZ441" s="159"/>
      <c r="BA441" s="159"/>
    </row>
    <row r="442" spans="2:53" ht="17.399999999999999" customHeight="1">
      <c r="B442" s="159"/>
      <c r="C442" s="159"/>
      <c r="D442" s="159"/>
      <c r="E442" s="159"/>
      <c r="F442" s="159"/>
      <c r="G442" s="159"/>
      <c r="H442" s="159"/>
      <c r="I442" s="159"/>
      <c r="J442" s="224"/>
      <c r="K442" s="159"/>
      <c r="L442" s="159"/>
      <c r="M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c r="AT442" s="159"/>
      <c r="AU442" s="159"/>
      <c r="AV442" s="159"/>
      <c r="AW442" s="159"/>
      <c r="AX442" s="159"/>
      <c r="AY442" s="159"/>
      <c r="AZ442" s="159"/>
      <c r="BA442" s="159"/>
    </row>
    <row r="443" spans="2:53" ht="17.399999999999999" customHeight="1">
      <c r="B443" s="159"/>
      <c r="C443" s="159"/>
      <c r="D443" s="159"/>
      <c r="E443" s="159"/>
      <c r="F443" s="159"/>
      <c r="G443" s="159"/>
      <c r="H443" s="159"/>
      <c r="I443" s="159"/>
      <c r="J443" s="224"/>
      <c r="K443" s="159"/>
      <c r="L443" s="159"/>
      <c r="M443" s="159"/>
      <c r="O443" s="159"/>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c r="AT443" s="159"/>
      <c r="AU443" s="159"/>
      <c r="AV443" s="159"/>
      <c r="AW443" s="159"/>
      <c r="AX443" s="159"/>
      <c r="AY443" s="159"/>
      <c r="AZ443" s="159"/>
      <c r="BA443" s="159"/>
    </row>
    <row r="444" spans="2:53" ht="17.399999999999999" customHeight="1">
      <c r="B444" s="159"/>
      <c r="C444" s="159"/>
      <c r="D444" s="159"/>
      <c r="E444" s="159"/>
      <c r="F444" s="159"/>
      <c r="G444" s="159"/>
      <c r="H444" s="159"/>
      <c r="I444" s="159"/>
      <c r="J444" s="224"/>
      <c r="K444" s="159"/>
      <c r="L444" s="159"/>
      <c r="M444" s="159"/>
      <c r="O444" s="159"/>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c r="AT444" s="159"/>
      <c r="AU444" s="159"/>
      <c r="AV444" s="159"/>
      <c r="AW444" s="159"/>
      <c r="AX444" s="159"/>
      <c r="AY444" s="159"/>
      <c r="AZ444" s="159"/>
      <c r="BA444" s="159"/>
    </row>
    <row r="445" spans="2:53" ht="17.399999999999999" customHeight="1">
      <c r="B445" s="159"/>
      <c r="C445" s="159"/>
      <c r="D445" s="159"/>
      <c r="E445" s="159"/>
      <c r="F445" s="159"/>
      <c r="G445" s="159"/>
      <c r="H445" s="159"/>
      <c r="I445" s="159"/>
      <c r="J445" s="224"/>
      <c r="K445" s="159"/>
      <c r="L445" s="159"/>
      <c r="M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c r="AT445" s="159"/>
      <c r="AU445" s="159"/>
      <c r="AV445" s="159"/>
      <c r="AW445" s="159"/>
      <c r="AX445" s="159"/>
      <c r="AY445" s="159"/>
      <c r="AZ445" s="159"/>
      <c r="BA445" s="159"/>
    </row>
    <row r="446" spans="2:53" ht="17.399999999999999" customHeight="1">
      <c r="B446" s="159"/>
      <c r="C446" s="159"/>
      <c r="D446" s="159"/>
      <c r="E446" s="159"/>
      <c r="F446" s="159"/>
      <c r="G446" s="159"/>
      <c r="H446" s="159"/>
      <c r="I446" s="159"/>
      <c r="J446" s="224"/>
      <c r="K446" s="159"/>
      <c r="L446" s="159"/>
      <c r="M446" s="159"/>
      <c r="O446" s="159"/>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c r="AT446" s="159"/>
      <c r="AU446" s="159"/>
      <c r="AV446" s="159"/>
      <c r="AW446" s="159"/>
      <c r="AX446" s="159"/>
      <c r="AY446" s="159"/>
      <c r="AZ446" s="159"/>
      <c r="BA446" s="159"/>
    </row>
    <row r="447" spans="2:53" ht="17.399999999999999" customHeight="1">
      <c r="B447" s="159"/>
      <c r="C447" s="159"/>
      <c r="D447" s="159"/>
      <c r="E447" s="159"/>
      <c r="F447" s="159"/>
      <c r="G447" s="159"/>
      <c r="H447" s="159"/>
      <c r="I447" s="159"/>
      <c r="J447" s="224"/>
      <c r="K447" s="159"/>
      <c r="L447" s="159"/>
      <c r="M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c r="AT447" s="159"/>
      <c r="AU447" s="159"/>
      <c r="AV447" s="159"/>
      <c r="AW447" s="159"/>
      <c r="AX447" s="159"/>
      <c r="AY447" s="159"/>
      <c r="AZ447" s="159"/>
      <c r="BA447" s="159"/>
    </row>
    <row r="448" spans="2:53" ht="17.399999999999999" customHeight="1">
      <c r="B448" s="159"/>
      <c r="C448" s="159"/>
      <c r="D448" s="159"/>
      <c r="E448" s="159"/>
      <c r="F448" s="159"/>
      <c r="G448" s="159"/>
      <c r="H448" s="159"/>
      <c r="I448" s="159"/>
      <c r="J448" s="224"/>
      <c r="K448" s="159"/>
      <c r="L448" s="159"/>
      <c r="M448" s="159"/>
      <c r="O448" s="159"/>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c r="AT448" s="159"/>
      <c r="AU448" s="159"/>
      <c r="AV448" s="159"/>
      <c r="AW448" s="159"/>
      <c r="AX448" s="159"/>
      <c r="AY448" s="159"/>
      <c r="AZ448" s="159"/>
      <c r="BA448" s="159"/>
    </row>
    <row r="449" spans="2:53" ht="17.399999999999999" customHeight="1">
      <c r="B449" s="159"/>
      <c r="C449" s="159"/>
      <c r="D449" s="159"/>
      <c r="E449" s="159"/>
      <c r="F449" s="159"/>
      <c r="G449" s="159"/>
      <c r="H449" s="159"/>
      <c r="I449" s="159"/>
      <c r="J449" s="224"/>
      <c r="K449" s="159"/>
      <c r="L449" s="159"/>
      <c r="M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c r="AT449" s="159"/>
      <c r="AU449" s="159"/>
      <c r="AV449" s="159"/>
      <c r="AW449" s="159"/>
      <c r="AX449" s="159"/>
      <c r="AY449" s="159"/>
      <c r="AZ449" s="159"/>
      <c r="BA449" s="159"/>
    </row>
    <row r="450" spans="2:53" ht="17.399999999999999" customHeight="1">
      <c r="B450" s="159"/>
      <c r="C450" s="159"/>
      <c r="D450" s="159"/>
      <c r="E450" s="159"/>
      <c r="F450" s="159"/>
      <c r="G450" s="159"/>
      <c r="H450" s="159"/>
      <c r="I450" s="159"/>
      <c r="J450" s="224"/>
      <c r="K450" s="159"/>
      <c r="L450" s="159"/>
      <c r="M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c r="AT450" s="159"/>
      <c r="AU450" s="159"/>
      <c r="AV450" s="159"/>
      <c r="AW450" s="159"/>
      <c r="AX450" s="159"/>
      <c r="AY450" s="159"/>
      <c r="AZ450" s="159"/>
      <c r="BA450" s="159"/>
    </row>
    <row r="451" spans="2:53" ht="17.399999999999999" customHeight="1">
      <c r="B451" s="159"/>
      <c r="C451" s="159"/>
      <c r="D451" s="159"/>
      <c r="E451" s="159"/>
      <c r="F451" s="159"/>
      <c r="G451" s="159"/>
      <c r="H451" s="159"/>
      <c r="I451" s="159"/>
      <c r="J451" s="224"/>
      <c r="K451" s="159"/>
      <c r="L451" s="159"/>
      <c r="M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c r="AT451" s="159"/>
      <c r="AU451" s="159"/>
      <c r="AV451" s="159"/>
      <c r="AW451" s="159"/>
      <c r="AX451" s="159"/>
      <c r="AY451" s="159"/>
      <c r="AZ451" s="159"/>
      <c r="BA451" s="159"/>
    </row>
    <row r="452" spans="2:53" ht="17.399999999999999" customHeight="1">
      <c r="B452" s="159"/>
      <c r="C452" s="159"/>
      <c r="D452" s="159"/>
      <c r="E452" s="159"/>
      <c r="F452" s="159"/>
      <c r="G452" s="159"/>
      <c r="H452" s="159"/>
      <c r="I452" s="159"/>
      <c r="J452" s="224"/>
      <c r="K452" s="159"/>
      <c r="L452" s="159"/>
      <c r="M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c r="AT452" s="159"/>
      <c r="AU452" s="159"/>
      <c r="AV452" s="159"/>
      <c r="AW452" s="159"/>
      <c r="AX452" s="159"/>
      <c r="AY452" s="159"/>
      <c r="AZ452" s="159"/>
      <c r="BA452" s="159"/>
    </row>
    <row r="453" spans="2:53" ht="17.399999999999999" customHeight="1">
      <c r="B453" s="159"/>
      <c r="C453" s="159"/>
      <c r="D453" s="159"/>
      <c r="E453" s="159"/>
      <c r="F453" s="159"/>
      <c r="G453" s="159"/>
      <c r="H453" s="159"/>
      <c r="I453" s="159"/>
      <c r="J453" s="224"/>
      <c r="K453" s="159"/>
      <c r="L453" s="159"/>
      <c r="M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c r="AT453" s="159"/>
      <c r="AU453" s="159"/>
      <c r="AV453" s="159"/>
      <c r="AW453" s="159"/>
      <c r="AX453" s="159"/>
      <c r="AY453" s="159"/>
      <c r="AZ453" s="159"/>
      <c r="BA453" s="159"/>
    </row>
    <row r="454" spans="2:53" ht="17.399999999999999" customHeight="1">
      <c r="B454" s="159"/>
      <c r="C454" s="159"/>
      <c r="D454" s="159"/>
      <c r="E454" s="159"/>
      <c r="F454" s="159"/>
      <c r="G454" s="159"/>
      <c r="H454" s="159"/>
      <c r="I454" s="159"/>
      <c r="J454" s="224"/>
      <c r="K454" s="159"/>
      <c r="L454" s="159"/>
      <c r="M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c r="AT454" s="159"/>
      <c r="AU454" s="159"/>
      <c r="AV454" s="159"/>
      <c r="AW454" s="159"/>
      <c r="AX454" s="159"/>
      <c r="AY454" s="159"/>
      <c r="AZ454" s="159"/>
      <c r="BA454" s="159"/>
    </row>
    <row r="455" spans="2:53" ht="17.399999999999999" customHeight="1">
      <c r="B455" s="159"/>
      <c r="C455" s="159"/>
      <c r="D455" s="159"/>
      <c r="E455" s="159"/>
      <c r="F455" s="159"/>
      <c r="G455" s="159"/>
      <c r="H455" s="159"/>
      <c r="I455" s="159"/>
      <c r="J455" s="224"/>
      <c r="K455" s="159"/>
      <c r="L455" s="159"/>
      <c r="M455" s="159"/>
      <c r="O455" s="159"/>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c r="AR455" s="159"/>
      <c r="AS455" s="159"/>
      <c r="AT455" s="159"/>
      <c r="AU455" s="159"/>
      <c r="AV455" s="159"/>
      <c r="AW455" s="159"/>
      <c r="AX455" s="159"/>
      <c r="AY455" s="159"/>
      <c r="AZ455" s="159"/>
      <c r="BA455" s="159"/>
    </row>
    <row r="456" spans="2:53" ht="17.399999999999999" customHeight="1">
      <c r="B456" s="159"/>
      <c r="C456" s="159"/>
      <c r="D456" s="159"/>
      <c r="E456" s="159"/>
      <c r="F456" s="159"/>
      <c r="G456" s="159"/>
      <c r="H456" s="159"/>
      <c r="I456" s="159"/>
      <c r="J456" s="224"/>
      <c r="K456" s="159"/>
      <c r="L456" s="159"/>
      <c r="M456" s="159"/>
      <c r="O456" s="159"/>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c r="AT456" s="159"/>
      <c r="AU456" s="159"/>
      <c r="AV456" s="159"/>
      <c r="AW456" s="159"/>
      <c r="AX456" s="159"/>
      <c r="AY456" s="159"/>
      <c r="AZ456" s="159"/>
      <c r="BA456" s="159"/>
    </row>
    <row r="457" spans="2:53" ht="17.399999999999999" customHeight="1">
      <c r="B457" s="159"/>
      <c r="C457" s="159"/>
      <c r="D457" s="159"/>
      <c r="E457" s="159"/>
      <c r="F457" s="159"/>
      <c r="G457" s="159"/>
      <c r="H457" s="159"/>
      <c r="I457" s="159"/>
      <c r="J457" s="224"/>
      <c r="K457" s="159"/>
      <c r="L457" s="159"/>
      <c r="M457" s="159"/>
      <c r="O457" s="159"/>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c r="AT457" s="159"/>
      <c r="AU457" s="159"/>
      <c r="AV457" s="159"/>
      <c r="AW457" s="159"/>
      <c r="AX457" s="159"/>
      <c r="AY457" s="159"/>
      <c r="AZ457" s="159"/>
      <c r="BA457" s="159"/>
    </row>
    <row r="458" spans="2:53" ht="17.399999999999999" customHeight="1">
      <c r="B458" s="159"/>
      <c r="C458" s="159"/>
      <c r="D458" s="159"/>
      <c r="E458" s="159"/>
      <c r="F458" s="159"/>
      <c r="G458" s="159"/>
      <c r="H458" s="159"/>
      <c r="I458" s="159"/>
      <c r="J458" s="224"/>
      <c r="K458" s="159"/>
      <c r="L458" s="159"/>
      <c r="M458" s="159"/>
      <c r="O458" s="159"/>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c r="AT458" s="159"/>
      <c r="AU458" s="159"/>
      <c r="AV458" s="159"/>
      <c r="AW458" s="159"/>
      <c r="AX458" s="159"/>
      <c r="AY458" s="159"/>
      <c r="AZ458" s="159"/>
      <c r="BA458" s="159"/>
    </row>
    <row r="459" spans="2:53" ht="17.399999999999999" customHeight="1">
      <c r="B459" s="159"/>
      <c r="C459" s="159"/>
      <c r="D459" s="159"/>
      <c r="E459" s="159"/>
      <c r="F459" s="159"/>
      <c r="G459" s="159"/>
      <c r="H459" s="159"/>
      <c r="I459" s="159"/>
      <c r="J459" s="224"/>
      <c r="K459" s="159"/>
      <c r="L459" s="159"/>
      <c r="M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c r="AT459" s="159"/>
      <c r="AU459" s="159"/>
      <c r="AV459" s="159"/>
      <c r="AW459" s="159"/>
      <c r="AX459" s="159"/>
      <c r="AY459" s="159"/>
      <c r="AZ459" s="159"/>
      <c r="BA459" s="159"/>
    </row>
    <row r="460" spans="2:53" ht="17.399999999999999" customHeight="1">
      <c r="B460" s="159"/>
      <c r="C460" s="159"/>
      <c r="D460" s="159"/>
      <c r="E460" s="159"/>
      <c r="F460" s="159"/>
      <c r="G460" s="159"/>
      <c r="H460" s="159"/>
      <c r="I460" s="159"/>
      <c r="J460" s="224"/>
      <c r="K460" s="159"/>
      <c r="L460" s="159"/>
      <c r="M460" s="159"/>
      <c r="O460" s="159"/>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c r="AT460" s="159"/>
      <c r="AU460" s="159"/>
      <c r="AV460" s="159"/>
      <c r="AW460" s="159"/>
      <c r="AX460" s="159"/>
      <c r="AY460" s="159"/>
      <c r="AZ460" s="159"/>
      <c r="BA460" s="159"/>
    </row>
    <row r="461" spans="2:53" ht="17.399999999999999" customHeight="1">
      <c r="B461" s="159"/>
      <c r="C461" s="159"/>
      <c r="D461" s="159"/>
      <c r="E461" s="159"/>
      <c r="F461" s="159"/>
      <c r="G461" s="159"/>
      <c r="H461" s="159"/>
      <c r="I461" s="159"/>
      <c r="J461" s="224"/>
      <c r="K461" s="159"/>
      <c r="L461" s="159"/>
      <c r="M461" s="159"/>
      <c r="O461" s="159"/>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c r="AT461" s="159"/>
      <c r="AU461" s="159"/>
      <c r="AV461" s="159"/>
      <c r="AW461" s="159"/>
      <c r="AX461" s="159"/>
      <c r="AY461" s="159"/>
      <c r="AZ461" s="159"/>
      <c r="BA461" s="159"/>
    </row>
    <row r="462" spans="2:53" ht="17.399999999999999" customHeight="1">
      <c r="B462" s="159"/>
      <c r="C462" s="159"/>
      <c r="D462" s="159"/>
      <c r="E462" s="159"/>
      <c r="F462" s="159"/>
      <c r="G462" s="159"/>
      <c r="H462" s="159"/>
      <c r="I462" s="159"/>
      <c r="J462" s="224"/>
      <c r="K462" s="159"/>
      <c r="L462" s="159"/>
      <c r="M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c r="AT462" s="159"/>
      <c r="AU462" s="159"/>
      <c r="AV462" s="159"/>
      <c r="AW462" s="159"/>
      <c r="AX462" s="159"/>
      <c r="AY462" s="159"/>
      <c r="AZ462" s="159"/>
      <c r="BA462" s="159"/>
    </row>
    <row r="463" spans="2:53" ht="17.399999999999999" customHeight="1">
      <c r="B463" s="159"/>
      <c r="C463" s="159"/>
      <c r="D463" s="159"/>
      <c r="E463" s="159"/>
      <c r="F463" s="159"/>
      <c r="G463" s="159"/>
      <c r="H463" s="159"/>
      <c r="I463" s="159"/>
      <c r="J463" s="224"/>
      <c r="K463" s="159"/>
      <c r="L463" s="159"/>
      <c r="M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c r="AT463" s="159"/>
      <c r="AU463" s="159"/>
      <c r="AV463" s="159"/>
      <c r="AW463" s="159"/>
      <c r="AX463" s="159"/>
      <c r="AY463" s="159"/>
      <c r="AZ463" s="159"/>
      <c r="BA463" s="159"/>
    </row>
    <row r="464" spans="2:53" ht="17.399999999999999" customHeight="1">
      <c r="B464" s="159"/>
      <c r="C464" s="159"/>
      <c r="D464" s="159"/>
      <c r="E464" s="159"/>
      <c r="F464" s="159"/>
      <c r="G464" s="159"/>
      <c r="H464" s="159"/>
      <c r="I464" s="159"/>
      <c r="J464" s="224"/>
      <c r="K464" s="159"/>
      <c r="L464" s="159"/>
      <c r="M464" s="159"/>
      <c r="O464" s="159"/>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c r="AT464" s="159"/>
      <c r="AU464" s="159"/>
      <c r="AV464" s="159"/>
      <c r="AW464" s="159"/>
      <c r="AX464" s="159"/>
      <c r="AY464" s="159"/>
      <c r="AZ464" s="159"/>
      <c r="BA464" s="159"/>
    </row>
    <row r="465" spans="2:53" ht="17.399999999999999" customHeight="1">
      <c r="B465" s="159"/>
      <c r="C465" s="159"/>
      <c r="D465" s="159"/>
      <c r="E465" s="159"/>
      <c r="F465" s="159"/>
      <c r="G465" s="159"/>
      <c r="H465" s="159"/>
      <c r="I465" s="159"/>
      <c r="J465" s="224"/>
      <c r="K465" s="159"/>
      <c r="L465" s="159"/>
      <c r="M465" s="159"/>
      <c r="O465" s="159"/>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c r="AT465" s="159"/>
      <c r="AU465" s="159"/>
      <c r="AV465" s="159"/>
      <c r="AW465" s="159"/>
      <c r="AX465" s="159"/>
      <c r="AY465" s="159"/>
      <c r="AZ465" s="159"/>
      <c r="BA465" s="159"/>
    </row>
    <row r="466" spans="2:53" ht="17.399999999999999" customHeight="1">
      <c r="B466" s="159"/>
      <c r="C466" s="159"/>
      <c r="D466" s="159"/>
      <c r="E466" s="159"/>
      <c r="F466" s="159"/>
      <c r="G466" s="159"/>
      <c r="H466" s="159"/>
      <c r="I466" s="159"/>
      <c r="J466" s="224"/>
      <c r="K466" s="159"/>
      <c r="L466" s="159"/>
      <c r="M466" s="159"/>
      <c r="O466" s="159"/>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c r="AT466" s="159"/>
      <c r="AU466" s="159"/>
      <c r="AV466" s="159"/>
      <c r="AW466" s="159"/>
      <c r="AX466" s="159"/>
      <c r="AY466" s="159"/>
      <c r="AZ466" s="159"/>
      <c r="BA466" s="159"/>
    </row>
    <row r="467" spans="2:53" ht="17.399999999999999" customHeight="1">
      <c r="B467" s="159"/>
      <c r="C467" s="159"/>
      <c r="D467" s="159"/>
      <c r="E467" s="159"/>
      <c r="F467" s="159"/>
      <c r="G467" s="159"/>
      <c r="H467" s="159"/>
      <c r="I467" s="159"/>
      <c r="J467" s="224"/>
      <c r="K467" s="159"/>
      <c r="L467" s="159"/>
      <c r="M467" s="159"/>
      <c r="O467" s="159"/>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c r="AT467" s="159"/>
      <c r="AU467" s="159"/>
      <c r="AV467" s="159"/>
      <c r="AW467" s="159"/>
      <c r="AX467" s="159"/>
      <c r="AY467" s="159"/>
      <c r="AZ467" s="159"/>
      <c r="BA467" s="159"/>
    </row>
    <row r="468" spans="2:53" ht="17.399999999999999" customHeight="1">
      <c r="B468" s="159"/>
      <c r="C468" s="159"/>
      <c r="D468" s="159"/>
      <c r="E468" s="159"/>
      <c r="F468" s="159"/>
      <c r="G468" s="159"/>
      <c r="H468" s="159"/>
      <c r="I468" s="159"/>
      <c r="J468" s="224"/>
      <c r="K468" s="159"/>
      <c r="L468" s="159"/>
      <c r="M468" s="159"/>
      <c r="O468" s="159"/>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c r="AT468" s="159"/>
      <c r="AU468" s="159"/>
      <c r="AV468" s="159"/>
      <c r="AW468" s="159"/>
      <c r="AX468" s="159"/>
      <c r="AY468" s="159"/>
      <c r="AZ468" s="159"/>
      <c r="BA468" s="159"/>
    </row>
    <row r="469" spans="2:53" ht="17.399999999999999" customHeight="1">
      <c r="B469" s="159"/>
      <c r="C469" s="159"/>
      <c r="D469" s="159"/>
      <c r="E469" s="159"/>
      <c r="F469" s="159"/>
      <c r="G469" s="159"/>
      <c r="H469" s="159"/>
      <c r="I469" s="159"/>
      <c r="J469" s="224"/>
      <c r="K469" s="159"/>
      <c r="L469" s="159"/>
      <c r="M469" s="159"/>
      <c r="O469" s="159"/>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c r="AT469" s="159"/>
      <c r="AU469" s="159"/>
      <c r="AV469" s="159"/>
      <c r="AW469" s="159"/>
      <c r="AX469" s="159"/>
      <c r="AY469" s="159"/>
      <c r="AZ469" s="159"/>
      <c r="BA469" s="159"/>
    </row>
    <row r="470" spans="2:53" ht="17.399999999999999" customHeight="1">
      <c r="B470" s="159"/>
      <c r="C470" s="159"/>
      <c r="D470" s="159"/>
      <c r="E470" s="159"/>
      <c r="F470" s="159"/>
      <c r="G470" s="159"/>
      <c r="H470" s="159"/>
      <c r="I470" s="159"/>
      <c r="J470" s="224"/>
      <c r="K470" s="159"/>
      <c r="L470" s="159"/>
      <c r="M470" s="159"/>
      <c r="O470" s="159"/>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c r="AT470" s="159"/>
      <c r="AU470" s="159"/>
      <c r="AV470" s="159"/>
      <c r="AW470" s="159"/>
      <c r="AX470" s="159"/>
      <c r="AY470" s="159"/>
      <c r="AZ470" s="159"/>
      <c r="BA470" s="159"/>
    </row>
    <row r="471" spans="2:53" ht="17.399999999999999" customHeight="1">
      <c r="B471" s="159"/>
      <c r="C471" s="159"/>
      <c r="D471" s="159"/>
      <c r="E471" s="159"/>
      <c r="F471" s="159"/>
      <c r="G471" s="159"/>
      <c r="H471" s="159"/>
      <c r="I471" s="159"/>
      <c r="J471" s="224"/>
      <c r="K471" s="159"/>
      <c r="L471" s="159"/>
      <c r="M471" s="159"/>
      <c r="O471" s="159"/>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c r="AT471" s="159"/>
      <c r="AU471" s="159"/>
      <c r="AV471" s="159"/>
      <c r="AW471" s="159"/>
      <c r="AX471" s="159"/>
      <c r="AY471" s="159"/>
      <c r="AZ471" s="159"/>
      <c r="BA471" s="159"/>
    </row>
    <row r="472" spans="2:53" ht="17.399999999999999" customHeight="1">
      <c r="B472" s="159"/>
      <c r="C472" s="159"/>
      <c r="D472" s="159"/>
      <c r="E472" s="159"/>
      <c r="F472" s="159"/>
      <c r="G472" s="159"/>
      <c r="H472" s="159"/>
      <c r="I472" s="159"/>
      <c r="J472" s="224"/>
      <c r="K472" s="159"/>
      <c r="L472" s="159"/>
      <c r="M472" s="159"/>
      <c r="O472" s="159"/>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c r="AT472" s="159"/>
      <c r="AU472" s="159"/>
      <c r="AV472" s="159"/>
      <c r="AW472" s="159"/>
      <c r="AX472" s="159"/>
      <c r="AY472" s="159"/>
      <c r="AZ472" s="159"/>
      <c r="BA472" s="159"/>
    </row>
    <row r="473" spans="2:53" ht="17.399999999999999" customHeight="1">
      <c r="B473" s="159"/>
      <c r="C473" s="159"/>
      <c r="D473" s="159"/>
      <c r="E473" s="159"/>
      <c r="F473" s="159"/>
      <c r="G473" s="159"/>
      <c r="H473" s="159"/>
      <c r="I473" s="159"/>
      <c r="J473" s="224"/>
      <c r="K473" s="159"/>
      <c r="L473" s="159"/>
      <c r="M473" s="159"/>
      <c r="O473" s="159"/>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c r="AT473" s="159"/>
      <c r="AU473" s="159"/>
      <c r="AV473" s="159"/>
      <c r="AW473" s="159"/>
      <c r="AX473" s="159"/>
      <c r="AY473" s="159"/>
      <c r="AZ473" s="159"/>
      <c r="BA473" s="159"/>
    </row>
    <row r="474" spans="2:53" ht="17.399999999999999" customHeight="1">
      <c r="B474" s="159"/>
      <c r="C474" s="159"/>
      <c r="D474" s="159"/>
      <c r="E474" s="159"/>
      <c r="F474" s="159"/>
      <c r="G474" s="159"/>
      <c r="H474" s="159"/>
      <c r="I474" s="159"/>
      <c r="J474" s="224"/>
      <c r="K474" s="159"/>
      <c r="L474" s="159"/>
      <c r="M474" s="159"/>
      <c r="O474" s="159"/>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c r="AT474" s="159"/>
      <c r="AU474" s="159"/>
      <c r="AV474" s="159"/>
      <c r="AW474" s="159"/>
      <c r="AX474" s="159"/>
      <c r="AY474" s="159"/>
      <c r="AZ474" s="159"/>
      <c r="BA474" s="159"/>
    </row>
    <row r="475" spans="2:53" ht="17.399999999999999" customHeight="1">
      <c r="B475" s="159"/>
      <c r="C475" s="159"/>
      <c r="D475" s="159"/>
      <c r="E475" s="159"/>
      <c r="F475" s="159"/>
      <c r="G475" s="159"/>
      <c r="H475" s="159"/>
      <c r="I475" s="159"/>
      <c r="J475" s="224"/>
      <c r="K475" s="159"/>
      <c r="L475" s="159"/>
      <c r="M475" s="159"/>
      <c r="O475" s="159"/>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c r="AT475" s="159"/>
      <c r="AU475" s="159"/>
      <c r="AV475" s="159"/>
      <c r="AW475" s="159"/>
      <c r="AX475" s="159"/>
      <c r="AY475" s="159"/>
      <c r="AZ475" s="159"/>
      <c r="BA475" s="159"/>
    </row>
    <row r="476" spans="2:53" ht="17.399999999999999" customHeight="1">
      <c r="B476" s="159"/>
      <c r="C476" s="159"/>
      <c r="D476" s="159"/>
      <c r="E476" s="159"/>
      <c r="F476" s="159"/>
      <c r="G476" s="159"/>
      <c r="H476" s="159"/>
      <c r="I476" s="159"/>
      <c r="J476" s="224"/>
      <c r="K476" s="159"/>
      <c r="L476" s="159"/>
      <c r="M476" s="159"/>
      <c r="O476" s="159"/>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c r="AT476" s="159"/>
      <c r="AU476" s="159"/>
      <c r="AV476" s="159"/>
      <c r="AW476" s="159"/>
      <c r="AX476" s="159"/>
      <c r="AY476" s="159"/>
      <c r="AZ476" s="159"/>
      <c r="BA476" s="159"/>
    </row>
    <row r="477" spans="2:53" ht="17.399999999999999" customHeight="1">
      <c r="B477" s="159"/>
      <c r="C477" s="159"/>
      <c r="D477" s="159"/>
      <c r="E477" s="159"/>
      <c r="F477" s="159"/>
      <c r="G477" s="159"/>
      <c r="H477" s="159"/>
      <c r="I477" s="159"/>
      <c r="J477" s="224"/>
      <c r="K477" s="159"/>
      <c r="L477" s="159"/>
      <c r="M477" s="159"/>
      <c r="O477" s="159"/>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c r="AT477" s="159"/>
      <c r="AU477" s="159"/>
      <c r="AV477" s="159"/>
      <c r="AW477" s="159"/>
      <c r="AX477" s="159"/>
      <c r="AY477" s="159"/>
      <c r="AZ477" s="159"/>
      <c r="BA477" s="159"/>
    </row>
    <row r="478" spans="2:53" ht="17.399999999999999" customHeight="1">
      <c r="B478" s="159"/>
      <c r="C478" s="159"/>
      <c r="D478" s="159"/>
      <c r="E478" s="159"/>
      <c r="F478" s="159"/>
      <c r="G478" s="159"/>
      <c r="H478" s="159"/>
      <c r="I478" s="159"/>
      <c r="J478" s="224"/>
      <c r="K478" s="159"/>
      <c r="L478" s="159"/>
      <c r="M478" s="159"/>
      <c r="O478" s="159"/>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c r="AT478" s="159"/>
      <c r="AU478" s="159"/>
      <c r="AV478" s="159"/>
      <c r="AW478" s="159"/>
      <c r="AX478" s="159"/>
      <c r="AY478" s="159"/>
      <c r="AZ478" s="159"/>
      <c r="BA478" s="159"/>
    </row>
    <row r="479" spans="2:53" ht="17.399999999999999" customHeight="1">
      <c r="B479" s="159"/>
      <c r="C479" s="159"/>
      <c r="D479" s="159"/>
      <c r="E479" s="159"/>
      <c r="F479" s="159"/>
      <c r="G479" s="159"/>
      <c r="H479" s="159"/>
      <c r="I479" s="159"/>
      <c r="J479" s="224"/>
      <c r="K479" s="159"/>
      <c r="L479" s="159"/>
      <c r="M479" s="159"/>
      <c r="O479" s="159"/>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c r="AT479" s="159"/>
      <c r="AU479" s="159"/>
      <c r="AV479" s="159"/>
      <c r="AW479" s="159"/>
      <c r="AX479" s="159"/>
      <c r="AY479" s="159"/>
      <c r="AZ479" s="159"/>
      <c r="BA479" s="159"/>
    </row>
    <row r="480" spans="2:53" ht="17.399999999999999" customHeight="1">
      <c r="B480" s="159"/>
      <c r="C480" s="159"/>
      <c r="D480" s="159"/>
      <c r="E480" s="159"/>
      <c r="F480" s="159"/>
      <c r="G480" s="159"/>
      <c r="H480" s="159"/>
      <c r="I480" s="159"/>
      <c r="J480" s="224"/>
      <c r="K480" s="159"/>
      <c r="L480" s="159"/>
      <c r="M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c r="AT480" s="159"/>
      <c r="AU480" s="159"/>
      <c r="AV480" s="159"/>
      <c r="AW480" s="159"/>
      <c r="AX480" s="159"/>
      <c r="AY480" s="159"/>
      <c r="AZ480" s="159"/>
      <c r="BA480" s="159"/>
    </row>
    <row r="481" spans="2:53" ht="17.399999999999999" customHeight="1">
      <c r="B481" s="159"/>
      <c r="C481" s="159"/>
      <c r="D481" s="159"/>
      <c r="E481" s="159"/>
      <c r="F481" s="159"/>
      <c r="G481" s="159"/>
      <c r="H481" s="159"/>
      <c r="I481" s="159"/>
      <c r="J481" s="224"/>
      <c r="K481" s="159"/>
      <c r="L481" s="159"/>
      <c r="M481" s="159"/>
      <c r="O481" s="159"/>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c r="AR481" s="159"/>
      <c r="AS481" s="159"/>
      <c r="AT481" s="159"/>
      <c r="AU481" s="159"/>
      <c r="AV481" s="159"/>
      <c r="AW481" s="159"/>
      <c r="AX481" s="159"/>
      <c r="AY481" s="159"/>
      <c r="AZ481" s="159"/>
      <c r="BA481" s="159"/>
    </row>
    <row r="482" spans="2:53" ht="17.399999999999999" customHeight="1">
      <c r="B482" s="159"/>
      <c r="C482" s="159"/>
      <c r="D482" s="159"/>
      <c r="E482" s="159"/>
      <c r="F482" s="159"/>
      <c r="G482" s="159"/>
      <c r="H482" s="159"/>
      <c r="I482" s="159"/>
      <c r="J482" s="224"/>
      <c r="K482" s="159"/>
      <c r="L482" s="159"/>
      <c r="M482" s="159"/>
      <c r="O482" s="159"/>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c r="AT482" s="159"/>
      <c r="AU482" s="159"/>
      <c r="AV482" s="159"/>
      <c r="AW482" s="159"/>
      <c r="AX482" s="159"/>
      <c r="AY482" s="159"/>
      <c r="AZ482" s="159"/>
      <c r="BA482" s="159"/>
    </row>
    <row r="483" spans="2:53" ht="17.399999999999999" customHeight="1">
      <c r="B483" s="159"/>
      <c r="C483" s="159"/>
      <c r="D483" s="159"/>
      <c r="E483" s="159"/>
      <c r="F483" s="159"/>
      <c r="G483" s="159"/>
      <c r="H483" s="159"/>
      <c r="I483" s="159"/>
      <c r="J483" s="224"/>
      <c r="K483" s="159"/>
      <c r="L483" s="159"/>
      <c r="M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c r="AT483" s="159"/>
      <c r="AU483" s="159"/>
      <c r="AV483" s="159"/>
      <c r="AW483" s="159"/>
      <c r="AX483" s="159"/>
      <c r="AY483" s="159"/>
      <c r="AZ483" s="159"/>
      <c r="BA483" s="159"/>
    </row>
    <row r="484" spans="2:53" ht="17.399999999999999" customHeight="1">
      <c r="B484" s="159"/>
      <c r="C484" s="159"/>
      <c r="D484" s="159"/>
      <c r="E484" s="159"/>
      <c r="F484" s="159"/>
      <c r="G484" s="159"/>
      <c r="H484" s="159"/>
      <c r="I484" s="159"/>
      <c r="J484" s="224"/>
      <c r="K484" s="159"/>
      <c r="L484" s="159"/>
      <c r="M484" s="159"/>
      <c r="O484" s="159"/>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c r="AT484" s="159"/>
      <c r="AU484" s="159"/>
      <c r="AV484" s="159"/>
      <c r="AW484" s="159"/>
      <c r="AX484" s="159"/>
      <c r="AY484" s="159"/>
      <c r="AZ484" s="159"/>
      <c r="BA484" s="159"/>
    </row>
    <row r="485" spans="2:53" ht="17.399999999999999" customHeight="1">
      <c r="B485" s="159"/>
      <c r="C485" s="159"/>
      <c r="D485" s="159"/>
      <c r="E485" s="159"/>
      <c r="F485" s="159"/>
      <c r="G485" s="159"/>
      <c r="H485" s="159"/>
      <c r="I485" s="159"/>
      <c r="J485" s="224"/>
      <c r="K485" s="159"/>
      <c r="L485" s="159"/>
      <c r="M485" s="159"/>
      <c r="O485" s="159"/>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c r="AT485" s="159"/>
      <c r="AU485" s="159"/>
      <c r="AV485" s="159"/>
      <c r="AW485" s="159"/>
      <c r="AX485" s="159"/>
      <c r="AY485" s="159"/>
      <c r="AZ485" s="159"/>
      <c r="BA485" s="159"/>
    </row>
    <row r="486" spans="2:53" ht="17.399999999999999" customHeight="1">
      <c r="B486" s="159"/>
      <c r="C486" s="159"/>
      <c r="D486" s="159"/>
      <c r="E486" s="159"/>
      <c r="F486" s="159"/>
      <c r="G486" s="159"/>
      <c r="H486" s="159"/>
      <c r="I486" s="159"/>
      <c r="J486" s="224"/>
      <c r="K486" s="159"/>
      <c r="L486" s="159"/>
      <c r="M486" s="159"/>
      <c r="O486" s="159"/>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c r="AT486" s="159"/>
      <c r="AU486" s="159"/>
      <c r="AV486" s="159"/>
      <c r="AW486" s="159"/>
      <c r="AX486" s="159"/>
      <c r="AY486" s="159"/>
      <c r="AZ486" s="159"/>
      <c r="BA486" s="159"/>
    </row>
    <row r="487" spans="2:53" ht="17.399999999999999" customHeight="1">
      <c r="B487" s="159"/>
      <c r="C487" s="159"/>
      <c r="D487" s="159"/>
      <c r="E487" s="159"/>
      <c r="F487" s="159"/>
      <c r="G487" s="159"/>
      <c r="H487" s="159"/>
      <c r="I487" s="159"/>
      <c r="J487" s="224"/>
      <c r="K487" s="159"/>
      <c r="L487" s="159"/>
      <c r="M487" s="159"/>
      <c r="O487" s="159"/>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c r="AT487" s="159"/>
      <c r="AU487" s="159"/>
      <c r="AV487" s="159"/>
      <c r="AW487" s="159"/>
      <c r="AX487" s="159"/>
      <c r="AY487" s="159"/>
      <c r="AZ487" s="159"/>
      <c r="BA487" s="159"/>
    </row>
    <row r="488" spans="2:53" ht="17.399999999999999" customHeight="1">
      <c r="B488" s="159"/>
      <c r="C488" s="159"/>
      <c r="D488" s="159"/>
      <c r="E488" s="159"/>
      <c r="F488" s="159"/>
      <c r="G488" s="159"/>
      <c r="H488" s="159"/>
      <c r="I488" s="159"/>
      <c r="J488" s="224"/>
      <c r="K488" s="159"/>
      <c r="L488" s="159"/>
      <c r="M488" s="159"/>
      <c r="O488" s="159"/>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c r="AT488" s="159"/>
      <c r="AU488" s="159"/>
      <c r="AV488" s="159"/>
      <c r="AW488" s="159"/>
      <c r="AX488" s="159"/>
      <c r="AY488" s="159"/>
      <c r="AZ488" s="159"/>
      <c r="BA488" s="159"/>
    </row>
    <row r="489" spans="2:53" ht="17.399999999999999" customHeight="1">
      <c r="B489" s="159"/>
      <c r="C489" s="159"/>
      <c r="D489" s="159"/>
      <c r="E489" s="159"/>
      <c r="F489" s="159"/>
      <c r="G489" s="159"/>
      <c r="H489" s="159"/>
      <c r="I489" s="159"/>
      <c r="J489" s="224"/>
      <c r="K489" s="159"/>
      <c r="L489" s="159"/>
      <c r="M489" s="159"/>
      <c r="O489" s="159"/>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c r="AT489" s="159"/>
      <c r="AU489" s="159"/>
      <c r="AV489" s="159"/>
      <c r="AW489" s="159"/>
      <c r="AX489" s="159"/>
      <c r="AY489" s="159"/>
      <c r="AZ489" s="159"/>
      <c r="BA489" s="159"/>
    </row>
    <row r="490" spans="2:53" ht="17.399999999999999" customHeight="1">
      <c r="B490" s="159"/>
      <c r="C490" s="159"/>
      <c r="D490" s="159"/>
      <c r="E490" s="159"/>
      <c r="F490" s="159"/>
      <c r="G490" s="159"/>
      <c r="H490" s="159"/>
      <c r="I490" s="159"/>
      <c r="J490" s="224"/>
      <c r="K490" s="159"/>
      <c r="L490" s="159"/>
      <c r="M490" s="159"/>
      <c r="O490" s="159"/>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c r="AT490" s="159"/>
      <c r="AU490" s="159"/>
      <c r="AV490" s="159"/>
      <c r="AW490" s="159"/>
      <c r="AX490" s="159"/>
      <c r="AY490" s="159"/>
      <c r="AZ490" s="159"/>
      <c r="BA490" s="159"/>
    </row>
    <row r="491" spans="2:53" ht="17.399999999999999" customHeight="1">
      <c r="B491" s="159"/>
      <c r="C491" s="159"/>
      <c r="D491" s="159"/>
      <c r="E491" s="159"/>
      <c r="F491" s="159"/>
      <c r="G491" s="159"/>
      <c r="H491" s="159"/>
      <c r="I491" s="159"/>
      <c r="J491" s="224"/>
      <c r="K491" s="159"/>
      <c r="L491" s="159"/>
      <c r="M491" s="159"/>
      <c r="O491" s="159"/>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c r="AT491" s="159"/>
      <c r="AU491" s="159"/>
      <c r="AV491" s="159"/>
      <c r="AW491" s="159"/>
      <c r="AX491" s="159"/>
      <c r="AY491" s="159"/>
      <c r="AZ491" s="159"/>
      <c r="BA491" s="159"/>
    </row>
    <row r="492" spans="2:53" ht="17.399999999999999" customHeight="1">
      <c r="B492" s="159"/>
      <c r="C492" s="159"/>
      <c r="D492" s="159"/>
      <c r="E492" s="159"/>
      <c r="F492" s="159"/>
      <c r="G492" s="159"/>
      <c r="H492" s="159"/>
      <c r="I492" s="159"/>
      <c r="J492" s="224"/>
      <c r="K492" s="159"/>
      <c r="L492" s="159"/>
      <c r="M492" s="159"/>
      <c r="O492" s="159"/>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c r="AT492" s="159"/>
      <c r="AU492" s="159"/>
      <c r="AV492" s="159"/>
      <c r="AW492" s="159"/>
      <c r="AX492" s="159"/>
      <c r="AY492" s="159"/>
      <c r="AZ492" s="159"/>
      <c r="BA492" s="159"/>
    </row>
    <row r="493" spans="2:53" ht="17.399999999999999" customHeight="1">
      <c r="B493" s="159"/>
      <c r="C493" s="159"/>
      <c r="D493" s="159"/>
      <c r="E493" s="159"/>
      <c r="F493" s="159"/>
      <c r="G493" s="159"/>
      <c r="H493" s="159"/>
      <c r="I493" s="159"/>
      <c r="J493" s="224"/>
      <c r="K493" s="159"/>
      <c r="L493" s="159"/>
      <c r="M493" s="159"/>
      <c r="O493" s="159"/>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c r="AT493" s="159"/>
      <c r="AU493" s="159"/>
      <c r="AV493" s="159"/>
      <c r="AW493" s="159"/>
      <c r="AX493" s="159"/>
      <c r="AY493" s="159"/>
      <c r="AZ493" s="159"/>
      <c r="BA493" s="159"/>
    </row>
    <row r="494" spans="2:53" ht="17.399999999999999" customHeight="1">
      <c r="B494" s="159"/>
      <c r="C494" s="159"/>
      <c r="D494" s="159"/>
      <c r="E494" s="159"/>
      <c r="F494" s="159"/>
      <c r="G494" s="159"/>
      <c r="H494" s="159"/>
      <c r="I494" s="159"/>
      <c r="J494" s="224"/>
      <c r="K494" s="159"/>
      <c r="L494" s="159"/>
      <c r="M494" s="159"/>
      <c r="O494" s="159"/>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c r="AR494" s="159"/>
      <c r="AS494" s="159"/>
      <c r="AT494" s="159"/>
      <c r="AU494" s="159"/>
      <c r="AV494" s="159"/>
      <c r="AW494" s="159"/>
      <c r="AX494" s="159"/>
      <c r="AY494" s="159"/>
      <c r="AZ494" s="159"/>
      <c r="BA494" s="159"/>
    </row>
    <row r="495" spans="2:53" ht="17.399999999999999" customHeight="1">
      <c r="B495" s="159"/>
      <c r="C495" s="159"/>
      <c r="D495" s="159"/>
      <c r="E495" s="159"/>
      <c r="F495" s="159"/>
      <c r="G495" s="159"/>
      <c r="H495" s="159"/>
      <c r="I495" s="159"/>
      <c r="J495" s="224"/>
      <c r="K495" s="159"/>
      <c r="L495" s="159"/>
      <c r="M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c r="AT495" s="159"/>
      <c r="AU495" s="159"/>
      <c r="AV495" s="159"/>
      <c r="AW495" s="159"/>
      <c r="AX495" s="159"/>
      <c r="AY495" s="159"/>
      <c r="AZ495" s="159"/>
      <c r="BA495" s="159"/>
    </row>
    <row r="496" spans="2:53" ht="17.399999999999999" customHeight="1">
      <c r="B496" s="159"/>
      <c r="C496" s="159"/>
      <c r="D496" s="159"/>
      <c r="E496" s="159"/>
      <c r="F496" s="159"/>
      <c r="G496" s="159"/>
      <c r="H496" s="159"/>
      <c r="I496" s="159"/>
      <c r="J496" s="224"/>
      <c r="K496" s="159"/>
      <c r="L496" s="159"/>
      <c r="M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c r="AT496" s="159"/>
      <c r="AU496" s="159"/>
      <c r="AV496" s="159"/>
      <c r="AW496" s="159"/>
      <c r="AX496" s="159"/>
      <c r="AY496" s="159"/>
      <c r="AZ496" s="159"/>
      <c r="BA496" s="159"/>
    </row>
    <row r="497" spans="2:53" ht="17.399999999999999" customHeight="1">
      <c r="B497" s="159"/>
      <c r="C497" s="159"/>
      <c r="D497" s="159"/>
      <c r="E497" s="159"/>
      <c r="F497" s="159"/>
      <c r="G497" s="159"/>
      <c r="H497" s="159"/>
      <c r="I497" s="159"/>
      <c r="J497" s="224"/>
      <c r="K497" s="159"/>
      <c r="L497" s="159"/>
      <c r="M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c r="AT497" s="159"/>
      <c r="AU497" s="159"/>
      <c r="AV497" s="159"/>
      <c r="AW497" s="159"/>
      <c r="AX497" s="159"/>
      <c r="AY497" s="159"/>
      <c r="AZ497" s="159"/>
      <c r="BA497" s="159"/>
    </row>
    <row r="498" spans="2:53" ht="17.399999999999999" customHeight="1">
      <c r="B498" s="159"/>
      <c r="C498" s="159"/>
      <c r="D498" s="159"/>
      <c r="E498" s="159"/>
      <c r="F498" s="159"/>
      <c r="G498" s="159"/>
      <c r="H498" s="159"/>
      <c r="I498" s="159"/>
      <c r="J498" s="224"/>
      <c r="K498" s="159"/>
      <c r="L498" s="159"/>
      <c r="M498" s="159"/>
      <c r="O498" s="159"/>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c r="AT498" s="159"/>
      <c r="AU498" s="159"/>
      <c r="AV498" s="159"/>
      <c r="AW498" s="159"/>
      <c r="AX498" s="159"/>
      <c r="AY498" s="159"/>
      <c r="AZ498" s="159"/>
      <c r="BA498" s="159"/>
    </row>
    <row r="499" spans="2:53" ht="17.399999999999999" customHeight="1">
      <c r="B499" s="159"/>
      <c r="C499" s="159"/>
      <c r="D499" s="159"/>
      <c r="E499" s="159"/>
      <c r="F499" s="159"/>
      <c r="G499" s="159"/>
      <c r="H499" s="159"/>
      <c r="I499" s="159"/>
      <c r="J499" s="224"/>
      <c r="K499" s="159"/>
      <c r="L499" s="159"/>
      <c r="M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c r="AT499" s="159"/>
      <c r="AU499" s="159"/>
      <c r="AV499" s="159"/>
      <c r="AW499" s="159"/>
      <c r="AX499" s="159"/>
      <c r="AY499" s="159"/>
      <c r="AZ499" s="159"/>
      <c r="BA499" s="159"/>
    </row>
    <row r="500" spans="2:53" ht="17.399999999999999" customHeight="1">
      <c r="B500" s="159"/>
      <c r="C500" s="159"/>
      <c r="D500" s="159"/>
      <c r="E500" s="159"/>
      <c r="F500" s="159"/>
      <c r="G500" s="159"/>
      <c r="H500" s="159"/>
      <c r="I500" s="159"/>
      <c r="J500" s="224"/>
      <c r="K500" s="159"/>
      <c r="L500" s="159"/>
      <c r="M500" s="159"/>
      <c r="O500" s="159"/>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c r="AP500" s="159"/>
      <c r="AQ500" s="159"/>
      <c r="AR500" s="159"/>
      <c r="AS500" s="159"/>
      <c r="AT500" s="159"/>
      <c r="AU500" s="159"/>
      <c r="AV500" s="159"/>
      <c r="AW500" s="159"/>
      <c r="AX500" s="159"/>
      <c r="AY500" s="159"/>
      <c r="AZ500" s="159"/>
      <c r="BA500" s="159"/>
    </row>
    <row r="501" spans="2:53" ht="17.399999999999999" customHeight="1">
      <c r="B501" s="159"/>
      <c r="C501" s="159"/>
      <c r="D501" s="159"/>
      <c r="E501" s="159"/>
      <c r="F501" s="159"/>
      <c r="G501" s="159"/>
      <c r="H501" s="159"/>
      <c r="I501" s="159"/>
      <c r="J501" s="224"/>
      <c r="K501" s="159"/>
      <c r="L501" s="159"/>
      <c r="M501" s="159"/>
      <c r="O501" s="159"/>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c r="AR501" s="159"/>
      <c r="AS501" s="159"/>
      <c r="AT501" s="159"/>
      <c r="AU501" s="159"/>
      <c r="AV501" s="159"/>
      <c r="AW501" s="159"/>
      <c r="AX501" s="159"/>
      <c r="AY501" s="159"/>
      <c r="AZ501" s="159"/>
      <c r="BA501" s="159"/>
    </row>
    <row r="502" spans="2:53" ht="17.399999999999999" customHeight="1">
      <c r="B502" s="159"/>
      <c r="C502" s="159"/>
      <c r="D502" s="159"/>
      <c r="E502" s="159"/>
      <c r="F502" s="159"/>
      <c r="G502" s="159"/>
      <c r="H502" s="159"/>
      <c r="I502" s="159"/>
      <c r="J502" s="224"/>
      <c r="K502" s="159"/>
      <c r="L502" s="159"/>
      <c r="M502" s="159"/>
      <c r="O502" s="159"/>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c r="AR502" s="159"/>
      <c r="AS502" s="159"/>
      <c r="AT502" s="159"/>
      <c r="AU502" s="159"/>
      <c r="AV502" s="159"/>
      <c r="AW502" s="159"/>
      <c r="AX502" s="159"/>
      <c r="AY502" s="159"/>
      <c r="AZ502" s="159"/>
      <c r="BA502" s="159"/>
    </row>
    <row r="503" spans="2:53" ht="17.399999999999999" customHeight="1">
      <c r="B503" s="159"/>
      <c r="C503" s="159"/>
      <c r="D503" s="159"/>
      <c r="E503" s="159"/>
      <c r="F503" s="159"/>
      <c r="G503" s="159"/>
      <c r="H503" s="159"/>
      <c r="I503" s="159"/>
      <c r="J503" s="224"/>
      <c r="K503" s="159"/>
      <c r="L503" s="159"/>
      <c r="M503" s="159"/>
      <c r="O503" s="159"/>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c r="AR503" s="159"/>
      <c r="AS503" s="159"/>
      <c r="AT503" s="159"/>
      <c r="AU503" s="159"/>
      <c r="AV503" s="159"/>
      <c r="AW503" s="159"/>
      <c r="AX503" s="159"/>
      <c r="AY503" s="159"/>
      <c r="AZ503" s="159"/>
      <c r="BA503" s="159"/>
    </row>
    <row r="504" spans="2:53" ht="17.399999999999999" customHeight="1">
      <c r="B504" s="159"/>
      <c r="C504" s="159"/>
      <c r="D504" s="159"/>
      <c r="E504" s="159"/>
      <c r="F504" s="159"/>
      <c r="G504" s="159"/>
      <c r="H504" s="159"/>
      <c r="I504" s="159"/>
      <c r="J504" s="224"/>
      <c r="K504" s="159"/>
      <c r="L504" s="159"/>
      <c r="M504" s="159"/>
      <c r="O504" s="159"/>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c r="AR504" s="159"/>
      <c r="AS504" s="159"/>
      <c r="AT504" s="159"/>
      <c r="AU504" s="159"/>
      <c r="AV504" s="159"/>
      <c r="AW504" s="159"/>
      <c r="AX504" s="159"/>
      <c r="AY504" s="159"/>
      <c r="AZ504" s="159"/>
      <c r="BA504" s="159"/>
    </row>
    <row r="505" spans="2:53" ht="17.399999999999999" customHeight="1">
      <c r="B505" s="159"/>
      <c r="C505" s="159"/>
      <c r="D505" s="159"/>
      <c r="E505" s="159"/>
      <c r="F505" s="159"/>
      <c r="G505" s="159"/>
      <c r="H505" s="159"/>
      <c r="I505" s="159"/>
      <c r="J505" s="224"/>
      <c r="K505" s="159"/>
      <c r="L505" s="159"/>
      <c r="M505" s="159"/>
      <c r="O505" s="159"/>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c r="AR505" s="159"/>
      <c r="AS505" s="159"/>
      <c r="AT505" s="159"/>
      <c r="AU505" s="159"/>
      <c r="AV505" s="159"/>
      <c r="AW505" s="159"/>
      <c r="AX505" s="159"/>
      <c r="AY505" s="159"/>
      <c r="AZ505" s="159"/>
      <c r="BA505" s="159"/>
    </row>
    <row r="506" spans="2:53" ht="17.399999999999999" customHeight="1">
      <c r="B506" s="159"/>
      <c r="C506" s="159"/>
      <c r="D506" s="159"/>
      <c r="E506" s="159"/>
      <c r="F506" s="159"/>
      <c r="G506" s="159"/>
      <c r="H506" s="159"/>
      <c r="I506" s="159"/>
      <c r="J506" s="224"/>
      <c r="K506" s="159"/>
      <c r="L506" s="159"/>
      <c r="M506" s="159"/>
      <c r="O506" s="159"/>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c r="AT506" s="159"/>
      <c r="AU506" s="159"/>
      <c r="AV506" s="159"/>
      <c r="AW506" s="159"/>
      <c r="AX506" s="159"/>
      <c r="AY506" s="159"/>
      <c r="AZ506" s="159"/>
      <c r="BA506" s="159"/>
    </row>
    <row r="507" spans="2:53" ht="17.399999999999999" customHeight="1">
      <c r="B507" s="159"/>
      <c r="C507" s="159"/>
      <c r="D507" s="159"/>
      <c r="E507" s="159"/>
      <c r="F507" s="159"/>
      <c r="G507" s="159"/>
      <c r="H507" s="159"/>
      <c r="I507" s="159"/>
      <c r="J507" s="224"/>
      <c r="K507" s="159"/>
      <c r="L507" s="159"/>
      <c r="M507" s="159"/>
      <c r="O507" s="159"/>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c r="AR507" s="159"/>
      <c r="AS507" s="159"/>
      <c r="AT507" s="159"/>
      <c r="AU507" s="159"/>
      <c r="AV507" s="159"/>
      <c r="AW507" s="159"/>
      <c r="AX507" s="159"/>
      <c r="AY507" s="159"/>
      <c r="AZ507" s="159"/>
      <c r="BA507" s="159"/>
    </row>
    <row r="508" spans="2:53" ht="17.399999999999999" customHeight="1">
      <c r="B508" s="159"/>
      <c r="C508" s="159"/>
      <c r="D508" s="159"/>
      <c r="E508" s="159"/>
      <c r="F508" s="159"/>
      <c r="G508" s="159"/>
      <c r="H508" s="159"/>
      <c r="I508" s="159"/>
      <c r="J508" s="224"/>
      <c r="K508" s="159"/>
      <c r="L508" s="159"/>
      <c r="M508" s="159"/>
      <c r="O508" s="159"/>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c r="AR508" s="159"/>
      <c r="AS508" s="159"/>
      <c r="AT508" s="159"/>
      <c r="AU508" s="159"/>
      <c r="AV508" s="159"/>
      <c r="AW508" s="159"/>
      <c r="AX508" s="159"/>
      <c r="AY508" s="159"/>
      <c r="AZ508" s="159"/>
      <c r="BA508" s="159"/>
    </row>
    <row r="509" spans="2:53" ht="17.399999999999999" customHeight="1">
      <c r="B509" s="159"/>
      <c r="C509" s="159"/>
      <c r="D509" s="159"/>
      <c r="E509" s="159"/>
      <c r="F509" s="159"/>
      <c r="G509" s="159"/>
      <c r="H509" s="159"/>
      <c r="I509" s="159"/>
      <c r="J509" s="224"/>
      <c r="K509" s="159"/>
      <c r="L509" s="159"/>
      <c r="M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c r="AR509" s="159"/>
      <c r="AS509" s="159"/>
      <c r="AT509" s="159"/>
      <c r="AU509" s="159"/>
      <c r="AV509" s="159"/>
      <c r="AW509" s="159"/>
      <c r="AX509" s="159"/>
      <c r="AY509" s="159"/>
      <c r="AZ509" s="159"/>
      <c r="BA509" s="159"/>
    </row>
    <row r="510" spans="2:53" ht="17.399999999999999" customHeight="1">
      <c r="B510" s="159"/>
      <c r="C510" s="159"/>
      <c r="D510" s="159"/>
      <c r="E510" s="159"/>
      <c r="F510" s="159"/>
      <c r="G510" s="159"/>
      <c r="H510" s="159"/>
      <c r="I510" s="159"/>
      <c r="J510" s="224"/>
      <c r="K510" s="159"/>
      <c r="L510" s="159"/>
      <c r="M510" s="159"/>
      <c r="O510" s="159"/>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c r="AR510" s="159"/>
      <c r="AS510" s="159"/>
      <c r="AT510" s="159"/>
      <c r="AU510" s="159"/>
      <c r="AV510" s="159"/>
      <c r="AW510" s="159"/>
      <c r="AX510" s="159"/>
      <c r="AY510" s="159"/>
      <c r="AZ510" s="159"/>
      <c r="BA510" s="159"/>
    </row>
    <row r="511" spans="2:53" ht="17.399999999999999" customHeight="1">
      <c r="B511" s="159"/>
      <c r="C511" s="159"/>
      <c r="D511" s="159"/>
      <c r="E511" s="159"/>
      <c r="F511" s="159"/>
      <c r="G511" s="159"/>
      <c r="H511" s="159"/>
      <c r="I511" s="159"/>
      <c r="J511" s="224"/>
      <c r="K511" s="159"/>
      <c r="L511" s="159"/>
      <c r="M511" s="159"/>
      <c r="O511" s="159"/>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c r="AT511" s="159"/>
      <c r="AU511" s="159"/>
      <c r="AV511" s="159"/>
      <c r="AW511" s="159"/>
      <c r="AX511" s="159"/>
      <c r="AY511" s="159"/>
      <c r="AZ511" s="159"/>
      <c r="BA511" s="159"/>
    </row>
    <row r="512" spans="2:53" ht="17.399999999999999" customHeight="1">
      <c r="B512" s="159"/>
      <c r="C512" s="159"/>
      <c r="D512" s="159"/>
      <c r="E512" s="159"/>
      <c r="F512" s="159"/>
      <c r="G512" s="159"/>
      <c r="H512" s="159"/>
      <c r="I512" s="159"/>
      <c r="J512" s="224"/>
      <c r="K512" s="159"/>
      <c r="L512" s="159"/>
      <c r="M512" s="159"/>
      <c r="O512" s="159"/>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c r="AT512" s="159"/>
      <c r="AU512" s="159"/>
      <c r="AV512" s="159"/>
      <c r="AW512" s="159"/>
      <c r="AX512" s="159"/>
      <c r="AY512" s="159"/>
      <c r="AZ512" s="159"/>
      <c r="BA512" s="159"/>
    </row>
    <row r="513" spans="2:53" ht="17.399999999999999" customHeight="1">
      <c r="B513" s="159"/>
      <c r="C513" s="159"/>
      <c r="D513" s="159"/>
      <c r="E513" s="159"/>
      <c r="F513" s="159"/>
      <c r="G513" s="159"/>
      <c r="H513" s="159"/>
      <c r="I513" s="159"/>
      <c r="J513" s="224"/>
      <c r="K513" s="159"/>
      <c r="L513" s="159"/>
      <c r="M513" s="159"/>
      <c r="O513" s="159"/>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c r="AT513" s="159"/>
      <c r="AU513" s="159"/>
      <c r="AV513" s="159"/>
      <c r="AW513" s="159"/>
      <c r="AX513" s="159"/>
      <c r="AY513" s="159"/>
      <c r="AZ513" s="159"/>
      <c r="BA513" s="159"/>
    </row>
    <row r="514" spans="2:53" ht="17.399999999999999" customHeight="1">
      <c r="B514" s="159"/>
      <c r="C514" s="159"/>
      <c r="D514" s="159"/>
      <c r="E514" s="159"/>
      <c r="F514" s="159"/>
      <c r="G514" s="159"/>
      <c r="H514" s="159"/>
      <c r="I514" s="159"/>
      <c r="J514" s="224"/>
      <c r="K514" s="159"/>
      <c r="L514" s="159"/>
      <c r="M514" s="159"/>
      <c r="O514" s="159"/>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c r="AR514" s="159"/>
      <c r="AS514" s="159"/>
      <c r="AT514" s="159"/>
      <c r="AU514" s="159"/>
      <c r="AV514" s="159"/>
      <c r="AW514" s="159"/>
      <c r="AX514" s="159"/>
      <c r="AY514" s="159"/>
      <c r="AZ514" s="159"/>
      <c r="BA514" s="159"/>
    </row>
    <row r="515" spans="2:53" ht="17.399999999999999" customHeight="1">
      <c r="B515" s="159"/>
      <c r="C515" s="159"/>
      <c r="D515" s="159"/>
      <c r="E515" s="159"/>
      <c r="F515" s="159"/>
      <c r="G515" s="159"/>
      <c r="H515" s="159"/>
      <c r="I515" s="159"/>
      <c r="J515" s="224"/>
      <c r="K515" s="159"/>
      <c r="L515" s="159"/>
      <c r="M515" s="159"/>
      <c r="O515" s="159"/>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c r="AR515" s="159"/>
      <c r="AS515" s="159"/>
      <c r="AT515" s="159"/>
      <c r="AU515" s="159"/>
      <c r="AV515" s="159"/>
      <c r="AW515" s="159"/>
      <c r="AX515" s="159"/>
      <c r="AY515" s="159"/>
      <c r="AZ515" s="159"/>
      <c r="BA515" s="159"/>
    </row>
    <row r="516" spans="2:53" ht="17.399999999999999" customHeight="1">
      <c r="B516" s="159"/>
      <c r="C516" s="159"/>
      <c r="D516" s="159"/>
      <c r="E516" s="159"/>
      <c r="F516" s="159"/>
      <c r="G516" s="159"/>
      <c r="H516" s="159"/>
      <c r="I516" s="159"/>
      <c r="J516" s="224"/>
      <c r="K516" s="159"/>
      <c r="L516" s="159"/>
      <c r="M516" s="159"/>
      <c r="O516" s="159"/>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c r="AT516" s="159"/>
      <c r="AU516" s="159"/>
      <c r="AV516" s="159"/>
      <c r="AW516" s="159"/>
      <c r="AX516" s="159"/>
      <c r="AY516" s="159"/>
      <c r="AZ516" s="159"/>
      <c r="BA516" s="159"/>
    </row>
    <row r="517" spans="2:53" ht="17.399999999999999" customHeight="1">
      <c r="B517" s="159"/>
      <c r="C517" s="159"/>
      <c r="D517" s="159"/>
      <c r="E517" s="159"/>
      <c r="F517" s="159"/>
      <c r="G517" s="159"/>
      <c r="H517" s="159"/>
      <c r="I517" s="159"/>
      <c r="J517" s="224"/>
      <c r="K517" s="159"/>
      <c r="L517" s="159"/>
      <c r="M517" s="159"/>
      <c r="O517" s="159"/>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c r="AR517" s="159"/>
      <c r="AS517" s="159"/>
      <c r="AT517" s="159"/>
      <c r="AU517" s="159"/>
      <c r="AV517" s="159"/>
      <c r="AW517" s="159"/>
      <c r="AX517" s="159"/>
      <c r="AY517" s="159"/>
      <c r="AZ517" s="159"/>
      <c r="BA517" s="159"/>
    </row>
    <row r="518" spans="2:53" ht="17.399999999999999" customHeight="1">
      <c r="B518" s="159"/>
      <c r="C518" s="159"/>
      <c r="D518" s="159"/>
      <c r="E518" s="159"/>
      <c r="F518" s="159"/>
      <c r="G518" s="159"/>
      <c r="H518" s="159"/>
      <c r="I518" s="159"/>
      <c r="J518" s="224"/>
      <c r="K518" s="159"/>
      <c r="L518" s="159"/>
      <c r="M518" s="159"/>
      <c r="O518" s="159"/>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c r="AR518" s="159"/>
      <c r="AS518" s="159"/>
      <c r="AT518" s="159"/>
      <c r="AU518" s="159"/>
      <c r="AV518" s="159"/>
      <c r="AW518" s="159"/>
      <c r="AX518" s="159"/>
      <c r="AY518" s="159"/>
      <c r="AZ518" s="159"/>
      <c r="BA518" s="159"/>
    </row>
    <row r="519" spans="2:53" ht="17.399999999999999" customHeight="1">
      <c r="B519" s="159"/>
      <c r="C519" s="159"/>
      <c r="D519" s="159"/>
      <c r="E519" s="159"/>
      <c r="F519" s="159"/>
      <c r="G519" s="159"/>
      <c r="H519" s="159"/>
      <c r="I519" s="159"/>
      <c r="J519" s="224"/>
      <c r="K519" s="159"/>
      <c r="L519" s="159"/>
      <c r="M519" s="159"/>
      <c r="O519" s="159"/>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c r="AR519" s="159"/>
      <c r="AS519" s="159"/>
      <c r="AT519" s="159"/>
      <c r="AU519" s="159"/>
      <c r="AV519" s="159"/>
      <c r="AW519" s="159"/>
      <c r="AX519" s="159"/>
      <c r="AY519" s="159"/>
      <c r="AZ519" s="159"/>
      <c r="BA519" s="159"/>
    </row>
    <row r="520" spans="2:53" ht="17.399999999999999" customHeight="1">
      <c r="B520" s="159"/>
      <c r="C520" s="159"/>
      <c r="D520" s="159"/>
      <c r="E520" s="159"/>
      <c r="F520" s="159"/>
      <c r="G520" s="159"/>
      <c r="H520" s="159"/>
      <c r="I520" s="159"/>
      <c r="J520" s="224"/>
      <c r="K520" s="159"/>
      <c r="L520" s="159"/>
      <c r="M520" s="159"/>
      <c r="O520" s="159"/>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c r="AR520" s="159"/>
      <c r="AS520" s="159"/>
      <c r="AT520" s="159"/>
      <c r="AU520" s="159"/>
      <c r="AV520" s="159"/>
      <c r="AW520" s="159"/>
      <c r="AX520" s="159"/>
      <c r="AY520" s="159"/>
      <c r="AZ520" s="159"/>
      <c r="BA520" s="159"/>
    </row>
    <row r="521" spans="2:53" ht="17.399999999999999" customHeight="1">
      <c r="B521" s="159"/>
      <c r="C521" s="159"/>
      <c r="D521" s="159"/>
      <c r="E521" s="159"/>
      <c r="F521" s="159"/>
      <c r="G521" s="159"/>
      <c r="H521" s="159"/>
      <c r="I521" s="159"/>
      <c r="J521" s="224"/>
      <c r="K521" s="159"/>
      <c r="L521" s="159"/>
      <c r="M521" s="159"/>
      <c r="O521" s="159"/>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c r="AR521" s="159"/>
      <c r="AS521" s="159"/>
      <c r="AT521" s="159"/>
      <c r="AU521" s="159"/>
      <c r="AV521" s="159"/>
      <c r="AW521" s="159"/>
      <c r="AX521" s="159"/>
      <c r="AY521" s="159"/>
      <c r="AZ521" s="159"/>
      <c r="BA521" s="159"/>
    </row>
    <row r="522" spans="2:53" ht="17.399999999999999" customHeight="1">
      <c r="B522" s="159"/>
      <c r="C522" s="159"/>
      <c r="D522" s="159"/>
      <c r="E522" s="159"/>
      <c r="F522" s="159"/>
      <c r="G522" s="159"/>
      <c r="H522" s="159"/>
      <c r="I522" s="159"/>
      <c r="J522" s="224"/>
      <c r="K522" s="159"/>
      <c r="L522" s="159"/>
      <c r="M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c r="AT522" s="159"/>
      <c r="AU522" s="159"/>
      <c r="AV522" s="159"/>
      <c r="AW522" s="159"/>
      <c r="AX522" s="159"/>
      <c r="AY522" s="159"/>
      <c r="AZ522" s="159"/>
      <c r="BA522" s="159"/>
    </row>
    <row r="523" spans="2:53" ht="17.399999999999999" customHeight="1">
      <c r="B523" s="159"/>
      <c r="C523" s="159"/>
      <c r="D523" s="159"/>
      <c r="E523" s="159"/>
      <c r="F523" s="159"/>
      <c r="G523" s="159"/>
      <c r="H523" s="159"/>
      <c r="I523" s="159"/>
      <c r="J523" s="224"/>
      <c r="K523" s="159"/>
      <c r="L523" s="159"/>
      <c r="M523" s="159"/>
      <c r="O523" s="159"/>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c r="AP523" s="159"/>
      <c r="AQ523" s="159"/>
      <c r="AR523" s="159"/>
      <c r="AS523" s="159"/>
      <c r="AT523" s="159"/>
      <c r="AU523" s="159"/>
      <c r="AV523" s="159"/>
      <c r="AW523" s="159"/>
      <c r="AX523" s="159"/>
      <c r="AY523" s="159"/>
      <c r="AZ523" s="159"/>
      <c r="BA523" s="159"/>
    </row>
    <row r="524" spans="2:53" ht="17.399999999999999" customHeight="1">
      <c r="B524" s="159"/>
      <c r="C524" s="159"/>
      <c r="D524" s="159"/>
      <c r="E524" s="159"/>
      <c r="F524" s="159"/>
      <c r="G524" s="159"/>
      <c r="H524" s="159"/>
      <c r="I524" s="159"/>
      <c r="J524" s="224"/>
      <c r="K524" s="159"/>
      <c r="L524" s="159"/>
      <c r="M524" s="159"/>
      <c r="O524" s="159"/>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c r="AR524" s="159"/>
      <c r="AS524" s="159"/>
      <c r="AT524" s="159"/>
      <c r="AU524" s="159"/>
      <c r="AV524" s="159"/>
      <c r="AW524" s="159"/>
      <c r="AX524" s="159"/>
      <c r="AY524" s="159"/>
      <c r="AZ524" s="159"/>
      <c r="BA524" s="159"/>
    </row>
    <row r="525" spans="2:53" ht="17.399999999999999" customHeight="1">
      <c r="B525" s="159"/>
      <c r="C525" s="159"/>
      <c r="D525" s="159"/>
      <c r="E525" s="159"/>
      <c r="F525" s="159"/>
      <c r="G525" s="159"/>
      <c r="H525" s="159"/>
      <c r="I525" s="159"/>
      <c r="J525" s="224"/>
      <c r="K525" s="159"/>
      <c r="L525" s="159"/>
      <c r="M525" s="159"/>
      <c r="O525" s="159"/>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c r="AR525" s="159"/>
      <c r="AS525" s="159"/>
      <c r="AT525" s="159"/>
      <c r="AU525" s="159"/>
      <c r="AV525" s="159"/>
      <c r="AW525" s="159"/>
      <c r="AX525" s="159"/>
      <c r="AY525" s="159"/>
      <c r="AZ525" s="159"/>
      <c r="BA525" s="159"/>
    </row>
    <row r="526" spans="2:53" ht="17.399999999999999" customHeight="1">
      <c r="B526" s="159"/>
      <c r="C526" s="159"/>
      <c r="D526" s="159"/>
      <c r="E526" s="159"/>
      <c r="F526" s="159"/>
      <c r="G526" s="159"/>
      <c r="H526" s="159"/>
      <c r="I526" s="159"/>
      <c r="J526" s="224"/>
      <c r="K526" s="159"/>
      <c r="L526" s="159"/>
      <c r="M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c r="AR526" s="159"/>
      <c r="AS526" s="159"/>
      <c r="AT526" s="159"/>
      <c r="AU526" s="159"/>
      <c r="AV526" s="159"/>
      <c r="AW526" s="159"/>
      <c r="AX526" s="159"/>
      <c r="AY526" s="159"/>
      <c r="AZ526" s="159"/>
      <c r="BA526" s="159"/>
    </row>
    <row r="527" spans="2:53" ht="17.399999999999999" customHeight="1">
      <c r="B527" s="159"/>
      <c r="C527" s="159"/>
      <c r="D527" s="159"/>
      <c r="E527" s="159"/>
      <c r="F527" s="159"/>
      <c r="G527" s="159"/>
      <c r="H527" s="159"/>
      <c r="I527" s="159"/>
      <c r="J527" s="224"/>
      <c r="K527" s="159"/>
      <c r="L527" s="159"/>
      <c r="M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c r="AR527" s="159"/>
      <c r="AS527" s="159"/>
      <c r="AT527" s="159"/>
      <c r="AU527" s="159"/>
      <c r="AV527" s="159"/>
      <c r="AW527" s="159"/>
      <c r="AX527" s="159"/>
      <c r="AY527" s="159"/>
      <c r="AZ527" s="159"/>
      <c r="BA527" s="159"/>
    </row>
    <row r="528" spans="2:53" ht="17.399999999999999" customHeight="1">
      <c r="B528" s="159"/>
      <c r="C528" s="159"/>
      <c r="D528" s="159"/>
      <c r="E528" s="159"/>
      <c r="F528" s="159"/>
      <c r="G528" s="159"/>
      <c r="H528" s="159"/>
      <c r="I528" s="159"/>
      <c r="J528" s="224"/>
      <c r="K528" s="159"/>
      <c r="L528" s="159"/>
      <c r="M528" s="159"/>
      <c r="O528" s="159"/>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c r="AP528" s="159"/>
      <c r="AQ528" s="159"/>
      <c r="AR528" s="159"/>
      <c r="AS528" s="159"/>
      <c r="AT528" s="159"/>
      <c r="AU528" s="159"/>
      <c r="AV528" s="159"/>
      <c r="AW528" s="159"/>
      <c r="AX528" s="159"/>
      <c r="AY528" s="159"/>
      <c r="AZ528" s="159"/>
      <c r="BA528" s="159"/>
    </row>
    <row r="529" spans="2:53" ht="17.399999999999999" customHeight="1">
      <c r="B529" s="159"/>
      <c r="C529" s="159"/>
      <c r="D529" s="159"/>
      <c r="E529" s="159"/>
      <c r="F529" s="159"/>
      <c r="G529" s="159"/>
      <c r="H529" s="159"/>
      <c r="I529" s="159"/>
      <c r="J529" s="224"/>
      <c r="K529" s="159"/>
      <c r="L529" s="159"/>
      <c r="M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c r="AR529" s="159"/>
      <c r="AS529" s="159"/>
      <c r="AT529" s="159"/>
      <c r="AU529" s="159"/>
      <c r="AV529" s="159"/>
      <c r="AW529" s="159"/>
      <c r="AX529" s="159"/>
      <c r="AY529" s="159"/>
      <c r="AZ529" s="159"/>
      <c r="BA529" s="159"/>
    </row>
    <row r="530" spans="2:53" ht="17.399999999999999" customHeight="1">
      <c r="B530" s="159"/>
      <c r="C530" s="159"/>
      <c r="D530" s="159"/>
      <c r="E530" s="159"/>
      <c r="F530" s="159"/>
      <c r="G530" s="159"/>
      <c r="H530" s="159"/>
      <c r="I530" s="159"/>
      <c r="J530" s="224"/>
      <c r="K530" s="159"/>
      <c r="L530" s="159"/>
      <c r="M530" s="159"/>
      <c r="O530" s="159"/>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c r="AR530" s="159"/>
      <c r="AS530" s="159"/>
      <c r="AT530" s="159"/>
      <c r="AU530" s="159"/>
      <c r="AV530" s="159"/>
      <c r="AW530" s="159"/>
      <c r="AX530" s="159"/>
      <c r="AY530" s="159"/>
      <c r="AZ530" s="159"/>
      <c r="BA530" s="159"/>
    </row>
    <row r="531" spans="2:53" ht="17.399999999999999" customHeight="1">
      <c r="B531" s="159"/>
      <c r="C531" s="159"/>
      <c r="D531" s="159"/>
      <c r="E531" s="159"/>
      <c r="F531" s="159"/>
      <c r="G531" s="159"/>
      <c r="H531" s="159"/>
      <c r="I531" s="159"/>
      <c r="J531" s="224"/>
      <c r="K531" s="159"/>
      <c r="L531" s="159"/>
      <c r="M531" s="159"/>
      <c r="O531" s="159"/>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c r="AT531" s="159"/>
      <c r="AU531" s="159"/>
      <c r="AV531" s="159"/>
      <c r="AW531" s="159"/>
      <c r="AX531" s="159"/>
      <c r="AY531" s="159"/>
      <c r="AZ531" s="159"/>
      <c r="BA531" s="159"/>
    </row>
    <row r="532" spans="2:53" ht="17.399999999999999" customHeight="1">
      <c r="B532" s="159"/>
      <c r="C532" s="159"/>
      <c r="D532" s="159"/>
      <c r="E532" s="159"/>
      <c r="F532" s="159"/>
      <c r="G532" s="159"/>
      <c r="H532" s="159"/>
      <c r="I532" s="159"/>
      <c r="J532" s="224"/>
      <c r="K532" s="159"/>
      <c r="L532" s="159"/>
      <c r="M532" s="159"/>
      <c r="O532" s="159"/>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c r="AT532" s="159"/>
      <c r="AU532" s="159"/>
      <c r="AV532" s="159"/>
      <c r="AW532" s="159"/>
      <c r="AX532" s="159"/>
      <c r="AY532" s="159"/>
      <c r="AZ532" s="159"/>
      <c r="BA532" s="159"/>
    </row>
    <row r="533" spans="2:53" ht="17.399999999999999" customHeight="1">
      <c r="B533" s="159"/>
      <c r="C533" s="159"/>
      <c r="D533" s="159"/>
      <c r="E533" s="159"/>
      <c r="F533" s="159"/>
      <c r="G533" s="159"/>
      <c r="H533" s="159"/>
      <c r="I533" s="159"/>
      <c r="J533" s="224"/>
      <c r="K533" s="159"/>
      <c r="L533" s="159"/>
      <c r="M533" s="159"/>
      <c r="O533" s="159"/>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c r="AT533" s="159"/>
      <c r="AU533" s="159"/>
      <c r="AV533" s="159"/>
      <c r="AW533" s="159"/>
      <c r="AX533" s="159"/>
      <c r="AY533" s="159"/>
      <c r="AZ533" s="159"/>
      <c r="BA533" s="159"/>
    </row>
    <row r="534" spans="2:53" ht="17.399999999999999" customHeight="1">
      <c r="B534" s="159"/>
      <c r="C534" s="159"/>
      <c r="D534" s="159"/>
      <c r="E534" s="159"/>
      <c r="F534" s="159"/>
      <c r="G534" s="159"/>
      <c r="H534" s="159"/>
      <c r="I534" s="159"/>
      <c r="J534" s="224"/>
      <c r="K534" s="159"/>
      <c r="L534" s="159"/>
      <c r="M534" s="159"/>
      <c r="O534" s="159"/>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c r="AT534" s="159"/>
      <c r="AU534" s="159"/>
      <c r="AV534" s="159"/>
      <c r="AW534" s="159"/>
      <c r="AX534" s="159"/>
      <c r="AY534" s="159"/>
      <c r="AZ534" s="159"/>
      <c r="BA534" s="159"/>
    </row>
    <row r="535" spans="2:53" ht="17.399999999999999" customHeight="1">
      <c r="B535" s="159"/>
      <c r="C535" s="159"/>
      <c r="D535" s="159"/>
      <c r="E535" s="159"/>
      <c r="F535" s="159"/>
      <c r="G535" s="159"/>
      <c r="H535" s="159"/>
      <c r="I535" s="159"/>
      <c r="J535" s="224"/>
      <c r="K535" s="159"/>
      <c r="L535" s="159"/>
      <c r="M535" s="159"/>
      <c r="O535" s="159"/>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c r="AR535" s="159"/>
      <c r="AS535" s="159"/>
      <c r="AT535" s="159"/>
      <c r="AU535" s="159"/>
      <c r="AV535" s="159"/>
      <c r="AW535" s="159"/>
      <c r="AX535" s="159"/>
      <c r="AY535" s="159"/>
      <c r="AZ535" s="159"/>
      <c r="BA535" s="159"/>
    </row>
    <row r="536" spans="2:53" ht="17.399999999999999" customHeight="1">
      <c r="B536" s="159"/>
      <c r="C536" s="159"/>
      <c r="D536" s="159"/>
      <c r="E536" s="159"/>
      <c r="F536" s="159"/>
      <c r="G536" s="159"/>
      <c r="H536" s="159"/>
      <c r="I536" s="159"/>
      <c r="J536" s="224"/>
      <c r="K536" s="159"/>
      <c r="L536" s="159"/>
      <c r="M536" s="159"/>
      <c r="O536" s="159"/>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c r="AR536" s="159"/>
      <c r="AS536" s="159"/>
      <c r="AT536" s="159"/>
      <c r="AU536" s="159"/>
      <c r="AV536" s="159"/>
      <c r="AW536" s="159"/>
      <c r="AX536" s="159"/>
      <c r="AY536" s="159"/>
      <c r="AZ536" s="159"/>
      <c r="BA536" s="159"/>
    </row>
    <row r="537" spans="2:53" ht="17.399999999999999" customHeight="1">
      <c r="B537" s="159"/>
      <c r="C537" s="159"/>
      <c r="D537" s="159"/>
      <c r="E537" s="159"/>
      <c r="F537" s="159"/>
      <c r="G537" s="159"/>
      <c r="H537" s="159"/>
      <c r="I537" s="159"/>
      <c r="J537" s="224"/>
      <c r="K537" s="159"/>
      <c r="L537" s="159"/>
      <c r="M537" s="159"/>
      <c r="O537" s="159"/>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c r="AR537" s="159"/>
      <c r="AS537" s="159"/>
      <c r="AT537" s="159"/>
      <c r="AU537" s="159"/>
      <c r="AV537" s="159"/>
      <c r="AW537" s="159"/>
      <c r="AX537" s="159"/>
      <c r="AY537" s="159"/>
      <c r="AZ537" s="159"/>
      <c r="BA537" s="159"/>
    </row>
    <row r="538" spans="2:53" ht="17.399999999999999" customHeight="1">
      <c r="B538" s="159"/>
      <c r="C538" s="159"/>
      <c r="D538" s="159"/>
      <c r="E538" s="159"/>
      <c r="F538" s="159"/>
      <c r="G538" s="159"/>
      <c r="H538" s="159"/>
      <c r="I538" s="159"/>
      <c r="J538" s="224"/>
      <c r="K538" s="159"/>
      <c r="L538" s="159"/>
      <c r="M538" s="159"/>
      <c r="O538" s="159"/>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c r="AR538" s="159"/>
      <c r="AS538" s="159"/>
      <c r="AT538" s="159"/>
      <c r="AU538" s="159"/>
      <c r="AV538" s="159"/>
      <c r="AW538" s="159"/>
      <c r="AX538" s="159"/>
      <c r="AY538" s="159"/>
      <c r="AZ538" s="159"/>
      <c r="BA538" s="159"/>
    </row>
    <row r="539" spans="2:53" ht="17.399999999999999" customHeight="1">
      <c r="B539" s="159"/>
      <c r="C539" s="159"/>
      <c r="D539" s="159"/>
      <c r="E539" s="159"/>
      <c r="F539" s="159"/>
      <c r="G539" s="159"/>
      <c r="H539" s="159"/>
      <c r="I539" s="159"/>
      <c r="J539" s="224"/>
      <c r="K539" s="159"/>
      <c r="L539" s="159"/>
      <c r="M539" s="159"/>
      <c r="O539" s="159"/>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c r="AR539" s="159"/>
      <c r="AS539" s="159"/>
      <c r="AT539" s="159"/>
      <c r="AU539" s="159"/>
      <c r="AV539" s="159"/>
      <c r="AW539" s="159"/>
      <c r="AX539" s="159"/>
      <c r="AY539" s="159"/>
      <c r="AZ539" s="159"/>
      <c r="BA539" s="159"/>
    </row>
    <row r="540" spans="2:53" ht="17.399999999999999" customHeight="1">
      <c r="B540" s="159"/>
      <c r="C540" s="159"/>
      <c r="D540" s="159"/>
      <c r="E540" s="159"/>
      <c r="F540" s="159"/>
      <c r="G540" s="159"/>
      <c r="H540" s="159"/>
      <c r="I540" s="159"/>
      <c r="J540" s="224"/>
      <c r="K540" s="159"/>
      <c r="L540" s="159"/>
      <c r="M540" s="159"/>
      <c r="O540" s="159"/>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c r="AR540" s="159"/>
      <c r="AS540" s="159"/>
      <c r="AT540" s="159"/>
      <c r="AU540" s="159"/>
      <c r="AV540" s="159"/>
      <c r="AW540" s="159"/>
      <c r="AX540" s="159"/>
      <c r="AY540" s="159"/>
      <c r="AZ540" s="159"/>
      <c r="BA540" s="159"/>
    </row>
    <row r="541" spans="2:53" ht="17.399999999999999" customHeight="1">
      <c r="B541" s="159"/>
      <c r="C541" s="159"/>
      <c r="D541" s="159"/>
      <c r="E541" s="159"/>
      <c r="F541" s="159"/>
      <c r="G541" s="159"/>
      <c r="H541" s="159"/>
      <c r="I541" s="159"/>
      <c r="J541" s="224"/>
      <c r="K541" s="159"/>
      <c r="L541" s="159"/>
      <c r="M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c r="AR541" s="159"/>
      <c r="AS541" s="159"/>
      <c r="AT541" s="159"/>
      <c r="AU541" s="159"/>
      <c r="AV541" s="159"/>
      <c r="AW541" s="159"/>
      <c r="AX541" s="159"/>
      <c r="AY541" s="159"/>
      <c r="AZ541" s="159"/>
      <c r="BA541" s="159"/>
    </row>
    <row r="542" spans="2:53" ht="17.399999999999999" customHeight="1">
      <c r="B542" s="159"/>
      <c r="C542" s="159"/>
      <c r="D542" s="159"/>
      <c r="E542" s="159"/>
      <c r="F542" s="159"/>
      <c r="G542" s="159"/>
      <c r="H542" s="159"/>
      <c r="I542" s="159"/>
      <c r="J542" s="224"/>
      <c r="K542" s="159"/>
      <c r="L542" s="159"/>
      <c r="M542" s="159"/>
      <c r="O542" s="159"/>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c r="AP542" s="159"/>
      <c r="AQ542" s="159"/>
      <c r="AR542" s="159"/>
      <c r="AS542" s="159"/>
      <c r="AT542" s="159"/>
      <c r="AU542" s="159"/>
      <c r="AV542" s="159"/>
      <c r="AW542" s="159"/>
      <c r="AX542" s="159"/>
      <c r="AY542" s="159"/>
      <c r="AZ542" s="159"/>
      <c r="BA542" s="159"/>
    </row>
    <row r="543" spans="2:53" ht="17.399999999999999" customHeight="1">
      <c r="B543" s="159"/>
      <c r="C543" s="159"/>
      <c r="D543" s="159"/>
      <c r="E543" s="159"/>
      <c r="F543" s="159"/>
      <c r="G543" s="159"/>
      <c r="H543" s="159"/>
      <c r="I543" s="159"/>
      <c r="J543" s="224"/>
      <c r="K543" s="159"/>
      <c r="L543" s="159"/>
      <c r="M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c r="AT543" s="159"/>
      <c r="AU543" s="159"/>
      <c r="AV543" s="159"/>
      <c r="AW543" s="159"/>
      <c r="AX543" s="159"/>
      <c r="AY543" s="159"/>
      <c r="AZ543" s="159"/>
      <c r="BA543" s="159"/>
    </row>
    <row r="544" spans="2:53" ht="17.399999999999999" customHeight="1">
      <c r="B544" s="159"/>
      <c r="C544" s="159"/>
      <c r="D544" s="159"/>
      <c r="E544" s="159"/>
      <c r="F544" s="159"/>
      <c r="G544" s="159"/>
      <c r="H544" s="159"/>
      <c r="I544" s="159"/>
      <c r="J544" s="224"/>
      <c r="K544" s="159"/>
      <c r="L544" s="159"/>
      <c r="M544" s="159"/>
      <c r="O544" s="159"/>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c r="AR544" s="159"/>
      <c r="AS544" s="159"/>
      <c r="AT544" s="159"/>
      <c r="AU544" s="159"/>
      <c r="AV544" s="159"/>
      <c r="AW544" s="159"/>
      <c r="AX544" s="159"/>
      <c r="AY544" s="159"/>
      <c r="AZ544" s="159"/>
      <c r="BA544" s="159"/>
    </row>
    <row r="545" spans="2:53" ht="17.399999999999999" customHeight="1">
      <c r="B545" s="159"/>
      <c r="C545" s="159"/>
      <c r="D545" s="159"/>
      <c r="E545" s="159"/>
      <c r="F545" s="159"/>
      <c r="G545" s="159"/>
      <c r="H545" s="159"/>
      <c r="I545" s="159"/>
      <c r="J545" s="224"/>
      <c r="K545" s="159"/>
      <c r="L545" s="159"/>
      <c r="M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c r="AT545" s="159"/>
      <c r="AU545" s="159"/>
      <c r="AV545" s="159"/>
      <c r="AW545" s="159"/>
      <c r="AX545" s="159"/>
      <c r="AY545" s="159"/>
      <c r="AZ545" s="159"/>
      <c r="BA545" s="159"/>
    </row>
    <row r="546" spans="2:53" ht="17.399999999999999" customHeight="1">
      <c r="B546" s="159"/>
      <c r="C546" s="159"/>
      <c r="D546" s="159"/>
      <c r="E546" s="159"/>
      <c r="F546" s="159"/>
      <c r="G546" s="159"/>
      <c r="H546" s="159"/>
      <c r="I546" s="159"/>
      <c r="J546" s="224"/>
      <c r="K546" s="159"/>
      <c r="L546" s="159"/>
      <c r="M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c r="AR546" s="159"/>
      <c r="AS546" s="159"/>
      <c r="AT546" s="159"/>
      <c r="AU546" s="159"/>
      <c r="AV546" s="159"/>
      <c r="AW546" s="159"/>
      <c r="AX546" s="159"/>
      <c r="AY546" s="159"/>
      <c r="AZ546" s="159"/>
      <c r="BA546" s="159"/>
    </row>
    <row r="547" spans="2:53" ht="17.399999999999999" customHeight="1">
      <c r="B547" s="159"/>
      <c r="C547" s="159"/>
      <c r="D547" s="159"/>
      <c r="E547" s="159"/>
      <c r="F547" s="159"/>
      <c r="G547" s="159"/>
      <c r="H547" s="159"/>
      <c r="I547" s="159"/>
      <c r="J547" s="224"/>
      <c r="K547" s="159"/>
      <c r="L547" s="159"/>
      <c r="M547" s="159"/>
      <c r="O547" s="159"/>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c r="AR547" s="159"/>
      <c r="AS547" s="159"/>
      <c r="AT547" s="159"/>
      <c r="AU547" s="159"/>
      <c r="AV547" s="159"/>
      <c r="AW547" s="159"/>
      <c r="AX547" s="159"/>
      <c r="AY547" s="159"/>
      <c r="AZ547" s="159"/>
      <c r="BA547" s="159"/>
    </row>
    <row r="548" spans="2:53" ht="17.399999999999999" customHeight="1">
      <c r="B548" s="159"/>
      <c r="C548" s="159"/>
      <c r="D548" s="159"/>
      <c r="E548" s="159"/>
      <c r="F548" s="159"/>
      <c r="G548" s="159"/>
      <c r="H548" s="159"/>
      <c r="I548" s="159"/>
      <c r="J548" s="224"/>
      <c r="K548" s="159"/>
      <c r="L548" s="159"/>
      <c r="M548" s="159"/>
      <c r="O548" s="159"/>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c r="AR548" s="159"/>
      <c r="AS548" s="159"/>
      <c r="AT548" s="159"/>
      <c r="AU548" s="159"/>
      <c r="AV548" s="159"/>
      <c r="AW548" s="159"/>
      <c r="AX548" s="159"/>
      <c r="AY548" s="159"/>
      <c r="AZ548" s="159"/>
      <c r="BA548" s="159"/>
    </row>
    <row r="549" spans="2:53" ht="17.399999999999999" customHeight="1">
      <c r="B549" s="159"/>
      <c r="C549" s="159"/>
      <c r="D549" s="159"/>
      <c r="E549" s="159"/>
      <c r="F549" s="159"/>
      <c r="G549" s="159"/>
      <c r="H549" s="159"/>
      <c r="I549" s="159"/>
      <c r="J549" s="224"/>
      <c r="K549" s="159"/>
      <c r="L549" s="159"/>
      <c r="M549" s="159"/>
      <c r="O549" s="159"/>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c r="AR549" s="159"/>
      <c r="AS549" s="159"/>
      <c r="AT549" s="159"/>
      <c r="AU549" s="159"/>
      <c r="AV549" s="159"/>
      <c r="AW549" s="159"/>
      <c r="AX549" s="159"/>
      <c r="AY549" s="159"/>
      <c r="AZ549" s="159"/>
      <c r="BA549" s="159"/>
    </row>
    <row r="550" spans="2:53" ht="17.399999999999999" customHeight="1">
      <c r="B550" s="159"/>
      <c r="C550" s="159"/>
      <c r="D550" s="159"/>
      <c r="E550" s="159"/>
      <c r="F550" s="159"/>
      <c r="G550" s="159"/>
      <c r="H550" s="159"/>
      <c r="I550" s="159"/>
      <c r="J550" s="224"/>
      <c r="K550" s="159"/>
      <c r="L550" s="159"/>
      <c r="M550" s="159"/>
      <c r="O550" s="159"/>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c r="AR550" s="159"/>
      <c r="AS550" s="159"/>
      <c r="AT550" s="159"/>
      <c r="AU550" s="159"/>
      <c r="AV550" s="159"/>
      <c r="AW550" s="159"/>
      <c r="AX550" s="159"/>
      <c r="AY550" s="159"/>
      <c r="AZ550" s="159"/>
      <c r="BA550" s="159"/>
    </row>
    <row r="551" spans="2:53" ht="17.399999999999999" customHeight="1">
      <c r="B551" s="159"/>
      <c r="C551" s="159"/>
      <c r="D551" s="159"/>
      <c r="E551" s="159"/>
      <c r="F551" s="159"/>
      <c r="G551" s="159"/>
      <c r="H551" s="159"/>
      <c r="I551" s="159"/>
      <c r="J551" s="224"/>
      <c r="K551" s="159"/>
      <c r="L551" s="159"/>
      <c r="M551" s="159"/>
      <c r="O551" s="159"/>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c r="AR551" s="159"/>
      <c r="AS551" s="159"/>
      <c r="AT551" s="159"/>
      <c r="AU551" s="159"/>
      <c r="AV551" s="159"/>
      <c r="AW551" s="159"/>
      <c r="AX551" s="159"/>
      <c r="AY551" s="159"/>
      <c r="AZ551" s="159"/>
      <c r="BA551" s="159"/>
    </row>
    <row r="552" spans="2:53" ht="17.399999999999999" customHeight="1">
      <c r="B552" s="159"/>
      <c r="C552" s="159"/>
      <c r="D552" s="159"/>
      <c r="E552" s="159"/>
      <c r="F552" s="159"/>
      <c r="G552" s="159"/>
      <c r="H552" s="159"/>
      <c r="I552" s="159"/>
      <c r="J552" s="224"/>
      <c r="K552" s="159"/>
      <c r="L552" s="159"/>
      <c r="M552" s="15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c r="AR552" s="159"/>
      <c r="AS552" s="159"/>
      <c r="AT552" s="159"/>
      <c r="AU552" s="159"/>
      <c r="AV552" s="159"/>
      <c r="AW552" s="159"/>
      <c r="AX552" s="159"/>
      <c r="AY552" s="159"/>
      <c r="AZ552" s="159"/>
      <c r="BA552" s="159"/>
    </row>
    <row r="553" spans="2:53" ht="17.399999999999999" customHeight="1">
      <c r="B553" s="159"/>
      <c r="C553" s="159"/>
      <c r="D553" s="159"/>
      <c r="E553" s="159"/>
      <c r="F553" s="159"/>
      <c r="G553" s="159"/>
      <c r="H553" s="159"/>
      <c r="I553" s="159"/>
      <c r="J553" s="224"/>
      <c r="K553" s="159"/>
      <c r="L553" s="159"/>
      <c r="M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c r="AR553" s="159"/>
      <c r="AS553" s="159"/>
      <c r="AT553" s="159"/>
      <c r="AU553" s="159"/>
      <c r="AV553" s="159"/>
      <c r="AW553" s="159"/>
      <c r="AX553" s="159"/>
      <c r="AY553" s="159"/>
      <c r="AZ553" s="159"/>
      <c r="BA553" s="159"/>
    </row>
    <row r="554" spans="2:53" ht="17.399999999999999" customHeight="1">
      <c r="B554" s="159"/>
      <c r="C554" s="159"/>
      <c r="D554" s="159"/>
      <c r="E554" s="159"/>
      <c r="F554" s="159"/>
      <c r="G554" s="159"/>
      <c r="H554" s="159"/>
      <c r="I554" s="159"/>
      <c r="J554" s="224"/>
      <c r="K554" s="159"/>
      <c r="L554" s="159"/>
      <c r="M554" s="159"/>
      <c r="O554" s="159"/>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c r="AR554" s="159"/>
      <c r="AS554" s="159"/>
      <c r="AT554" s="159"/>
      <c r="AU554" s="159"/>
      <c r="AV554" s="159"/>
      <c r="AW554" s="159"/>
      <c r="AX554" s="159"/>
      <c r="AY554" s="159"/>
      <c r="AZ554" s="159"/>
      <c r="BA554" s="159"/>
    </row>
    <row r="555" spans="2:53" ht="17.399999999999999" customHeight="1">
      <c r="B555" s="159"/>
      <c r="C555" s="159"/>
      <c r="D555" s="159"/>
      <c r="E555" s="159"/>
      <c r="F555" s="159"/>
      <c r="G555" s="159"/>
      <c r="H555" s="159"/>
      <c r="I555" s="159"/>
      <c r="J555" s="224"/>
      <c r="K555" s="159"/>
      <c r="L555" s="159"/>
      <c r="M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c r="AR555" s="159"/>
      <c r="AS555" s="159"/>
      <c r="AT555" s="159"/>
      <c r="AU555" s="159"/>
      <c r="AV555" s="159"/>
      <c r="AW555" s="159"/>
      <c r="AX555" s="159"/>
      <c r="AY555" s="159"/>
      <c r="AZ555" s="159"/>
      <c r="BA555" s="159"/>
    </row>
    <row r="556" spans="2:53" ht="17.399999999999999" customHeight="1">
      <c r="B556" s="159"/>
      <c r="C556" s="159"/>
      <c r="D556" s="159"/>
      <c r="E556" s="159"/>
      <c r="F556" s="159"/>
      <c r="G556" s="159"/>
      <c r="H556" s="159"/>
      <c r="I556" s="159"/>
      <c r="J556" s="224"/>
      <c r="K556" s="159"/>
      <c r="L556" s="159"/>
      <c r="M556" s="159"/>
      <c r="O556" s="159"/>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c r="AR556" s="159"/>
      <c r="AS556" s="159"/>
      <c r="AT556" s="159"/>
      <c r="AU556" s="159"/>
      <c r="AV556" s="159"/>
      <c r="AW556" s="159"/>
      <c r="AX556" s="159"/>
      <c r="AY556" s="159"/>
      <c r="AZ556" s="159"/>
      <c r="BA556" s="159"/>
    </row>
    <row r="557" spans="2:53" ht="17.399999999999999" customHeight="1">
      <c r="B557" s="159"/>
      <c r="C557" s="159"/>
      <c r="D557" s="159"/>
      <c r="E557" s="159"/>
      <c r="F557" s="159"/>
      <c r="G557" s="159"/>
      <c r="H557" s="159"/>
      <c r="I557" s="159"/>
      <c r="J557" s="224"/>
      <c r="K557" s="159"/>
      <c r="L557" s="159"/>
      <c r="M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c r="AT557" s="159"/>
      <c r="AU557" s="159"/>
      <c r="AV557" s="159"/>
      <c r="AW557" s="159"/>
      <c r="AX557" s="159"/>
      <c r="AY557" s="159"/>
      <c r="AZ557" s="159"/>
      <c r="BA557" s="159"/>
    </row>
    <row r="558" spans="2:53" ht="17.399999999999999" customHeight="1">
      <c r="B558" s="159"/>
      <c r="C558" s="159"/>
      <c r="D558" s="159"/>
      <c r="E558" s="159"/>
      <c r="F558" s="159"/>
      <c r="G558" s="159"/>
      <c r="H558" s="159"/>
      <c r="I558" s="159"/>
      <c r="J558" s="224"/>
      <c r="K558" s="159"/>
      <c r="L558" s="159"/>
      <c r="M558" s="159"/>
      <c r="O558" s="159"/>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c r="AR558" s="159"/>
      <c r="AS558" s="159"/>
      <c r="AT558" s="159"/>
      <c r="AU558" s="159"/>
      <c r="AV558" s="159"/>
      <c r="AW558" s="159"/>
      <c r="AX558" s="159"/>
      <c r="AY558" s="159"/>
      <c r="AZ558" s="159"/>
      <c r="BA558" s="159"/>
    </row>
    <row r="559" spans="2:53" ht="17.399999999999999" customHeight="1">
      <c r="B559" s="159"/>
      <c r="C559" s="159"/>
      <c r="D559" s="159"/>
      <c r="E559" s="159"/>
      <c r="F559" s="159"/>
      <c r="G559" s="159"/>
      <c r="H559" s="159"/>
      <c r="I559" s="159"/>
      <c r="J559" s="224"/>
      <c r="K559" s="159"/>
      <c r="L559" s="159"/>
      <c r="M559" s="159"/>
      <c r="O559" s="159"/>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c r="AR559" s="159"/>
      <c r="AS559" s="159"/>
      <c r="AT559" s="159"/>
      <c r="AU559" s="159"/>
      <c r="AV559" s="159"/>
      <c r="AW559" s="159"/>
      <c r="AX559" s="159"/>
      <c r="AY559" s="159"/>
      <c r="AZ559" s="159"/>
      <c r="BA559" s="159"/>
    </row>
    <row r="560" spans="2:53" ht="17.399999999999999" customHeight="1">
      <c r="B560" s="159"/>
      <c r="C560" s="159"/>
      <c r="D560" s="159"/>
      <c r="E560" s="159"/>
      <c r="F560" s="159"/>
      <c r="G560" s="159"/>
      <c r="H560" s="159"/>
      <c r="I560" s="159"/>
      <c r="J560" s="224"/>
      <c r="K560" s="159"/>
      <c r="L560" s="159"/>
      <c r="M560" s="159"/>
      <c r="O560" s="159"/>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c r="AR560" s="159"/>
      <c r="AS560" s="159"/>
      <c r="AT560" s="159"/>
      <c r="AU560" s="159"/>
      <c r="AV560" s="159"/>
      <c r="AW560" s="159"/>
      <c r="AX560" s="159"/>
      <c r="AY560" s="159"/>
      <c r="AZ560" s="159"/>
      <c r="BA560" s="159"/>
    </row>
    <row r="561" spans="2:53" ht="17.399999999999999" customHeight="1">
      <c r="B561" s="159"/>
      <c r="C561" s="159"/>
      <c r="D561" s="159"/>
      <c r="E561" s="159"/>
      <c r="F561" s="159"/>
      <c r="G561" s="159"/>
      <c r="H561" s="159"/>
      <c r="I561" s="159"/>
      <c r="J561" s="224"/>
      <c r="K561" s="159"/>
      <c r="L561" s="159"/>
      <c r="M561" s="159"/>
      <c r="O561" s="159"/>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c r="AR561" s="159"/>
      <c r="AS561" s="159"/>
      <c r="AT561" s="159"/>
      <c r="AU561" s="159"/>
      <c r="AV561" s="159"/>
      <c r="AW561" s="159"/>
      <c r="AX561" s="159"/>
      <c r="AY561" s="159"/>
      <c r="AZ561" s="159"/>
      <c r="BA561" s="159"/>
    </row>
    <row r="562" spans="2:53" ht="17.399999999999999" customHeight="1">
      <c r="B562" s="159"/>
      <c r="C562" s="159"/>
      <c r="D562" s="159"/>
      <c r="E562" s="159"/>
      <c r="F562" s="159"/>
      <c r="G562" s="159"/>
      <c r="H562" s="159"/>
      <c r="I562" s="159"/>
      <c r="J562" s="224"/>
      <c r="K562" s="159"/>
      <c r="L562" s="159"/>
      <c r="M562" s="159"/>
      <c r="O562" s="159"/>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c r="AR562" s="159"/>
      <c r="AS562" s="159"/>
      <c r="AT562" s="159"/>
      <c r="AU562" s="159"/>
      <c r="AV562" s="159"/>
      <c r="AW562" s="159"/>
      <c r="AX562" s="159"/>
      <c r="AY562" s="159"/>
      <c r="AZ562" s="159"/>
      <c r="BA562" s="159"/>
    </row>
    <row r="563" spans="2:53" ht="17.399999999999999" customHeight="1">
      <c r="B563" s="159"/>
      <c r="C563" s="159"/>
      <c r="D563" s="159"/>
      <c r="E563" s="159"/>
      <c r="F563" s="159"/>
      <c r="G563" s="159"/>
      <c r="H563" s="159"/>
      <c r="I563" s="159"/>
      <c r="J563" s="224"/>
      <c r="K563" s="159"/>
      <c r="L563" s="159"/>
      <c r="M563" s="159"/>
      <c r="O563" s="159"/>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c r="AR563" s="159"/>
      <c r="AS563" s="159"/>
      <c r="AT563" s="159"/>
      <c r="AU563" s="159"/>
      <c r="AV563" s="159"/>
      <c r="AW563" s="159"/>
      <c r="AX563" s="159"/>
      <c r="AY563" s="159"/>
      <c r="AZ563" s="159"/>
      <c r="BA563" s="159"/>
    </row>
    <row r="564" spans="2:53" ht="17.399999999999999" customHeight="1">
      <c r="B564" s="159"/>
      <c r="C564" s="159"/>
      <c r="D564" s="159"/>
      <c r="E564" s="159"/>
      <c r="F564" s="159"/>
      <c r="G564" s="159"/>
      <c r="H564" s="159"/>
      <c r="I564" s="159"/>
      <c r="J564" s="224"/>
      <c r="K564" s="159"/>
      <c r="L564" s="159"/>
      <c r="M564" s="159"/>
      <c r="O564" s="159"/>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c r="AR564" s="159"/>
      <c r="AS564" s="159"/>
      <c r="AT564" s="159"/>
      <c r="AU564" s="159"/>
      <c r="AV564" s="159"/>
      <c r="AW564" s="159"/>
      <c r="AX564" s="159"/>
      <c r="AY564" s="159"/>
      <c r="AZ564" s="159"/>
      <c r="BA564" s="159"/>
    </row>
    <row r="565" spans="2:53" ht="17.399999999999999" customHeight="1">
      <c r="B565" s="159"/>
      <c r="C565" s="159"/>
      <c r="D565" s="159"/>
      <c r="E565" s="159"/>
      <c r="F565" s="159"/>
      <c r="G565" s="159"/>
      <c r="H565" s="159"/>
      <c r="I565" s="159"/>
      <c r="J565" s="224"/>
      <c r="K565" s="159"/>
      <c r="L565" s="159"/>
      <c r="M565" s="159"/>
      <c r="O565" s="159"/>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c r="AP565" s="159"/>
      <c r="AQ565" s="159"/>
      <c r="AR565" s="159"/>
      <c r="AS565" s="159"/>
      <c r="AT565" s="159"/>
      <c r="AU565" s="159"/>
      <c r="AV565" s="159"/>
      <c r="AW565" s="159"/>
      <c r="AX565" s="159"/>
      <c r="AY565" s="159"/>
      <c r="AZ565" s="159"/>
      <c r="BA565" s="159"/>
    </row>
    <row r="566" spans="2:53" ht="17.399999999999999" customHeight="1">
      <c r="B566" s="159"/>
      <c r="C566" s="159"/>
      <c r="D566" s="159"/>
      <c r="E566" s="159"/>
      <c r="F566" s="159"/>
      <c r="G566" s="159"/>
      <c r="H566" s="159"/>
      <c r="I566" s="159"/>
      <c r="J566" s="224"/>
      <c r="K566" s="159"/>
      <c r="L566" s="159"/>
      <c r="M566" s="159"/>
      <c r="O566" s="159"/>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c r="AR566" s="159"/>
      <c r="AS566" s="159"/>
      <c r="AT566" s="159"/>
      <c r="AU566" s="159"/>
      <c r="AV566" s="159"/>
      <c r="AW566" s="159"/>
      <c r="AX566" s="159"/>
      <c r="AY566" s="159"/>
      <c r="AZ566" s="159"/>
      <c r="BA566" s="159"/>
    </row>
    <row r="567" spans="2:53" ht="17.399999999999999" customHeight="1">
      <c r="B567" s="159"/>
      <c r="C567" s="159"/>
      <c r="D567" s="159"/>
      <c r="E567" s="159"/>
      <c r="F567" s="159"/>
      <c r="G567" s="159"/>
      <c r="H567" s="159"/>
      <c r="I567" s="159"/>
      <c r="J567" s="224"/>
      <c r="K567" s="159"/>
      <c r="L567" s="159"/>
      <c r="M567" s="159"/>
      <c r="O567" s="159"/>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c r="AR567" s="159"/>
      <c r="AS567" s="159"/>
      <c r="AT567" s="159"/>
      <c r="AU567" s="159"/>
      <c r="AV567" s="159"/>
      <c r="AW567" s="159"/>
      <c r="AX567" s="159"/>
      <c r="AY567" s="159"/>
      <c r="AZ567" s="159"/>
      <c r="BA567" s="159"/>
    </row>
    <row r="568" spans="2:53" ht="17.399999999999999" customHeight="1">
      <c r="B568" s="159"/>
      <c r="C568" s="159"/>
      <c r="D568" s="159"/>
      <c r="E568" s="159"/>
      <c r="F568" s="159"/>
      <c r="G568" s="159"/>
      <c r="H568" s="159"/>
      <c r="I568" s="159"/>
      <c r="J568" s="224"/>
      <c r="K568" s="159"/>
      <c r="L568" s="159"/>
      <c r="M568" s="159"/>
      <c r="O568" s="159"/>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c r="AR568" s="159"/>
      <c r="AS568" s="159"/>
      <c r="AT568" s="159"/>
      <c r="AU568" s="159"/>
      <c r="AV568" s="159"/>
      <c r="AW568" s="159"/>
      <c r="AX568" s="159"/>
      <c r="AY568" s="159"/>
      <c r="AZ568" s="159"/>
      <c r="BA568" s="159"/>
    </row>
    <row r="569" spans="2:53" ht="17.399999999999999" customHeight="1">
      <c r="B569" s="159"/>
      <c r="C569" s="159"/>
      <c r="D569" s="159"/>
      <c r="E569" s="159"/>
      <c r="F569" s="159"/>
      <c r="G569" s="159"/>
      <c r="H569" s="159"/>
      <c r="I569" s="159"/>
      <c r="J569" s="224"/>
      <c r="K569" s="159"/>
      <c r="L569" s="159"/>
      <c r="M569" s="159"/>
      <c r="O569" s="159"/>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c r="AR569" s="159"/>
      <c r="AS569" s="159"/>
      <c r="AT569" s="159"/>
      <c r="AU569" s="159"/>
      <c r="AV569" s="159"/>
      <c r="AW569" s="159"/>
      <c r="AX569" s="159"/>
      <c r="AY569" s="159"/>
      <c r="AZ569" s="159"/>
      <c r="BA569" s="159"/>
    </row>
    <row r="570" spans="2:53" ht="17.399999999999999" customHeight="1">
      <c r="B570" s="159"/>
      <c r="C570" s="159"/>
      <c r="D570" s="159"/>
      <c r="E570" s="159"/>
      <c r="F570" s="159"/>
      <c r="G570" s="159"/>
      <c r="H570" s="159"/>
      <c r="I570" s="159"/>
      <c r="J570" s="224"/>
      <c r="K570" s="159"/>
      <c r="L570" s="159"/>
      <c r="M570" s="159"/>
      <c r="O570" s="159"/>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c r="AR570" s="159"/>
      <c r="AS570" s="159"/>
      <c r="AT570" s="159"/>
      <c r="AU570" s="159"/>
      <c r="AV570" s="159"/>
      <c r="AW570" s="159"/>
      <c r="AX570" s="159"/>
      <c r="AY570" s="159"/>
      <c r="AZ570" s="159"/>
      <c r="BA570" s="159"/>
    </row>
    <row r="571" spans="2:53" ht="17.399999999999999" customHeight="1">
      <c r="B571" s="159"/>
      <c r="C571" s="159"/>
      <c r="D571" s="159"/>
      <c r="E571" s="159"/>
      <c r="F571" s="159"/>
      <c r="G571" s="159"/>
      <c r="H571" s="159"/>
      <c r="I571" s="159"/>
      <c r="J571" s="224"/>
      <c r="K571" s="159"/>
      <c r="L571" s="159"/>
      <c r="M571" s="159"/>
      <c r="O571" s="159"/>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c r="AR571" s="159"/>
      <c r="AS571" s="159"/>
      <c r="AT571" s="159"/>
      <c r="AU571" s="159"/>
      <c r="AV571" s="159"/>
      <c r="AW571" s="159"/>
      <c r="AX571" s="159"/>
      <c r="AY571" s="159"/>
      <c r="AZ571" s="159"/>
      <c r="BA571" s="159"/>
    </row>
    <row r="572" spans="2:53" ht="17.399999999999999" customHeight="1">
      <c r="B572" s="159"/>
      <c r="C572" s="159"/>
      <c r="D572" s="159"/>
      <c r="E572" s="159"/>
      <c r="F572" s="159"/>
      <c r="G572" s="159"/>
      <c r="H572" s="159"/>
      <c r="I572" s="159"/>
      <c r="J572" s="224"/>
      <c r="K572" s="159"/>
      <c r="L572" s="159"/>
      <c r="M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c r="AR572" s="159"/>
      <c r="AS572" s="159"/>
      <c r="AT572" s="159"/>
      <c r="AU572" s="159"/>
      <c r="AV572" s="159"/>
      <c r="AW572" s="159"/>
      <c r="AX572" s="159"/>
      <c r="AY572" s="159"/>
      <c r="AZ572" s="159"/>
      <c r="BA572" s="159"/>
    </row>
    <row r="573" spans="2:53" ht="17.399999999999999" customHeight="1">
      <c r="B573" s="159"/>
      <c r="C573" s="159"/>
      <c r="D573" s="159"/>
      <c r="E573" s="159"/>
      <c r="F573" s="159"/>
      <c r="G573" s="159"/>
      <c r="H573" s="159"/>
      <c r="I573" s="159"/>
      <c r="J573" s="224"/>
      <c r="K573" s="159"/>
      <c r="L573" s="159"/>
      <c r="M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c r="AR573" s="159"/>
      <c r="AS573" s="159"/>
      <c r="AT573" s="159"/>
      <c r="AU573" s="159"/>
      <c r="AV573" s="159"/>
      <c r="AW573" s="159"/>
      <c r="AX573" s="159"/>
      <c r="AY573" s="159"/>
      <c r="AZ573" s="159"/>
      <c r="BA573" s="159"/>
    </row>
    <row r="574" spans="2:53" ht="17.399999999999999" customHeight="1">
      <c r="B574" s="159"/>
      <c r="C574" s="159"/>
      <c r="D574" s="159"/>
      <c r="E574" s="159"/>
      <c r="F574" s="159"/>
      <c r="G574" s="159"/>
      <c r="H574" s="159"/>
      <c r="I574" s="159"/>
      <c r="J574" s="224"/>
      <c r="K574" s="159"/>
      <c r="L574" s="159"/>
      <c r="M574" s="159"/>
      <c r="O574" s="159"/>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c r="AR574" s="159"/>
      <c r="AS574" s="159"/>
      <c r="AT574" s="159"/>
      <c r="AU574" s="159"/>
      <c r="AV574" s="159"/>
      <c r="AW574" s="159"/>
      <c r="AX574" s="159"/>
      <c r="AY574" s="159"/>
      <c r="AZ574" s="159"/>
      <c r="BA574" s="159"/>
    </row>
    <row r="575" spans="2:53" ht="17.399999999999999" customHeight="1">
      <c r="B575" s="159"/>
      <c r="C575" s="159"/>
      <c r="D575" s="159"/>
      <c r="E575" s="159"/>
      <c r="F575" s="159"/>
      <c r="G575" s="159"/>
      <c r="H575" s="159"/>
      <c r="I575" s="159"/>
      <c r="J575" s="224"/>
      <c r="K575" s="159"/>
      <c r="L575" s="159"/>
      <c r="M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c r="AR575" s="159"/>
      <c r="AS575" s="159"/>
      <c r="AT575" s="159"/>
      <c r="AU575" s="159"/>
      <c r="AV575" s="159"/>
      <c r="AW575" s="159"/>
      <c r="AX575" s="159"/>
      <c r="AY575" s="159"/>
      <c r="AZ575" s="159"/>
      <c r="BA575" s="159"/>
    </row>
    <row r="576" spans="2:53" ht="17.399999999999999" customHeight="1">
      <c r="B576" s="159"/>
      <c r="C576" s="159"/>
      <c r="D576" s="159"/>
      <c r="E576" s="159"/>
      <c r="F576" s="159"/>
      <c r="G576" s="159"/>
      <c r="H576" s="159"/>
      <c r="I576" s="159"/>
      <c r="J576" s="224"/>
      <c r="K576" s="159"/>
      <c r="L576" s="159"/>
      <c r="M576" s="159"/>
      <c r="O576" s="159"/>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c r="AR576" s="159"/>
      <c r="AS576" s="159"/>
      <c r="AT576" s="159"/>
      <c r="AU576" s="159"/>
      <c r="AV576" s="159"/>
      <c r="AW576" s="159"/>
      <c r="AX576" s="159"/>
      <c r="AY576" s="159"/>
      <c r="AZ576" s="159"/>
      <c r="BA576" s="159"/>
    </row>
    <row r="577" spans="2:53" ht="17.399999999999999" customHeight="1">
      <c r="B577" s="159"/>
      <c r="C577" s="159"/>
      <c r="D577" s="159"/>
      <c r="E577" s="159"/>
      <c r="F577" s="159"/>
      <c r="G577" s="159"/>
      <c r="H577" s="159"/>
      <c r="I577" s="159"/>
      <c r="J577" s="224"/>
      <c r="K577" s="159"/>
      <c r="L577" s="159"/>
      <c r="M577" s="159"/>
      <c r="O577" s="159"/>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c r="AR577" s="159"/>
      <c r="AS577" s="159"/>
      <c r="AT577" s="159"/>
      <c r="AU577" s="159"/>
      <c r="AV577" s="159"/>
      <c r="AW577" s="159"/>
      <c r="AX577" s="159"/>
      <c r="AY577" s="159"/>
      <c r="AZ577" s="159"/>
      <c r="BA577" s="159"/>
    </row>
    <row r="578" spans="2:53" ht="17.399999999999999" customHeight="1">
      <c r="B578" s="159"/>
      <c r="C578" s="159"/>
      <c r="D578" s="159"/>
      <c r="E578" s="159"/>
      <c r="F578" s="159"/>
      <c r="G578" s="159"/>
      <c r="H578" s="159"/>
      <c r="I578" s="159"/>
      <c r="J578" s="224"/>
      <c r="K578" s="159"/>
      <c r="L578" s="159"/>
      <c r="M578" s="159"/>
      <c r="O578" s="159"/>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c r="AP578" s="159"/>
      <c r="AQ578" s="159"/>
      <c r="AR578" s="159"/>
      <c r="AS578" s="159"/>
      <c r="AT578" s="159"/>
      <c r="AU578" s="159"/>
      <c r="AV578" s="159"/>
      <c r="AW578" s="159"/>
      <c r="AX578" s="159"/>
      <c r="AY578" s="159"/>
      <c r="AZ578" s="159"/>
      <c r="BA578" s="159"/>
    </row>
    <row r="579" spans="2:53" ht="17.399999999999999" customHeight="1">
      <c r="B579" s="159"/>
      <c r="C579" s="159"/>
      <c r="D579" s="159"/>
      <c r="E579" s="159"/>
      <c r="F579" s="159"/>
      <c r="G579" s="159"/>
      <c r="H579" s="159"/>
      <c r="I579" s="159"/>
      <c r="J579" s="224"/>
      <c r="K579" s="159"/>
      <c r="L579" s="159"/>
      <c r="M579" s="159"/>
      <c r="O579" s="159"/>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c r="AR579" s="159"/>
      <c r="AS579" s="159"/>
      <c r="AT579" s="159"/>
      <c r="AU579" s="159"/>
      <c r="AV579" s="159"/>
      <c r="AW579" s="159"/>
      <c r="AX579" s="159"/>
      <c r="AY579" s="159"/>
      <c r="AZ579" s="159"/>
      <c r="BA579" s="159"/>
    </row>
    <row r="580" spans="2:53" ht="17.399999999999999" customHeight="1">
      <c r="B580" s="159"/>
      <c r="C580" s="159"/>
      <c r="D580" s="159"/>
      <c r="E580" s="159"/>
      <c r="F580" s="159"/>
      <c r="G580" s="159"/>
      <c r="H580" s="159"/>
      <c r="I580" s="159"/>
      <c r="J580" s="224"/>
      <c r="K580" s="159"/>
      <c r="L580" s="159"/>
      <c r="M580" s="159"/>
      <c r="O580" s="159"/>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c r="AR580" s="159"/>
      <c r="AS580" s="159"/>
      <c r="AT580" s="159"/>
      <c r="AU580" s="159"/>
      <c r="AV580" s="159"/>
      <c r="AW580" s="159"/>
      <c r="AX580" s="159"/>
      <c r="AY580" s="159"/>
      <c r="AZ580" s="159"/>
      <c r="BA580" s="159"/>
    </row>
    <row r="581" spans="2:53" ht="17.399999999999999" customHeight="1">
      <c r="B581" s="159"/>
      <c r="C581" s="159"/>
      <c r="D581" s="159"/>
      <c r="E581" s="159"/>
      <c r="F581" s="159"/>
      <c r="G581" s="159"/>
      <c r="H581" s="159"/>
      <c r="I581" s="159"/>
      <c r="J581" s="224"/>
      <c r="K581" s="159"/>
      <c r="L581" s="159"/>
      <c r="M581" s="159"/>
      <c r="O581" s="159"/>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c r="AR581" s="159"/>
      <c r="AS581" s="159"/>
      <c r="AT581" s="159"/>
      <c r="AU581" s="159"/>
      <c r="AV581" s="159"/>
      <c r="AW581" s="159"/>
      <c r="AX581" s="159"/>
      <c r="AY581" s="159"/>
      <c r="AZ581" s="159"/>
      <c r="BA581" s="159"/>
    </row>
    <row r="582" spans="2:53" ht="17.399999999999999" customHeight="1">
      <c r="B582" s="159"/>
      <c r="C582" s="159"/>
      <c r="D582" s="159"/>
      <c r="E582" s="159"/>
      <c r="F582" s="159"/>
      <c r="G582" s="159"/>
      <c r="H582" s="159"/>
      <c r="I582" s="159"/>
      <c r="J582" s="224"/>
      <c r="K582" s="159"/>
      <c r="L582" s="159"/>
      <c r="M582" s="159"/>
      <c r="O582" s="159"/>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c r="AR582" s="159"/>
      <c r="AS582" s="159"/>
      <c r="AT582" s="159"/>
      <c r="AU582" s="159"/>
      <c r="AV582" s="159"/>
      <c r="AW582" s="159"/>
      <c r="AX582" s="159"/>
      <c r="AY582" s="159"/>
      <c r="AZ582" s="159"/>
      <c r="BA582" s="159"/>
    </row>
    <row r="583" spans="2:53" ht="17.399999999999999" customHeight="1">
      <c r="B583" s="159"/>
      <c r="C583" s="159"/>
      <c r="D583" s="159"/>
      <c r="E583" s="159"/>
      <c r="F583" s="159"/>
      <c r="G583" s="159"/>
      <c r="H583" s="159"/>
      <c r="I583" s="159"/>
      <c r="J583" s="224"/>
      <c r="K583" s="159"/>
      <c r="L583" s="159"/>
      <c r="M583" s="159"/>
      <c r="O583" s="159"/>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c r="AR583" s="159"/>
      <c r="AS583" s="159"/>
      <c r="AT583" s="159"/>
      <c r="AU583" s="159"/>
      <c r="AV583" s="159"/>
      <c r="AW583" s="159"/>
      <c r="AX583" s="159"/>
      <c r="AY583" s="159"/>
      <c r="AZ583" s="159"/>
      <c r="BA583" s="159"/>
    </row>
    <row r="584" spans="2:53" ht="17.399999999999999" customHeight="1">
      <c r="B584" s="159"/>
      <c r="C584" s="159"/>
      <c r="D584" s="159"/>
      <c r="E584" s="159"/>
      <c r="F584" s="159"/>
      <c r="G584" s="159"/>
      <c r="H584" s="159"/>
      <c r="I584" s="159"/>
      <c r="J584" s="224"/>
      <c r="K584" s="159"/>
      <c r="L584" s="159"/>
      <c r="M584" s="159"/>
      <c r="O584" s="159"/>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c r="AP584" s="159"/>
      <c r="AQ584" s="159"/>
      <c r="AR584" s="159"/>
      <c r="AS584" s="159"/>
      <c r="AT584" s="159"/>
      <c r="AU584" s="159"/>
      <c r="AV584" s="159"/>
      <c r="AW584" s="159"/>
      <c r="AX584" s="159"/>
      <c r="AY584" s="159"/>
      <c r="AZ584" s="159"/>
      <c r="BA584" s="159"/>
    </row>
    <row r="585" spans="2:53" ht="17.399999999999999" customHeight="1">
      <c r="B585" s="159"/>
      <c r="C585" s="159"/>
      <c r="D585" s="159"/>
      <c r="E585" s="159"/>
      <c r="F585" s="159"/>
      <c r="G585" s="159"/>
      <c r="H585" s="159"/>
      <c r="I585" s="159"/>
      <c r="J585" s="224"/>
      <c r="K585" s="159"/>
      <c r="L585" s="159"/>
      <c r="M585" s="159"/>
      <c r="O585" s="159"/>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c r="AR585" s="159"/>
      <c r="AS585" s="159"/>
      <c r="AT585" s="159"/>
      <c r="AU585" s="159"/>
      <c r="AV585" s="159"/>
      <c r="AW585" s="159"/>
      <c r="AX585" s="159"/>
      <c r="AY585" s="159"/>
      <c r="AZ585" s="159"/>
      <c r="BA585" s="159"/>
    </row>
    <row r="586" spans="2:53" ht="17.399999999999999" customHeight="1">
      <c r="B586" s="159"/>
      <c r="C586" s="159"/>
      <c r="D586" s="159"/>
      <c r="E586" s="159"/>
      <c r="F586" s="159"/>
      <c r="G586" s="159"/>
      <c r="H586" s="159"/>
      <c r="I586" s="159"/>
      <c r="J586" s="224"/>
      <c r="K586" s="159"/>
      <c r="L586" s="159"/>
      <c r="M586" s="159"/>
      <c r="O586" s="159"/>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c r="AR586" s="159"/>
      <c r="AS586" s="159"/>
      <c r="AT586" s="159"/>
      <c r="AU586" s="159"/>
      <c r="AV586" s="159"/>
      <c r="AW586" s="159"/>
      <c r="AX586" s="159"/>
      <c r="AY586" s="159"/>
      <c r="AZ586" s="159"/>
      <c r="BA586" s="159"/>
    </row>
    <row r="587" spans="2:53" ht="17.399999999999999" customHeight="1">
      <c r="B587" s="159"/>
      <c r="C587" s="159"/>
      <c r="D587" s="159"/>
      <c r="E587" s="159"/>
      <c r="F587" s="159"/>
      <c r="G587" s="159"/>
      <c r="H587" s="159"/>
      <c r="I587" s="159"/>
      <c r="J587" s="224"/>
      <c r="K587" s="159"/>
      <c r="L587" s="159"/>
      <c r="M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c r="AR587" s="159"/>
      <c r="AS587" s="159"/>
      <c r="AT587" s="159"/>
      <c r="AU587" s="159"/>
      <c r="AV587" s="159"/>
      <c r="AW587" s="159"/>
      <c r="AX587" s="159"/>
      <c r="AY587" s="159"/>
      <c r="AZ587" s="159"/>
      <c r="BA587" s="159"/>
    </row>
    <row r="588" spans="2:53" ht="17.399999999999999" customHeight="1">
      <c r="B588" s="159"/>
      <c r="C588" s="159"/>
      <c r="D588" s="159"/>
      <c r="E588" s="159"/>
      <c r="F588" s="159"/>
      <c r="G588" s="159"/>
      <c r="H588" s="159"/>
      <c r="I588" s="159"/>
      <c r="J588" s="224"/>
      <c r="K588" s="159"/>
      <c r="L588" s="159"/>
      <c r="M588" s="159"/>
      <c r="O588" s="159"/>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c r="AT588" s="159"/>
      <c r="AU588" s="159"/>
      <c r="AV588" s="159"/>
      <c r="AW588" s="159"/>
      <c r="AX588" s="159"/>
      <c r="AY588" s="159"/>
      <c r="AZ588" s="159"/>
      <c r="BA588" s="159"/>
    </row>
    <row r="589" spans="2:53" ht="17.399999999999999" customHeight="1">
      <c r="B589" s="159"/>
      <c r="C589" s="159"/>
      <c r="D589" s="159"/>
      <c r="E589" s="159"/>
      <c r="F589" s="159"/>
      <c r="G589" s="159"/>
      <c r="H589" s="159"/>
      <c r="I589" s="159"/>
      <c r="J589" s="224"/>
      <c r="K589" s="159"/>
      <c r="L589" s="159"/>
      <c r="M589" s="159"/>
      <c r="O589" s="159"/>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c r="AR589" s="159"/>
      <c r="AS589" s="159"/>
      <c r="AT589" s="159"/>
      <c r="AU589" s="159"/>
      <c r="AV589" s="159"/>
      <c r="AW589" s="159"/>
      <c r="AX589" s="159"/>
      <c r="AY589" s="159"/>
      <c r="AZ589" s="159"/>
      <c r="BA589" s="159"/>
    </row>
    <row r="590" spans="2:53" ht="17.399999999999999" customHeight="1">
      <c r="B590" s="159"/>
      <c r="C590" s="159"/>
      <c r="D590" s="159"/>
      <c r="E590" s="159"/>
      <c r="F590" s="159"/>
      <c r="G590" s="159"/>
      <c r="H590" s="159"/>
      <c r="I590" s="159"/>
      <c r="J590" s="224"/>
      <c r="K590" s="159"/>
      <c r="L590" s="159"/>
      <c r="M590" s="159"/>
      <c r="O590" s="159"/>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c r="AT590" s="159"/>
      <c r="AU590" s="159"/>
      <c r="AV590" s="159"/>
      <c r="AW590" s="159"/>
      <c r="AX590" s="159"/>
      <c r="AY590" s="159"/>
      <c r="AZ590" s="159"/>
      <c r="BA590" s="159"/>
    </row>
    <row r="591" spans="2:53" ht="17.399999999999999" customHeight="1">
      <c r="B591" s="159"/>
      <c r="C591" s="159"/>
      <c r="D591" s="159"/>
      <c r="E591" s="159"/>
      <c r="F591" s="159"/>
      <c r="G591" s="159"/>
      <c r="H591" s="159"/>
      <c r="I591" s="159"/>
      <c r="J591" s="224"/>
      <c r="K591" s="159"/>
      <c r="L591" s="159"/>
      <c r="M591" s="159"/>
      <c r="O591" s="159"/>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c r="AP591" s="159"/>
      <c r="AQ591" s="159"/>
      <c r="AR591" s="159"/>
      <c r="AS591" s="159"/>
      <c r="AT591" s="159"/>
      <c r="AU591" s="159"/>
      <c r="AV591" s="159"/>
      <c r="AW591" s="159"/>
      <c r="AX591" s="159"/>
      <c r="AY591" s="159"/>
      <c r="AZ591" s="159"/>
      <c r="BA591" s="159"/>
    </row>
    <row r="592" spans="2:53" ht="17.399999999999999" customHeight="1">
      <c r="B592" s="159"/>
      <c r="C592" s="159"/>
      <c r="D592" s="159"/>
      <c r="E592" s="159"/>
      <c r="F592" s="159"/>
      <c r="G592" s="159"/>
      <c r="H592" s="159"/>
      <c r="I592" s="159"/>
      <c r="J592" s="224"/>
      <c r="K592" s="159"/>
      <c r="L592" s="159"/>
      <c r="M592" s="159"/>
      <c r="O592" s="159"/>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c r="AP592" s="159"/>
      <c r="AQ592" s="159"/>
      <c r="AR592" s="159"/>
      <c r="AS592" s="159"/>
      <c r="AT592" s="159"/>
      <c r="AU592" s="159"/>
      <c r="AV592" s="159"/>
      <c r="AW592" s="159"/>
      <c r="AX592" s="159"/>
      <c r="AY592" s="159"/>
      <c r="AZ592" s="159"/>
      <c r="BA592" s="159"/>
    </row>
    <row r="593" spans="2:53" ht="17.399999999999999" customHeight="1">
      <c r="B593" s="159"/>
      <c r="C593" s="159"/>
      <c r="D593" s="159"/>
      <c r="E593" s="159"/>
      <c r="F593" s="159"/>
      <c r="G593" s="159"/>
      <c r="H593" s="159"/>
      <c r="I593" s="159"/>
      <c r="J593" s="224"/>
      <c r="K593" s="159"/>
      <c r="L593" s="159"/>
      <c r="M593" s="159"/>
      <c r="O593" s="159"/>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c r="AP593" s="159"/>
      <c r="AQ593" s="159"/>
      <c r="AR593" s="159"/>
      <c r="AS593" s="159"/>
      <c r="AT593" s="159"/>
      <c r="AU593" s="159"/>
      <c r="AV593" s="159"/>
      <c r="AW593" s="159"/>
      <c r="AX593" s="159"/>
      <c r="AY593" s="159"/>
      <c r="AZ593" s="159"/>
      <c r="BA593" s="159"/>
    </row>
    <row r="594" spans="2:53" ht="17.399999999999999" customHeight="1">
      <c r="B594" s="159"/>
      <c r="C594" s="159"/>
      <c r="D594" s="159"/>
      <c r="E594" s="159"/>
      <c r="F594" s="159"/>
      <c r="G594" s="159"/>
      <c r="H594" s="159"/>
      <c r="I594" s="159"/>
      <c r="J594" s="224"/>
      <c r="K594" s="159"/>
      <c r="L594" s="159"/>
      <c r="M594" s="159"/>
      <c r="O594" s="159"/>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c r="AR594" s="159"/>
      <c r="AS594" s="159"/>
      <c r="AT594" s="159"/>
      <c r="AU594" s="159"/>
      <c r="AV594" s="159"/>
      <c r="AW594" s="159"/>
      <c r="AX594" s="159"/>
      <c r="AY594" s="159"/>
      <c r="AZ594" s="159"/>
      <c r="BA594" s="159"/>
    </row>
    <row r="595" spans="2:53" ht="17.399999999999999" customHeight="1">
      <c r="B595" s="159"/>
      <c r="C595" s="159"/>
      <c r="D595" s="159"/>
      <c r="E595" s="159"/>
      <c r="F595" s="159"/>
      <c r="G595" s="159"/>
      <c r="H595" s="159"/>
      <c r="I595" s="159"/>
      <c r="J595" s="224"/>
      <c r="K595" s="159"/>
      <c r="L595" s="159"/>
      <c r="M595" s="159"/>
      <c r="O595" s="159"/>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c r="AP595" s="159"/>
      <c r="AQ595" s="159"/>
      <c r="AR595" s="159"/>
      <c r="AS595" s="159"/>
      <c r="AT595" s="159"/>
      <c r="AU595" s="159"/>
      <c r="AV595" s="159"/>
      <c r="AW595" s="159"/>
      <c r="AX595" s="159"/>
      <c r="AY595" s="159"/>
      <c r="AZ595" s="159"/>
      <c r="BA595" s="159"/>
    </row>
    <row r="596" spans="2:53" ht="17.399999999999999" customHeight="1">
      <c r="B596" s="159"/>
      <c r="C596" s="159"/>
      <c r="D596" s="159"/>
      <c r="E596" s="159"/>
      <c r="F596" s="159"/>
      <c r="G596" s="159"/>
      <c r="H596" s="159"/>
      <c r="I596" s="159"/>
      <c r="J596" s="224"/>
      <c r="K596" s="159"/>
      <c r="L596" s="159"/>
      <c r="M596" s="159"/>
      <c r="O596" s="159"/>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c r="AP596" s="159"/>
      <c r="AQ596" s="159"/>
      <c r="AR596" s="159"/>
      <c r="AS596" s="159"/>
      <c r="AT596" s="159"/>
      <c r="AU596" s="159"/>
      <c r="AV596" s="159"/>
      <c r="AW596" s="159"/>
      <c r="AX596" s="159"/>
      <c r="AY596" s="159"/>
      <c r="AZ596" s="159"/>
      <c r="BA596" s="159"/>
    </row>
    <row r="597" spans="2:53" ht="17.399999999999999" customHeight="1">
      <c r="B597" s="159"/>
      <c r="C597" s="159"/>
      <c r="D597" s="159"/>
      <c r="E597" s="159"/>
      <c r="F597" s="159"/>
      <c r="G597" s="159"/>
      <c r="H597" s="159"/>
      <c r="I597" s="159"/>
      <c r="J597" s="224"/>
      <c r="K597" s="159"/>
      <c r="L597" s="159"/>
      <c r="M597" s="159"/>
      <c r="O597" s="159"/>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c r="AP597" s="159"/>
      <c r="AQ597" s="159"/>
      <c r="AR597" s="159"/>
      <c r="AS597" s="159"/>
      <c r="AT597" s="159"/>
      <c r="AU597" s="159"/>
      <c r="AV597" s="159"/>
      <c r="AW597" s="159"/>
      <c r="AX597" s="159"/>
      <c r="AY597" s="159"/>
      <c r="AZ597" s="159"/>
      <c r="BA597" s="159"/>
    </row>
    <row r="598" spans="2:53" ht="17.399999999999999" customHeight="1">
      <c r="B598" s="159"/>
      <c r="C598" s="159"/>
      <c r="D598" s="159"/>
      <c r="E598" s="159"/>
      <c r="F598" s="159"/>
      <c r="G598" s="159"/>
      <c r="H598" s="159"/>
      <c r="I598" s="159"/>
      <c r="J598" s="224"/>
      <c r="K598" s="159"/>
      <c r="L598" s="159"/>
      <c r="M598" s="159"/>
      <c r="O598" s="159"/>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c r="AQ598" s="159"/>
      <c r="AR598" s="159"/>
      <c r="AS598" s="159"/>
      <c r="AT598" s="159"/>
      <c r="AU598" s="159"/>
      <c r="AV598" s="159"/>
      <c r="AW598" s="159"/>
      <c r="AX598" s="159"/>
      <c r="AY598" s="159"/>
      <c r="AZ598" s="159"/>
      <c r="BA598" s="159"/>
    </row>
    <row r="599" spans="2:53" ht="17.399999999999999" customHeight="1">
      <c r="B599" s="159"/>
      <c r="C599" s="159"/>
      <c r="D599" s="159"/>
      <c r="E599" s="159"/>
      <c r="F599" s="159"/>
      <c r="G599" s="159"/>
      <c r="H599" s="159"/>
      <c r="I599" s="159"/>
      <c r="J599" s="224"/>
      <c r="K599" s="159"/>
      <c r="L599" s="159"/>
      <c r="M599" s="159"/>
      <c r="O599" s="159"/>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c r="AP599" s="159"/>
      <c r="AQ599" s="159"/>
      <c r="AR599" s="159"/>
      <c r="AS599" s="159"/>
      <c r="AT599" s="159"/>
      <c r="AU599" s="159"/>
      <c r="AV599" s="159"/>
      <c r="AW599" s="159"/>
      <c r="AX599" s="159"/>
      <c r="AY599" s="159"/>
      <c r="AZ599" s="159"/>
      <c r="BA599" s="159"/>
    </row>
    <row r="600" spans="2:53" ht="17.399999999999999" customHeight="1">
      <c r="B600" s="159"/>
      <c r="C600" s="159"/>
      <c r="D600" s="159"/>
      <c r="E600" s="159"/>
      <c r="F600" s="159"/>
      <c r="G600" s="159"/>
      <c r="H600" s="159"/>
      <c r="I600" s="159"/>
      <c r="J600" s="224"/>
      <c r="K600" s="159"/>
      <c r="L600" s="159"/>
      <c r="M600" s="159"/>
      <c r="O600" s="159"/>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c r="AP600" s="159"/>
      <c r="AQ600" s="159"/>
      <c r="AR600" s="159"/>
      <c r="AS600" s="159"/>
      <c r="AT600" s="159"/>
      <c r="AU600" s="159"/>
      <c r="AV600" s="159"/>
      <c r="AW600" s="159"/>
      <c r="AX600" s="159"/>
      <c r="AY600" s="159"/>
      <c r="AZ600" s="159"/>
      <c r="BA600" s="159"/>
    </row>
    <row r="601" spans="2:53" ht="17.399999999999999" customHeight="1">
      <c r="B601" s="159"/>
      <c r="C601" s="159"/>
      <c r="D601" s="159"/>
      <c r="E601" s="159"/>
      <c r="F601" s="159"/>
      <c r="G601" s="159"/>
      <c r="H601" s="159"/>
      <c r="I601" s="159"/>
      <c r="J601" s="224"/>
      <c r="K601" s="159"/>
      <c r="L601" s="159"/>
      <c r="M601" s="159"/>
      <c r="O601" s="159"/>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c r="AP601" s="159"/>
      <c r="AQ601" s="159"/>
      <c r="AR601" s="159"/>
      <c r="AS601" s="159"/>
      <c r="AT601" s="159"/>
      <c r="AU601" s="159"/>
      <c r="AV601" s="159"/>
      <c r="AW601" s="159"/>
      <c r="AX601" s="159"/>
      <c r="AY601" s="159"/>
      <c r="AZ601" s="159"/>
      <c r="BA601" s="159"/>
    </row>
    <row r="602" spans="2:53" ht="17.399999999999999" customHeight="1">
      <c r="B602" s="159"/>
      <c r="C602" s="159"/>
      <c r="D602" s="159"/>
      <c r="E602" s="159"/>
      <c r="F602" s="159"/>
      <c r="G602" s="159"/>
      <c r="H602" s="159"/>
      <c r="I602" s="159"/>
      <c r="J602" s="224"/>
      <c r="K602" s="159"/>
      <c r="L602" s="159"/>
      <c r="M602" s="159"/>
      <c r="O602" s="159"/>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c r="AP602" s="159"/>
      <c r="AQ602" s="159"/>
      <c r="AR602" s="159"/>
      <c r="AS602" s="159"/>
      <c r="AT602" s="159"/>
      <c r="AU602" s="159"/>
      <c r="AV602" s="159"/>
      <c r="AW602" s="159"/>
      <c r="AX602" s="159"/>
      <c r="AY602" s="159"/>
      <c r="AZ602" s="159"/>
      <c r="BA602" s="159"/>
    </row>
    <row r="603" spans="2:53" s="159" customFormat="1" ht="17.399999999999999" customHeight="1">
      <c r="J603" s="224"/>
    </row>
    <row r="604" spans="2:53" ht="14.4"/>
    <row r="605" spans="2:53" ht="14.4"/>
    <row r="606" spans="2:53" ht="14.4"/>
    <row r="607" spans="2:53" ht="14.4"/>
    <row r="608" spans="2:53" ht="14.4"/>
    <row r="609" spans="2:53" ht="14.4"/>
    <row r="610" spans="2:53" ht="14.4"/>
    <row r="611" spans="2:53" ht="14.4"/>
    <row r="612" spans="2:53" ht="14.4"/>
    <row r="613" spans="2:53" ht="14.4"/>
    <row r="614" spans="2:53" ht="14.4"/>
    <row r="615" spans="2:53" ht="14.4"/>
    <row r="616" spans="2:53" ht="14.4"/>
    <row r="617" spans="2:53" ht="14.4"/>
    <row r="618" spans="2:53" s="156" customFormat="1" ht="14.4">
      <c r="B618" s="157"/>
      <c r="C618" s="157"/>
      <c r="D618" s="157"/>
      <c r="E618" s="157"/>
      <c r="F618" s="157"/>
      <c r="G618" s="157"/>
      <c r="H618" s="157"/>
      <c r="I618" s="157"/>
      <c r="J618" s="158"/>
      <c r="K618" s="157"/>
      <c r="L618" s="157"/>
      <c r="M618" s="157"/>
      <c r="O618" s="157"/>
      <c r="P618" s="157"/>
      <c r="Q618" s="157"/>
      <c r="R618" s="157"/>
      <c r="S618" s="157"/>
      <c r="T618" s="157"/>
      <c r="U618" s="157"/>
      <c r="V618" s="157"/>
      <c r="W618" s="157"/>
      <c r="X618" s="157"/>
      <c r="Y618" s="157"/>
      <c r="Z618" s="157"/>
      <c r="AA618" s="157"/>
      <c r="AB618" s="157"/>
      <c r="AC618" s="157"/>
      <c r="AD618" s="157"/>
      <c r="AE618" s="157"/>
      <c r="AF618" s="157"/>
      <c r="AG618" s="157"/>
      <c r="AH618" s="157"/>
      <c r="AI618" s="157"/>
      <c r="AJ618" s="157"/>
      <c r="AK618" s="157"/>
      <c r="AL618" s="157"/>
      <c r="AM618" s="157"/>
      <c r="AN618" s="157"/>
      <c r="AO618" s="157"/>
      <c r="AP618" s="157"/>
      <c r="AQ618" s="157"/>
      <c r="AR618" s="157"/>
      <c r="AS618" s="157"/>
      <c r="AT618" s="157"/>
      <c r="AU618" s="157"/>
      <c r="AV618" s="157"/>
      <c r="AW618" s="157"/>
      <c r="AX618" s="157"/>
      <c r="AY618" s="157"/>
      <c r="AZ618" s="157"/>
      <c r="BA618" s="157"/>
    </row>
    <row r="619" spans="2:53" s="156" customFormat="1" ht="14.4">
      <c r="B619" s="157"/>
      <c r="C619" s="157"/>
      <c r="D619" s="157"/>
      <c r="E619" s="157"/>
      <c r="F619" s="157"/>
      <c r="G619" s="157"/>
      <c r="H619" s="157"/>
      <c r="I619" s="157"/>
      <c r="J619" s="158"/>
      <c r="K619" s="157"/>
      <c r="L619" s="157"/>
      <c r="M619" s="157"/>
      <c r="O619" s="157"/>
      <c r="P619" s="157"/>
      <c r="Q619" s="157"/>
      <c r="R619" s="157"/>
      <c r="S619" s="157"/>
      <c r="T619" s="157"/>
      <c r="U619" s="157"/>
      <c r="V619" s="157"/>
      <c r="W619" s="157"/>
      <c r="X619" s="157"/>
      <c r="Y619" s="157"/>
      <c r="Z619" s="157"/>
      <c r="AA619" s="157"/>
      <c r="AB619" s="157"/>
      <c r="AC619" s="157"/>
      <c r="AD619" s="157"/>
      <c r="AE619" s="157"/>
      <c r="AF619" s="157"/>
      <c r="AG619" s="157"/>
      <c r="AH619" s="157"/>
      <c r="AI619" s="157"/>
      <c r="AJ619" s="157"/>
      <c r="AK619" s="157"/>
      <c r="AL619" s="157"/>
      <c r="AM619" s="157"/>
      <c r="AN619" s="157"/>
      <c r="AO619" s="157"/>
      <c r="AP619" s="157"/>
      <c r="AQ619" s="157"/>
      <c r="AR619" s="157"/>
      <c r="AS619" s="157"/>
      <c r="AT619" s="157"/>
      <c r="AU619" s="157"/>
      <c r="AV619" s="157"/>
      <c r="AW619" s="157"/>
      <c r="AX619" s="157"/>
      <c r="AY619" s="157"/>
      <c r="AZ619" s="157"/>
      <c r="BA619" s="157"/>
    </row>
    <row r="620" spans="2:53" s="156" customFormat="1" ht="14.4">
      <c r="B620" s="157"/>
      <c r="C620" s="157"/>
      <c r="D620" s="157"/>
      <c r="E620" s="157"/>
      <c r="F620" s="157"/>
      <c r="G620" s="157"/>
      <c r="H620" s="157"/>
      <c r="I620" s="157"/>
      <c r="J620" s="158"/>
      <c r="K620" s="157"/>
      <c r="L620" s="157"/>
      <c r="M620" s="157"/>
      <c r="O620" s="157"/>
      <c r="P620" s="157"/>
      <c r="Q620" s="157"/>
      <c r="R620" s="157"/>
      <c r="S620" s="157"/>
      <c r="T620" s="157"/>
      <c r="U620" s="157"/>
      <c r="V620" s="157"/>
      <c r="W620" s="157"/>
      <c r="X620" s="157"/>
      <c r="Y620" s="157"/>
      <c r="Z620" s="157"/>
      <c r="AA620" s="157"/>
      <c r="AB620" s="157"/>
      <c r="AC620" s="157"/>
      <c r="AD620" s="157"/>
      <c r="AE620" s="157"/>
      <c r="AF620" s="157"/>
      <c r="AG620" s="157"/>
      <c r="AH620" s="157"/>
      <c r="AI620" s="157"/>
      <c r="AJ620" s="157"/>
      <c r="AK620" s="157"/>
      <c r="AL620" s="157"/>
      <c r="AM620" s="157"/>
      <c r="AN620" s="157"/>
      <c r="AO620" s="157"/>
      <c r="AP620" s="157"/>
      <c r="AQ620" s="157"/>
      <c r="AR620" s="157"/>
      <c r="AS620" s="157"/>
      <c r="AT620" s="157"/>
      <c r="AU620" s="157"/>
      <c r="AV620" s="157"/>
      <c r="AW620" s="157"/>
      <c r="AX620" s="157"/>
      <c r="AY620" s="157"/>
      <c r="AZ620" s="157"/>
      <c r="BA620" s="157"/>
    </row>
    <row r="621" spans="2:53" ht="15" customHeight="1"/>
    <row r="622" spans="2:53" ht="15" customHeight="1"/>
    <row r="623" spans="2:53" ht="15" customHeight="1"/>
    <row r="624" spans="2:53"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sheetData>
  <sheetProtection algorithmName="SHA-512" hashValue="VY6Kbij9Kg0tz4nr1bBXdRXj8b4FIsCyT/xLZDKT6bTTxWLsz4uIobTgrMWTWjezm6DZHCEWROxqIahT77lpUA==" saltValue="M3/0i/JRaYeGzauk70jH0Q==" spinCount="100000" sheet="1" selectLockedCells="1"/>
  <mergeCells count="7">
    <mergeCell ref="J113:K113"/>
    <mergeCell ref="J38:M38"/>
    <mergeCell ref="F5:K5"/>
    <mergeCell ref="F7:K7"/>
    <mergeCell ref="F30:K30"/>
    <mergeCell ref="F31:K31"/>
    <mergeCell ref="F32:G32"/>
  </mergeCells>
  <conditionalFormatting sqref="C135">
    <cfRule type="containsText" dxfId="11" priority="3" operator="containsText" text="nie spełniają">
      <formula>NOT(ISERROR(SEARCH("nie spełniają",C135)))</formula>
    </cfRule>
  </conditionalFormatting>
  <conditionalFormatting sqref="C142">
    <cfRule type="containsText" dxfId="10" priority="2" operator="containsText" text="nie spełniają">
      <formula>NOT(ISERROR(SEARCH("nie spełniają",C142)))</formula>
    </cfRule>
  </conditionalFormatting>
  <conditionalFormatting sqref="C164">
    <cfRule type="containsText" dxfId="9" priority="1" operator="containsText" text="nie spełniają">
      <formula>NOT(ISERROR(SEARCH("nie spełniają",C164)))</formula>
    </cfRule>
  </conditionalFormatting>
  <dataValidations count="2">
    <dataValidation type="list" allowBlank="1" showInputMessage="1" showErrorMessage="1" sqref="Q50" xr:uid="{00000000-0002-0000-0300-000000000000}">
      <formula1>$O$57:$O$60</formula1>
    </dataValidation>
    <dataValidation operator="lessThanOrEqual" allowBlank="1" showInputMessage="1" showErrorMessage="1" sqref="F5:K5" xr:uid="{00000000-0002-0000-0300-000001000000}"/>
  </dataValidations>
  <pageMargins left="0.59055118110236227" right="0.59055118110236227" top="0.78740157480314965" bottom="0.19685039370078741" header="0.19685039370078741" footer="0.19685039370078741"/>
  <pageSetup paperSize="9" scale="98" fitToHeight="0" orientation="portrait" r:id="rId1"/>
  <headerFooter>
    <oddHeader>&amp;R
&amp;G</oddHeader>
    <oddFooter>&amp;C&amp;"-,Standardowy"&amp;9&amp;K00-031 Wydruk wygenerowany z arkusza doboru układów utrzymania ciśnienia firmy IMI HYDRONIC ENGINEERING.</oddFooter>
  </headerFooter>
  <rowBreaks count="5" manualBreakCount="5">
    <brk id="70" min="1" max="12" man="1"/>
    <brk id="113" min="1" max="12" man="1"/>
    <brk id="156" min="1" max="12" man="1"/>
    <brk id="198" min="1" max="12" man="1"/>
    <brk id="237" min="1" max="12" man="1"/>
  </rowBreaks>
  <drawing r:id="rId2"/>
  <legacyDrawing r:id="rId3"/>
  <legacyDrawingHF r:id="rId4"/>
  <oleObjects>
    <mc:AlternateContent xmlns:mc="http://schemas.openxmlformats.org/markup-compatibility/2006">
      <mc:Choice Requires="x14">
        <oleObject progId="Equation.3" shapeId="9224" r:id="rId5">
          <objectPr defaultSize="0" autoPict="0" r:id="rId6">
            <anchor moveWithCells="1">
              <from>
                <xdr:col>3</xdr:col>
                <xdr:colOff>106680</xdr:colOff>
                <xdr:row>45</xdr:row>
                <xdr:rowOff>83820</xdr:rowOff>
              </from>
              <to>
                <xdr:col>9</xdr:col>
                <xdr:colOff>45720</xdr:colOff>
                <xdr:row>48</xdr:row>
                <xdr:rowOff>22860</xdr:rowOff>
              </to>
            </anchor>
          </objectPr>
        </oleObject>
      </mc:Choice>
      <mc:Fallback>
        <oleObject progId="Equation.3" shapeId="9224" r:id="rId5"/>
      </mc:Fallback>
    </mc:AlternateContent>
    <mc:AlternateContent xmlns:mc="http://schemas.openxmlformats.org/markup-compatibility/2006">
      <mc:Choice Requires="x14">
        <oleObject progId="Equation.3" shapeId="9225" r:id="rId7">
          <objectPr defaultSize="0" autoPict="0" r:id="rId8">
            <anchor moveWithCells="1">
              <from>
                <xdr:col>3</xdr:col>
                <xdr:colOff>137160</xdr:colOff>
                <xdr:row>57</xdr:row>
                <xdr:rowOff>137160</xdr:rowOff>
              </from>
              <to>
                <xdr:col>5</xdr:col>
                <xdr:colOff>38100</xdr:colOff>
                <xdr:row>59</xdr:row>
                <xdr:rowOff>60960</xdr:rowOff>
              </to>
            </anchor>
          </objectPr>
        </oleObject>
      </mc:Choice>
      <mc:Fallback>
        <oleObject progId="Equation.3" shapeId="9225" r:id="rId7"/>
      </mc:Fallback>
    </mc:AlternateContent>
    <mc:AlternateContent xmlns:mc="http://schemas.openxmlformats.org/markup-compatibility/2006">
      <mc:Choice Requires="x14">
        <oleObject progId="Equation.3" shapeId="9227" r:id="rId9">
          <objectPr defaultSize="0" autoPict="0" r:id="rId10">
            <anchor moveWithCells="1">
              <from>
                <xdr:col>3</xdr:col>
                <xdr:colOff>83820</xdr:colOff>
                <xdr:row>87</xdr:row>
                <xdr:rowOff>114300</xdr:rowOff>
              </from>
              <to>
                <xdr:col>5</xdr:col>
                <xdr:colOff>365760</xdr:colOff>
                <xdr:row>89</xdr:row>
                <xdr:rowOff>114300</xdr:rowOff>
              </to>
            </anchor>
          </objectPr>
        </oleObject>
      </mc:Choice>
      <mc:Fallback>
        <oleObject progId="Equation.3" shapeId="9227" r:id="rId9"/>
      </mc:Fallback>
    </mc:AlternateContent>
    <mc:AlternateContent xmlns:mc="http://schemas.openxmlformats.org/markup-compatibility/2006">
      <mc:Choice Requires="x14">
        <oleObject progId="Equation.3" shapeId="9228" r:id="rId11">
          <objectPr defaultSize="0" autoPict="0" r:id="rId12">
            <anchor moveWithCells="1">
              <from>
                <xdr:col>3</xdr:col>
                <xdr:colOff>114300</xdr:colOff>
                <xdr:row>101</xdr:row>
                <xdr:rowOff>160020</xdr:rowOff>
              </from>
              <to>
                <xdr:col>5</xdr:col>
                <xdr:colOff>365760</xdr:colOff>
                <xdr:row>103</xdr:row>
                <xdr:rowOff>38100</xdr:rowOff>
              </to>
            </anchor>
          </objectPr>
        </oleObject>
      </mc:Choice>
      <mc:Fallback>
        <oleObject progId="Equation.3" shapeId="9228" r:id="rId11"/>
      </mc:Fallback>
    </mc:AlternateContent>
    <mc:AlternateContent xmlns:mc="http://schemas.openxmlformats.org/markup-compatibility/2006">
      <mc:Choice Requires="x14">
        <oleObject progId="Equation.3" shapeId="9232" r:id="rId13">
          <objectPr defaultSize="0" autoPict="0" r:id="rId14">
            <anchor moveWithCells="1">
              <from>
                <xdr:col>3</xdr:col>
                <xdr:colOff>99060</xdr:colOff>
                <xdr:row>151</xdr:row>
                <xdr:rowOff>137160</xdr:rowOff>
              </from>
              <to>
                <xdr:col>6</xdr:col>
                <xdr:colOff>7620</xdr:colOff>
                <xdr:row>153</xdr:row>
                <xdr:rowOff>60960</xdr:rowOff>
              </to>
            </anchor>
          </objectPr>
        </oleObject>
      </mc:Choice>
      <mc:Fallback>
        <oleObject progId="Equation.3" shapeId="9232" r:id="rId13"/>
      </mc:Fallback>
    </mc:AlternateContent>
    <mc:AlternateContent xmlns:mc="http://schemas.openxmlformats.org/markup-compatibility/2006">
      <mc:Choice Requires="x14">
        <oleObject progId="Equation.3" shapeId="9247" r:id="rId15">
          <objectPr defaultSize="0" autoPict="0" r:id="rId16">
            <anchor moveWithCells="1">
              <from>
                <xdr:col>3</xdr:col>
                <xdr:colOff>0</xdr:colOff>
                <xdr:row>72</xdr:row>
                <xdr:rowOff>144780</xdr:rowOff>
              </from>
              <to>
                <xdr:col>5</xdr:col>
                <xdr:colOff>160020</xdr:colOff>
                <xdr:row>74</xdr:row>
                <xdr:rowOff>76200</xdr:rowOff>
              </to>
            </anchor>
          </objectPr>
        </oleObject>
      </mc:Choice>
      <mc:Fallback>
        <oleObject progId="Equation.3" shapeId="9247" r:id="rId15"/>
      </mc:Fallback>
    </mc:AlternateContent>
  </oleObjects>
  <mc:AlternateContent xmlns:mc="http://schemas.openxmlformats.org/markup-compatibility/2006">
    <mc:Choice Requires="x14">
      <controls>
        <mc:AlternateContent xmlns:mc="http://schemas.openxmlformats.org/markup-compatibility/2006">
          <mc:Choice Requires="x14">
            <control shapeId="9217" r:id="rId17" name="Drop Down 1">
              <controlPr defaultSize="0" autoLine="0" autoPict="0">
                <anchor moveWithCells="1">
                  <from>
                    <xdr:col>8</xdr:col>
                    <xdr:colOff>342900</xdr:colOff>
                    <xdr:row>12</xdr:row>
                    <xdr:rowOff>22860</xdr:rowOff>
                  </from>
                  <to>
                    <xdr:col>12</xdr:col>
                    <xdr:colOff>0</xdr:colOff>
                    <xdr:row>13</xdr:row>
                    <xdr:rowOff>30480</xdr:rowOff>
                  </to>
                </anchor>
              </controlPr>
            </control>
          </mc:Choice>
        </mc:AlternateContent>
        <mc:AlternateContent xmlns:mc="http://schemas.openxmlformats.org/markup-compatibility/2006">
          <mc:Choice Requires="x14">
            <control shapeId="9219" r:id="rId18" name="Spinner 3">
              <controlPr defaultSize="0" autoPict="0">
                <anchor moveWithCells="1" sizeWithCells="1">
                  <from>
                    <xdr:col>11</xdr:col>
                    <xdr:colOff>335280</xdr:colOff>
                    <xdr:row>7</xdr:row>
                    <xdr:rowOff>83820</xdr:rowOff>
                  </from>
                  <to>
                    <xdr:col>12</xdr:col>
                    <xdr:colOff>0</xdr:colOff>
                    <xdr:row>9</xdr:row>
                    <xdr:rowOff>38100</xdr:rowOff>
                  </to>
                </anchor>
              </controlPr>
            </control>
          </mc:Choice>
        </mc:AlternateContent>
        <mc:AlternateContent xmlns:mc="http://schemas.openxmlformats.org/markup-compatibility/2006">
          <mc:Choice Requires="x14">
            <control shapeId="9220" r:id="rId19" name="Spinner 4">
              <controlPr defaultSize="0" autoPict="0">
                <anchor moveWithCells="1" sizeWithCells="1">
                  <from>
                    <xdr:col>11</xdr:col>
                    <xdr:colOff>335280</xdr:colOff>
                    <xdr:row>9</xdr:row>
                    <xdr:rowOff>83820</xdr:rowOff>
                  </from>
                  <to>
                    <xdr:col>12</xdr:col>
                    <xdr:colOff>0</xdr:colOff>
                    <xdr:row>11</xdr:row>
                    <xdr:rowOff>38100</xdr:rowOff>
                  </to>
                </anchor>
              </controlPr>
            </control>
          </mc:Choice>
        </mc:AlternateContent>
        <mc:AlternateContent xmlns:mc="http://schemas.openxmlformats.org/markup-compatibility/2006">
          <mc:Choice Requires="x14">
            <control shapeId="9221" r:id="rId20" name="Spinner 5">
              <controlPr defaultSize="0" autoPict="0">
                <anchor moveWithCells="1" sizeWithCells="1">
                  <from>
                    <xdr:col>11</xdr:col>
                    <xdr:colOff>335280</xdr:colOff>
                    <xdr:row>15</xdr:row>
                    <xdr:rowOff>99060</xdr:rowOff>
                  </from>
                  <to>
                    <xdr:col>12</xdr:col>
                    <xdr:colOff>0</xdr:colOff>
                    <xdr:row>17</xdr:row>
                    <xdr:rowOff>45720</xdr:rowOff>
                  </to>
                </anchor>
              </controlPr>
            </control>
          </mc:Choice>
        </mc:AlternateContent>
        <mc:AlternateContent xmlns:mc="http://schemas.openxmlformats.org/markup-compatibility/2006">
          <mc:Choice Requires="x14">
            <control shapeId="9222" r:id="rId21" name="Spinner 6">
              <controlPr defaultSize="0" autoPict="0">
                <anchor moveWithCells="1" sizeWithCells="1">
                  <from>
                    <xdr:col>11</xdr:col>
                    <xdr:colOff>335280</xdr:colOff>
                    <xdr:row>17</xdr:row>
                    <xdr:rowOff>99060</xdr:rowOff>
                  </from>
                  <to>
                    <xdr:col>12</xdr:col>
                    <xdr:colOff>0</xdr:colOff>
                    <xdr:row>19</xdr:row>
                    <xdr:rowOff>45720</xdr:rowOff>
                  </to>
                </anchor>
              </controlPr>
            </control>
          </mc:Choice>
        </mc:AlternateContent>
        <mc:AlternateContent xmlns:mc="http://schemas.openxmlformats.org/markup-compatibility/2006">
          <mc:Choice Requires="x14">
            <control shapeId="9223" r:id="rId22" name="Check Box 7">
              <controlPr defaultSize="0" autoFill="0" autoLine="0" autoPict="0">
                <anchor moveWithCells="1">
                  <from>
                    <xdr:col>11</xdr:col>
                    <xdr:colOff>175260</xdr:colOff>
                    <xdr:row>20</xdr:row>
                    <xdr:rowOff>160020</xdr:rowOff>
                  </from>
                  <to>
                    <xdr:col>12</xdr:col>
                    <xdr:colOff>30480</xdr:colOff>
                    <xdr:row>21</xdr:row>
                    <xdr:rowOff>160020</xdr:rowOff>
                  </to>
                </anchor>
              </controlPr>
            </control>
          </mc:Choice>
        </mc:AlternateContent>
        <mc:AlternateContent xmlns:mc="http://schemas.openxmlformats.org/markup-compatibility/2006">
          <mc:Choice Requires="x14">
            <control shapeId="9230" r:id="rId23" name="Drop Down 14">
              <controlPr defaultSize="0" autoLine="0" autoPict="0">
                <anchor moveWithCells="1">
                  <from>
                    <xdr:col>2</xdr:col>
                    <xdr:colOff>30480</xdr:colOff>
                    <xdr:row>132</xdr:row>
                    <xdr:rowOff>152400</xdr:rowOff>
                  </from>
                  <to>
                    <xdr:col>5</xdr:col>
                    <xdr:colOff>441960</xdr:colOff>
                    <xdr:row>133</xdr:row>
                    <xdr:rowOff>175260</xdr:rowOff>
                  </to>
                </anchor>
              </controlPr>
            </control>
          </mc:Choice>
        </mc:AlternateContent>
        <mc:AlternateContent xmlns:mc="http://schemas.openxmlformats.org/markup-compatibility/2006">
          <mc:Choice Requires="x14">
            <control shapeId="9241" r:id="rId24" name="Spinner 25">
              <controlPr defaultSize="0" autoPict="0">
                <anchor moveWithCells="1" sizeWithCells="1">
                  <from>
                    <xdr:col>11</xdr:col>
                    <xdr:colOff>335280</xdr:colOff>
                    <xdr:row>22</xdr:row>
                    <xdr:rowOff>83820</xdr:rowOff>
                  </from>
                  <to>
                    <xdr:col>12</xdr:col>
                    <xdr:colOff>0</xdr:colOff>
                    <xdr:row>24</xdr:row>
                    <xdr:rowOff>38100</xdr:rowOff>
                  </to>
                </anchor>
              </controlPr>
            </control>
          </mc:Choice>
        </mc:AlternateContent>
        <mc:AlternateContent xmlns:mc="http://schemas.openxmlformats.org/markup-compatibility/2006">
          <mc:Choice Requires="x14">
            <control shapeId="9242" r:id="rId25" name="Drop Down 26">
              <controlPr defaultSize="0" autoLine="0" autoPict="0">
                <anchor moveWithCells="1">
                  <from>
                    <xdr:col>2</xdr:col>
                    <xdr:colOff>30480</xdr:colOff>
                    <xdr:row>139</xdr:row>
                    <xdr:rowOff>152400</xdr:rowOff>
                  </from>
                  <to>
                    <xdr:col>5</xdr:col>
                    <xdr:colOff>426720</xdr:colOff>
                    <xdr:row>140</xdr:row>
                    <xdr:rowOff>175260</xdr:rowOff>
                  </to>
                </anchor>
              </controlPr>
            </control>
          </mc:Choice>
        </mc:AlternateContent>
        <mc:AlternateContent xmlns:mc="http://schemas.openxmlformats.org/markup-compatibility/2006">
          <mc:Choice Requires="x14">
            <control shapeId="9243" r:id="rId26" name="Spinner 27">
              <controlPr defaultSize="0" autoPict="0">
                <anchor moveWithCells="1" sizeWithCells="1">
                  <from>
                    <xdr:col>9</xdr:col>
                    <xdr:colOff>0</xdr:colOff>
                    <xdr:row>139</xdr:row>
                    <xdr:rowOff>30480</xdr:rowOff>
                  </from>
                  <to>
                    <xdr:col>9</xdr:col>
                    <xdr:colOff>228600</xdr:colOff>
                    <xdr:row>141</xdr:row>
                    <xdr:rowOff>0</xdr:rowOff>
                  </to>
                </anchor>
              </controlPr>
            </control>
          </mc:Choice>
        </mc:AlternateContent>
        <mc:AlternateContent xmlns:mc="http://schemas.openxmlformats.org/markup-compatibility/2006">
          <mc:Choice Requires="x14">
            <control shapeId="9244" r:id="rId27" name="Drop Down 28">
              <controlPr defaultSize="0" autoLine="0" autoPict="0">
                <anchor moveWithCells="1">
                  <from>
                    <xdr:col>2</xdr:col>
                    <xdr:colOff>7620</xdr:colOff>
                    <xdr:row>243</xdr:row>
                    <xdr:rowOff>22860</xdr:rowOff>
                  </from>
                  <to>
                    <xdr:col>6</xdr:col>
                    <xdr:colOff>449580</xdr:colOff>
                    <xdr:row>244</xdr:row>
                    <xdr:rowOff>45720</xdr:rowOff>
                  </to>
                </anchor>
              </controlPr>
            </control>
          </mc:Choice>
        </mc:AlternateContent>
        <mc:AlternateContent xmlns:mc="http://schemas.openxmlformats.org/markup-compatibility/2006">
          <mc:Choice Requires="x14">
            <control shapeId="9245" r:id="rId28" name="Spinner 29">
              <controlPr defaultSize="0" autoPict="0">
                <anchor moveWithCells="1" sizeWithCells="1">
                  <from>
                    <xdr:col>11</xdr:col>
                    <xdr:colOff>335280</xdr:colOff>
                    <xdr:row>24</xdr:row>
                    <xdr:rowOff>106680</xdr:rowOff>
                  </from>
                  <to>
                    <xdr:col>12</xdr:col>
                    <xdr:colOff>0</xdr:colOff>
                    <xdr:row>26</xdr:row>
                    <xdr:rowOff>60960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1">
    <pageSetUpPr fitToPage="1"/>
  </sheetPr>
  <dimension ref="A1:BA780"/>
  <sheetViews>
    <sheetView showGridLines="0" zoomScaleNormal="100" zoomScaleSheetLayoutView="100" workbookViewId="0">
      <selection activeCell="F5" sqref="F5:K5"/>
    </sheetView>
  </sheetViews>
  <sheetFormatPr defaultColWidth="0" defaultRowHeight="15" customHeight="1" zeroHeight="1"/>
  <cols>
    <col min="1" max="1" width="8.5" style="156" customWidth="1"/>
    <col min="2" max="2" width="3.09765625" style="157" customWidth="1"/>
    <col min="3" max="3" width="7.19921875" style="157" customWidth="1"/>
    <col min="4" max="4" width="6.69921875" style="157" customWidth="1"/>
    <col min="5" max="5" width="7.5" style="157" customWidth="1"/>
    <col min="6" max="6" width="7.8984375" style="157" customWidth="1"/>
    <col min="7" max="7" width="6.69921875" style="157" customWidth="1"/>
    <col min="8" max="8" width="6.5" style="157" customWidth="1"/>
    <col min="9" max="9" width="6.8984375" style="157" customWidth="1"/>
    <col min="10" max="10" width="7.59765625" style="158" customWidth="1"/>
    <col min="11" max="11" width="9.3984375" style="157" customWidth="1"/>
    <col min="12" max="13" width="9.19921875" style="157" customWidth="1"/>
    <col min="14" max="14" width="5.69921875" style="156" customWidth="1"/>
    <col min="15" max="21" width="9" style="157" customWidth="1"/>
    <col min="22" max="22" width="10.19921875" style="157" customWidth="1"/>
    <col min="23" max="23" width="10.3984375" style="157" customWidth="1"/>
    <col min="24" max="24" width="10.59765625" style="157" customWidth="1"/>
    <col min="25" max="25" width="10.8984375" style="157" customWidth="1"/>
    <col min="26" max="26" width="9" style="157" customWidth="1"/>
    <col min="27" max="53" width="0" style="157" hidden="1" customWidth="1"/>
    <col min="54" max="16384" width="9" style="157" hidden="1"/>
  </cols>
  <sheetData>
    <row r="1" spans="2:53" ht="52.5" customHeight="1">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row>
    <row r="2" spans="2:53" ht="17.399999999999999" customHeight="1">
      <c r="B2" s="160"/>
      <c r="C2" s="161"/>
      <c r="D2" s="162"/>
      <c r="E2" s="162"/>
      <c r="F2" s="162"/>
      <c r="G2" s="162"/>
      <c r="H2" s="162"/>
      <c r="I2" s="162"/>
      <c r="J2" s="161"/>
      <c r="K2" s="160"/>
      <c r="L2" s="160"/>
      <c r="M2" s="160"/>
      <c r="O2" s="163"/>
      <c r="P2" s="164"/>
      <c r="Q2" s="164"/>
      <c r="R2" s="164"/>
      <c r="S2" s="164"/>
      <c r="T2" s="164"/>
      <c r="U2" s="164"/>
      <c r="V2" s="164"/>
      <c r="W2" s="164"/>
      <c r="X2" s="164"/>
      <c r="Y2" s="164"/>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row>
    <row r="3" spans="2:53" ht="17.399999999999999" customHeight="1">
      <c r="B3" s="160"/>
      <c r="C3" s="328" t="s">
        <v>2</v>
      </c>
      <c r="D3" s="162"/>
      <c r="E3" s="162"/>
      <c r="F3" s="162"/>
      <c r="G3" s="162"/>
      <c r="H3" s="162"/>
      <c r="I3" s="162"/>
      <c r="J3" s="161"/>
      <c r="K3" s="160"/>
      <c r="L3" s="160"/>
      <c r="M3" s="160"/>
      <c r="O3" s="164"/>
      <c r="P3" s="166"/>
      <c r="Q3" s="166"/>
      <c r="R3" s="166"/>
      <c r="S3" s="166"/>
      <c r="T3" s="166"/>
      <c r="U3" s="166"/>
      <c r="V3" s="166"/>
      <c r="W3" s="166"/>
      <c r="X3" s="166"/>
      <c r="Y3" s="166"/>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row>
    <row r="4" spans="2:53" ht="17.399999999999999" customHeight="1">
      <c r="B4" s="160"/>
      <c r="C4" s="165"/>
      <c r="D4" s="162"/>
      <c r="E4" s="162"/>
      <c r="F4" s="162"/>
      <c r="G4" s="162"/>
      <c r="H4" s="162"/>
      <c r="I4" s="162"/>
      <c r="J4" s="161"/>
      <c r="K4" s="160"/>
      <c r="L4" s="160"/>
      <c r="M4" s="160"/>
      <c r="O4" s="164"/>
      <c r="P4" s="166"/>
      <c r="Q4" s="166"/>
      <c r="R4" s="166"/>
      <c r="S4" s="166"/>
      <c r="T4" s="166"/>
      <c r="U4" s="166"/>
      <c r="V4" s="166"/>
      <c r="W4" s="166"/>
      <c r="X4" s="166"/>
      <c r="Y4" s="166"/>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row>
    <row r="5" spans="2:53" ht="17.399999999999999" customHeight="1">
      <c r="B5" s="160"/>
      <c r="C5" s="165" t="s">
        <v>766</v>
      </c>
      <c r="D5" s="162"/>
      <c r="E5" s="162"/>
      <c r="F5" s="481"/>
      <c r="G5" s="482"/>
      <c r="H5" s="482"/>
      <c r="I5" s="482"/>
      <c r="J5" s="482"/>
      <c r="K5" s="483"/>
      <c r="L5" s="160"/>
      <c r="M5" s="160"/>
      <c r="O5" s="164"/>
      <c r="P5" s="166"/>
      <c r="Q5" s="166"/>
      <c r="R5" s="166"/>
      <c r="S5" s="166"/>
      <c r="T5" s="166"/>
      <c r="U5" s="166"/>
      <c r="V5" s="166"/>
      <c r="W5" s="166"/>
      <c r="X5" s="166"/>
      <c r="Y5" s="166"/>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row>
    <row r="6" spans="2:53" ht="17.399999999999999" customHeight="1">
      <c r="B6" s="160"/>
      <c r="C6" s="165"/>
      <c r="D6" s="162"/>
      <c r="E6" s="162"/>
      <c r="F6" s="162"/>
      <c r="G6" s="162"/>
      <c r="H6" s="162"/>
      <c r="I6" s="162"/>
      <c r="J6" s="161"/>
      <c r="K6" s="160"/>
      <c r="L6" s="160"/>
      <c r="M6" s="160"/>
      <c r="O6" s="164"/>
      <c r="P6" s="166"/>
      <c r="Q6" s="166"/>
      <c r="R6" s="166"/>
      <c r="S6" s="166"/>
      <c r="T6" s="166"/>
      <c r="U6" s="166"/>
      <c r="V6" s="166"/>
      <c r="W6" s="166"/>
      <c r="X6" s="166"/>
      <c r="Y6" s="166"/>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row>
    <row r="7" spans="2:53" ht="17.399999999999999" customHeight="1">
      <c r="B7" s="160"/>
      <c r="C7" s="165" t="s">
        <v>767</v>
      </c>
      <c r="D7" s="162"/>
      <c r="E7" s="162"/>
      <c r="F7" s="484" t="s">
        <v>994</v>
      </c>
      <c r="G7" s="482"/>
      <c r="H7" s="482"/>
      <c r="I7" s="482"/>
      <c r="J7" s="482"/>
      <c r="K7" s="483"/>
      <c r="L7" s="160"/>
      <c r="M7" s="160"/>
      <c r="O7" s="164"/>
      <c r="P7" s="166"/>
      <c r="Q7" s="166"/>
      <c r="R7" s="166"/>
      <c r="S7" s="166"/>
      <c r="T7" s="166"/>
      <c r="U7" s="166"/>
      <c r="V7" s="166"/>
      <c r="W7" s="166"/>
      <c r="X7" s="166"/>
      <c r="Y7" s="166"/>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row>
    <row r="8" spans="2:53" ht="17.399999999999999" customHeight="1">
      <c r="B8" s="160"/>
      <c r="C8" s="173"/>
      <c r="D8" s="162"/>
      <c r="E8" s="162"/>
      <c r="F8" s="162"/>
      <c r="G8" s="162"/>
      <c r="H8" s="162"/>
      <c r="I8" s="162"/>
      <c r="J8" s="170"/>
      <c r="K8" s="162"/>
      <c r="L8" s="162"/>
      <c r="M8" s="162"/>
      <c r="N8" s="167"/>
      <c r="O8" s="168"/>
      <c r="P8" s="169"/>
      <c r="Q8" s="169"/>
      <c r="R8" s="169"/>
      <c r="S8" s="169"/>
      <c r="T8" s="169"/>
      <c r="U8" s="169"/>
      <c r="V8" s="169"/>
      <c r="W8" s="169"/>
      <c r="X8" s="169"/>
      <c r="Y8" s="16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row>
    <row r="9" spans="2:53" ht="17.399999999999999" customHeight="1">
      <c r="B9" s="160"/>
      <c r="C9" s="162" t="s">
        <v>686</v>
      </c>
      <c r="D9" s="162"/>
      <c r="E9" s="162"/>
      <c r="F9" s="162"/>
      <c r="G9" s="162"/>
      <c r="H9" s="162"/>
      <c r="I9" s="162"/>
      <c r="J9" s="174"/>
      <c r="K9" s="2">
        <v>40</v>
      </c>
      <c r="L9" s="172" t="s">
        <v>12</v>
      </c>
      <c r="M9" s="162"/>
      <c r="N9" s="167"/>
      <c r="O9" s="168"/>
      <c r="P9" s="164"/>
      <c r="Q9" s="164"/>
      <c r="R9" s="164"/>
      <c r="S9" s="164"/>
      <c r="T9" s="164"/>
      <c r="U9" s="164"/>
      <c r="V9" s="169"/>
      <c r="W9" s="169"/>
      <c r="X9" s="169"/>
      <c r="Y9" s="16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row>
    <row r="10" spans="2:53" ht="17.399999999999999" customHeight="1">
      <c r="B10" s="160"/>
      <c r="C10" s="162"/>
      <c r="D10" s="162"/>
      <c r="E10" s="162"/>
      <c r="F10" s="162"/>
      <c r="G10" s="162"/>
      <c r="H10" s="162"/>
      <c r="I10" s="162"/>
      <c r="J10" s="170"/>
      <c r="K10" s="162"/>
      <c r="L10" s="162"/>
      <c r="M10" s="162"/>
      <c r="N10" s="167"/>
      <c r="O10" s="168"/>
      <c r="P10" s="164"/>
      <c r="Q10" s="164"/>
      <c r="R10" s="164"/>
      <c r="S10" s="164"/>
      <c r="T10" s="164"/>
      <c r="U10" s="164"/>
      <c r="V10" s="169"/>
      <c r="W10" s="169"/>
      <c r="X10" s="169"/>
      <c r="Y10" s="16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row>
    <row r="11" spans="2:53" ht="17.399999999999999" customHeight="1">
      <c r="B11" s="160"/>
      <c r="C11" s="162" t="s">
        <v>687</v>
      </c>
      <c r="D11" s="162"/>
      <c r="E11" s="162"/>
      <c r="F11" s="162"/>
      <c r="G11" s="162"/>
      <c r="H11" s="162"/>
      <c r="I11" s="162"/>
      <c r="J11" s="170"/>
      <c r="K11" s="2">
        <v>5</v>
      </c>
      <c r="L11" s="172" t="s">
        <v>12</v>
      </c>
      <c r="M11" s="162"/>
      <c r="N11" s="167"/>
      <c r="O11" s="168"/>
      <c r="P11" s="164"/>
      <c r="Q11" s="164"/>
      <c r="R11" s="164"/>
      <c r="S11" s="164"/>
      <c r="T11" s="164"/>
      <c r="U11" s="164"/>
      <c r="V11" s="169"/>
      <c r="W11" s="169"/>
      <c r="X11" s="169"/>
      <c r="Y11" s="16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row>
    <row r="12" spans="2:53" ht="17.399999999999999" customHeight="1">
      <c r="B12" s="160"/>
      <c r="C12" s="173" t="str">
        <f>IF(K11&lt;-34,"Min. temperatura powrotu nie może być niższa niż -34˚C","")</f>
        <v/>
      </c>
      <c r="D12" s="162"/>
      <c r="E12" s="162"/>
      <c r="F12" s="162"/>
      <c r="G12" s="162"/>
      <c r="H12" s="162"/>
      <c r="I12" s="162"/>
      <c r="J12" s="170"/>
      <c r="K12" s="162"/>
      <c r="L12" s="162"/>
      <c r="M12" s="162"/>
      <c r="N12" s="167"/>
      <c r="O12" s="168"/>
      <c r="P12" s="164"/>
      <c r="Q12" s="164"/>
      <c r="R12" s="164"/>
      <c r="S12" s="164"/>
      <c r="T12" s="164"/>
      <c r="U12" s="164"/>
      <c r="V12" s="169"/>
      <c r="W12" s="169"/>
      <c r="X12" s="169"/>
      <c r="Y12" s="16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row>
    <row r="13" spans="2:53" ht="17.399999999999999" customHeight="1">
      <c r="B13" s="160"/>
      <c r="C13" s="162" t="s">
        <v>713</v>
      </c>
      <c r="D13" s="162"/>
      <c r="E13" s="162"/>
      <c r="F13" s="162"/>
      <c r="G13" s="162"/>
      <c r="H13" s="162"/>
      <c r="I13" s="162"/>
      <c r="J13" s="170"/>
      <c r="K13" s="162"/>
      <c r="L13" s="162"/>
      <c r="M13" s="162"/>
      <c r="N13" s="167"/>
      <c r="O13" s="168"/>
      <c r="P13" s="164"/>
      <c r="Q13" s="164"/>
      <c r="R13" s="164"/>
      <c r="S13" s="164"/>
      <c r="T13" s="164"/>
      <c r="U13" s="164"/>
      <c r="V13" s="169"/>
      <c r="W13" s="169"/>
      <c r="X13" s="169"/>
      <c r="Y13" s="16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row>
    <row r="14" spans="2:53" ht="17.399999999999999" customHeight="1">
      <c r="B14" s="160"/>
      <c r="C14" s="175"/>
      <c r="D14" s="162"/>
      <c r="E14" s="162"/>
      <c r="F14" s="162"/>
      <c r="G14" s="162"/>
      <c r="H14" s="162"/>
      <c r="I14" s="162"/>
      <c r="J14" s="170"/>
      <c r="K14" s="162"/>
      <c r="L14" s="162"/>
      <c r="M14" s="162"/>
      <c r="N14" s="167"/>
      <c r="O14" s="168"/>
      <c r="P14" s="164"/>
      <c r="Q14" s="164"/>
      <c r="R14" s="164"/>
      <c r="S14" s="164"/>
      <c r="T14" s="164"/>
      <c r="U14" s="164"/>
      <c r="V14" s="169"/>
      <c r="W14" s="169"/>
      <c r="X14" s="169"/>
      <c r="Y14" s="16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row>
    <row r="15" spans="2:53" ht="17.399999999999999" customHeight="1">
      <c r="B15" s="160"/>
      <c r="C15" s="162" t="s">
        <v>770</v>
      </c>
      <c r="D15" s="162"/>
      <c r="E15" s="162"/>
      <c r="F15" s="162"/>
      <c r="G15" s="162"/>
      <c r="H15" s="162"/>
      <c r="I15" s="162"/>
      <c r="J15" s="176"/>
      <c r="K15" s="177"/>
      <c r="L15" s="333">
        <v>88.7</v>
      </c>
      <c r="M15" s="162"/>
      <c r="N15" s="167"/>
      <c r="O15" s="168"/>
      <c r="P15" s="164"/>
      <c r="Q15" s="164"/>
      <c r="R15" s="164"/>
      <c r="S15" s="164"/>
      <c r="T15" s="164"/>
      <c r="U15" s="164"/>
      <c r="V15" s="169"/>
      <c r="W15" s="169"/>
      <c r="X15" s="169"/>
      <c r="Y15" s="16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row>
    <row r="16" spans="2:53" ht="17.399999999999999" customHeight="1">
      <c r="B16" s="160"/>
      <c r="C16" s="162"/>
      <c r="D16" s="162"/>
      <c r="E16" s="162"/>
      <c r="F16" s="162"/>
      <c r="G16" s="162"/>
      <c r="H16" s="162"/>
      <c r="I16" s="162"/>
      <c r="J16" s="176"/>
      <c r="K16" s="177"/>
      <c r="L16" s="162"/>
      <c r="M16" s="162"/>
      <c r="O16" s="156"/>
      <c r="P16" s="156"/>
      <c r="Q16" s="156"/>
      <c r="R16" s="164"/>
      <c r="S16" s="164"/>
      <c r="T16" s="164"/>
      <c r="U16" s="164"/>
      <c r="V16" s="169"/>
      <c r="W16" s="169"/>
      <c r="X16" s="169"/>
      <c r="Y16" s="16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row>
    <row r="17" spans="2:53" ht="17.399999999999999" customHeight="1">
      <c r="B17" s="160"/>
      <c r="C17" s="162" t="s">
        <v>714</v>
      </c>
      <c r="D17" s="162"/>
      <c r="E17" s="162"/>
      <c r="F17" s="162"/>
      <c r="G17" s="162"/>
      <c r="H17" s="162"/>
      <c r="I17" s="162"/>
      <c r="J17" s="176"/>
      <c r="K17" s="2">
        <v>26</v>
      </c>
      <c r="L17" s="178" t="s">
        <v>7</v>
      </c>
      <c r="M17" s="162"/>
      <c r="O17" s="156"/>
      <c r="P17" s="156"/>
      <c r="Q17" s="156"/>
      <c r="R17" s="164"/>
      <c r="S17" s="164"/>
      <c r="T17" s="164"/>
      <c r="U17" s="164"/>
      <c r="V17" s="169"/>
      <c r="W17" s="169"/>
      <c r="X17" s="169"/>
      <c r="Y17" s="16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row>
    <row r="18" spans="2:53" ht="17.399999999999999" customHeight="1">
      <c r="B18" s="160"/>
      <c r="C18" s="162"/>
      <c r="D18" s="162"/>
      <c r="E18" s="162"/>
      <c r="F18" s="162"/>
      <c r="G18" s="162"/>
      <c r="H18" s="162"/>
      <c r="I18" s="162"/>
      <c r="J18" s="176"/>
      <c r="K18" s="177"/>
      <c r="L18" s="162"/>
      <c r="M18" s="162"/>
      <c r="O18" s="156"/>
      <c r="P18" s="156"/>
      <c r="Q18" s="156"/>
      <c r="R18" s="164"/>
      <c r="S18" s="164"/>
      <c r="T18" s="164"/>
      <c r="U18" s="164"/>
      <c r="V18" s="169"/>
      <c r="W18" s="169"/>
      <c r="X18" s="169"/>
      <c r="Y18" s="16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row>
    <row r="19" spans="2:53" ht="17.399999999999999" customHeight="1">
      <c r="B19" s="160"/>
      <c r="C19" s="162" t="s">
        <v>715</v>
      </c>
      <c r="D19" s="162"/>
      <c r="E19" s="162"/>
      <c r="F19" s="162"/>
      <c r="G19" s="162"/>
      <c r="H19" s="162"/>
      <c r="I19" s="162"/>
      <c r="J19" s="176"/>
      <c r="K19" s="179">
        <v>6</v>
      </c>
      <c r="L19" s="178" t="s">
        <v>3</v>
      </c>
      <c r="M19" s="162"/>
      <c r="N19" s="167"/>
      <c r="O19" s="168"/>
      <c r="P19" s="164"/>
      <c r="Q19" s="164"/>
      <c r="R19" s="164"/>
      <c r="S19" s="164"/>
      <c r="T19" s="164"/>
      <c r="U19" s="164"/>
      <c r="V19" s="169"/>
      <c r="W19" s="169"/>
      <c r="X19" s="169"/>
      <c r="Y19" s="16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row>
    <row r="20" spans="2:53" ht="17.399999999999999" customHeight="1">
      <c r="B20" s="160"/>
      <c r="C20" s="272" t="str">
        <f>IF(K19&lt;'4'!C19,"Wybierz ZB o wyższym PSV!!!","")</f>
        <v/>
      </c>
      <c r="D20" s="272"/>
      <c r="E20" s="272"/>
      <c r="F20" s="272"/>
      <c r="G20" s="273" t="str">
        <f>IF(K19&lt;'4'!C19,"PSV min=","")</f>
        <v/>
      </c>
      <c r="H20" s="274" t="str">
        <f>IF(K19&lt;'4'!C19,'4'!C19,"")</f>
        <v/>
      </c>
      <c r="I20" s="274" t="str">
        <f>IF(K19&lt;'4'!C19,"bar","")</f>
        <v/>
      </c>
      <c r="J20" s="181"/>
      <c r="K20" s="177"/>
      <c r="L20" s="162"/>
      <c r="M20" s="162"/>
      <c r="N20" s="167"/>
      <c r="O20" s="168"/>
      <c r="P20" s="164"/>
      <c r="Q20" s="164"/>
      <c r="R20" s="164"/>
      <c r="S20" s="164"/>
      <c r="T20" s="164"/>
      <c r="U20" s="164"/>
      <c r="V20" s="169"/>
      <c r="W20" s="169"/>
      <c r="X20" s="169"/>
      <c r="Y20" s="16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row>
    <row r="21" spans="2:53" ht="17.399999999999999" customHeight="1">
      <c r="B21" s="160"/>
      <c r="C21" s="272" t="str">
        <f>IF(AND('4'!E19&gt;'4'!D19,K19&lt;'4'!C19),"z uwagi na ciś. parowania","")</f>
        <v/>
      </c>
      <c r="D21" s="272"/>
      <c r="E21" s="272"/>
      <c r="F21" s="272"/>
      <c r="G21" s="272"/>
      <c r="H21" s="272"/>
      <c r="I21" s="272"/>
      <c r="J21" s="176"/>
      <c r="K21" s="177"/>
      <c r="L21" s="162"/>
      <c r="M21" s="162"/>
      <c r="N21" s="167"/>
      <c r="O21" s="168"/>
      <c r="P21" s="164"/>
      <c r="Q21" s="156"/>
      <c r="R21" s="164"/>
      <c r="S21" s="164"/>
      <c r="T21" s="164"/>
      <c r="U21" s="164"/>
      <c r="V21" s="169"/>
      <c r="W21" s="169"/>
      <c r="X21" s="169"/>
      <c r="Y21" s="16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row>
    <row r="22" spans="2:53" ht="17.399999999999999" customHeight="1">
      <c r="B22" s="160"/>
      <c r="C22" s="162" t="s">
        <v>716</v>
      </c>
      <c r="D22" s="162"/>
      <c r="E22" s="162"/>
      <c r="F22" s="162"/>
      <c r="G22" s="162"/>
      <c r="H22" s="162"/>
      <c r="I22" s="162"/>
      <c r="J22" s="176"/>
      <c r="K22" s="177"/>
      <c r="L22" s="162"/>
      <c r="M22" s="162"/>
      <c r="N22" s="167"/>
      <c r="O22" s="168"/>
      <c r="P22" s="164"/>
      <c r="Q22" s="156"/>
      <c r="R22" s="164"/>
      <c r="S22" s="164"/>
      <c r="T22" s="164"/>
      <c r="U22" s="164"/>
      <c r="V22" s="169"/>
      <c r="W22" s="169"/>
      <c r="X22" s="169"/>
      <c r="Y22" s="16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row>
    <row r="23" spans="2:53" ht="17.399999999999999" customHeight="1">
      <c r="B23" s="160"/>
      <c r="C23" s="162"/>
      <c r="D23" s="162"/>
      <c r="E23" s="162"/>
      <c r="F23" s="162"/>
      <c r="G23" s="162"/>
      <c r="H23" s="162"/>
      <c r="I23" s="162"/>
      <c r="J23" s="176"/>
      <c r="K23" s="177"/>
      <c r="L23" s="162"/>
      <c r="M23" s="162"/>
      <c r="N23" s="167"/>
      <c r="O23" s="168"/>
      <c r="P23" s="164"/>
      <c r="Q23" s="164"/>
      <c r="R23" s="164"/>
      <c r="S23" s="164"/>
      <c r="T23" s="164"/>
      <c r="U23" s="164"/>
      <c r="V23" s="169"/>
      <c r="W23" s="169"/>
      <c r="X23" s="169"/>
      <c r="Y23" s="16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row>
    <row r="24" spans="2:53" ht="17.399999999999999" customHeight="1">
      <c r="B24" s="160"/>
      <c r="C24" s="162" t="s">
        <v>720</v>
      </c>
      <c r="D24" s="162"/>
      <c r="E24" s="162"/>
      <c r="F24" s="162"/>
      <c r="G24" s="162"/>
      <c r="H24" s="162"/>
      <c r="I24" s="162"/>
      <c r="J24" s="176"/>
      <c r="K24" s="2">
        <v>4530</v>
      </c>
      <c r="L24" s="182" t="s">
        <v>212</v>
      </c>
      <c r="M24" s="162"/>
      <c r="N24" s="167"/>
      <c r="O24" s="168"/>
      <c r="P24" s="164"/>
      <c r="Q24" s="164"/>
      <c r="R24" s="164"/>
      <c r="S24" s="164"/>
      <c r="T24" s="164"/>
      <c r="U24" s="164"/>
      <c r="V24" s="169"/>
      <c r="W24" s="169"/>
      <c r="X24" s="169"/>
      <c r="Y24" s="16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row>
    <row r="25" spans="2:53" ht="17.399999999999999" customHeight="1">
      <c r="B25" s="160"/>
      <c r="C25" s="162"/>
      <c r="D25" s="162"/>
      <c r="E25" s="162"/>
      <c r="F25" s="162"/>
      <c r="G25" s="162"/>
      <c r="H25" s="162"/>
      <c r="I25" s="162"/>
      <c r="J25" s="170"/>
      <c r="K25" s="162"/>
      <c r="L25" s="162"/>
      <c r="M25" s="162"/>
      <c r="N25" s="167"/>
      <c r="O25" s="168"/>
      <c r="P25" s="164"/>
      <c r="Q25" s="164"/>
      <c r="R25" s="164"/>
      <c r="S25" s="164"/>
      <c r="T25" s="164"/>
      <c r="U25" s="164"/>
      <c r="V25" s="169"/>
      <c r="W25" s="169"/>
      <c r="X25" s="169"/>
      <c r="Y25" s="16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row>
    <row r="26" spans="2:53" ht="17.399999999999999" customHeight="1">
      <c r="B26" s="160"/>
      <c r="C26" s="162" t="s">
        <v>474</v>
      </c>
      <c r="D26" s="162"/>
      <c r="E26" s="162"/>
      <c r="F26" s="162"/>
      <c r="G26" s="162"/>
      <c r="H26" s="162"/>
      <c r="I26" s="162"/>
      <c r="J26" s="170"/>
      <c r="K26" s="178">
        <f>'4'!H1/10</f>
        <v>0.5</v>
      </c>
      <c r="L26" s="182" t="s">
        <v>5</v>
      </c>
      <c r="M26" s="162"/>
      <c r="N26" s="167"/>
      <c r="O26" s="168"/>
      <c r="P26" s="164"/>
      <c r="Q26" s="164"/>
      <c r="R26" s="164"/>
      <c r="S26" s="164"/>
      <c r="T26" s="164"/>
      <c r="U26" s="164"/>
      <c r="V26" s="169"/>
      <c r="W26" s="169"/>
      <c r="X26" s="169"/>
      <c r="Y26" s="16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row>
    <row r="27" spans="2:53" ht="17.399999999999999" customHeight="1">
      <c r="B27" s="160"/>
      <c r="C27" s="162"/>
      <c r="D27" s="162"/>
      <c r="E27" s="162"/>
      <c r="F27" s="162"/>
      <c r="G27" s="162"/>
      <c r="H27" s="162"/>
      <c r="I27" s="162"/>
      <c r="J27" s="170"/>
      <c r="K27" s="162"/>
      <c r="L27" s="162"/>
      <c r="M27" s="162"/>
      <c r="N27" s="167"/>
      <c r="O27" s="168"/>
      <c r="P27" s="164"/>
      <c r="Q27" s="164"/>
      <c r="R27" s="164"/>
      <c r="S27" s="164"/>
      <c r="T27" s="164"/>
      <c r="U27" s="164"/>
      <c r="V27" s="169"/>
      <c r="W27" s="169"/>
      <c r="X27" s="169"/>
      <c r="Y27" s="16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row>
    <row r="28" spans="2:53" ht="17.399999999999999" customHeight="1">
      <c r="C28" s="183" t="s">
        <v>363</v>
      </c>
      <c r="O28" s="168"/>
      <c r="P28" s="164"/>
      <c r="Q28" s="164"/>
      <c r="R28" s="164"/>
      <c r="S28" s="164"/>
      <c r="T28" s="164"/>
      <c r="U28" s="164"/>
      <c r="V28" s="169"/>
      <c r="W28" s="169"/>
      <c r="X28" s="169"/>
      <c r="Y28" s="16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row>
    <row r="29" spans="2:53" ht="17.399999999999999" customHeight="1">
      <c r="C29" s="183"/>
      <c r="O29" s="168"/>
      <c r="P29" s="164"/>
      <c r="Q29" s="164"/>
      <c r="R29" s="164"/>
      <c r="S29" s="164"/>
      <c r="T29" s="164"/>
      <c r="U29" s="164"/>
      <c r="V29" s="169"/>
      <c r="W29" s="169"/>
      <c r="X29" s="169"/>
      <c r="Y29" s="16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row>
    <row r="30" spans="2:53" ht="17.399999999999999" customHeight="1">
      <c r="C30" s="183" t="s">
        <v>766</v>
      </c>
      <c r="F30" s="489" t="str">
        <f>IF(F5="","",F5)</f>
        <v/>
      </c>
      <c r="G30" s="490"/>
      <c r="H30" s="490"/>
      <c r="I30" s="490"/>
      <c r="J30" s="490"/>
      <c r="K30" s="490"/>
      <c r="O30" s="168"/>
      <c r="P30" s="164"/>
      <c r="Q30" s="164"/>
      <c r="R30" s="164"/>
      <c r="S30" s="164"/>
      <c r="T30" s="164"/>
      <c r="U30" s="164"/>
      <c r="V30" s="169"/>
      <c r="W30" s="169"/>
      <c r="X30" s="169"/>
      <c r="Y30" s="16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row>
    <row r="31" spans="2:53" ht="17.399999999999999" customHeight="1">
      <c r="C31" s="183" t="s">
        <v>767</v>
      </c>
      <c r="F31" s="491" t="str">
        <f>IF(F7="","",F7)</f>
        <v>IMI Hydronic Engineering</v>
      </c>
      <c r="G31" s="490"/>
      <c r="H31" s="490"/>
      <c r="I31" s="490"/>
      <c r="J31" s="490"/>
      <c r="K31" s="490"/>
      <c r="O31" s="168"/>
      <c r="P31" s="164"/>
      <c r="Q31" s="164"/>
      <c r="R31" s="164"/>
      <c r="S31" s="164"/>
      <c r="T31" s="164"/>
      <c r="U31" s="164"/>
      <c r="V31" s="169"/>
      <c r="W31" s="169"/>
      <c r="X31" s="169"/>
      <c r="Y31" s="16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row>
    <row r="32" spans="2:53" ht="17.399999999999999" customHeight="1">
      <c r="C32" s="332" t="s">
        <v>768</v>
      </c>
      <c r="D32" s="331"/>
      <c r="E32" s="330"/>
      <c r="F32" s="492">
        <f ca="1">NOW()</f>
        <v>44656.337238425927</v>
      </c>
      <c r="G32" s="492"/>
      <c r="J32" s="329"/>
      <c r="O32" s="168"/>
      <c r="P32" s="164"/>
      <c r="Q32" s="164"/>
      <c r="R32" s="164"/>
      <c r="S32" s="164"/>
      <c r="T32" s="164"/>
      <c r="U32" s="164"/>
      <c r="V32" s="169"/>
      <c r="W32" s="169"/>
      <c r="X32" s="169"/>
      <c r="Y32" s="16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row>
    <row r="33" spans="3:53" ht="17.399999999999999" customHeight="1">
      <c r="C33" s="183"/>
      <c r="J33" s="329"/>
      <c r="O33" s="168"/>
      <c r="P33" s="164"/>
      <c r="Q33" s="164"/>
      <c r="R33" s="164"/>
      <c r="S33" s="164"/>
      <c r="T33" s="164"/>
      <c r="U33" s="164"/>
      <c r="V33" s="169"/>
      <c r="W33" s="169"/>
      <c r="X33" s="169"/>
      <c r="Y33" s="16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row>
    <row r="34" spans="3:53" ht="17.399999999999999" customHeight="1">
      <c r="C34" s="183" t="s">
        <v>660</v>
      </c>
      <c r="O34" s="168"/>
      <c r="P34" s="164"/>
      <c r="Q34" s="164"/>
      <c r="R34" s="164"/>
      <c r="S34" s="164"/>
      <c r="T34" s="164"/>
      <c r="U34" s="164"/>
      <c r="V34" s="169"/>
      <c r="W34" s="169"/>
      <c r="X34" s="169"/>
      <c r="Y34" s="16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row>
    <row r="35" spans="3:53" ht="17.399999999999999" customHeight="1">
      <c r="C35" s="183"/>
      <c r="O35" s="168"/>
      <c r="P35" s="164"/>
      <c r="Q35" s="164"/>
      <c r="R35" s="164"/>
      <c r="S35" s="164"/>
      <c r="T35" s="164"/>
      <c r="U35" s="164"/>
      <c r="V35" s="169"/>
      <c r="W35" s="169"/>
      <c r="X35" s="169"/>
      <c r="Y35" s="16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row>
    <row r="36" spans="3:53" ht="17.399999999999999" customHeight="1">
      <c r="C36" s="183" t="s">
        <v>661</v>
      </c>
      <c r="K36" s="183">
        <f>K9</f>
        <v>40</v>
      </c>
      <c r="L36" s="183" t="str">
        <f>L9</f>
        <v>˚C</v>
      </c>
      <c r="O36" s="168"/>
      <c r="P36" s="164"/>
      <c r="Q36" s="164"/>
      <c r="R36" s="164"/>
      <c r="S36" s="164"/>
      <c r="T36" s="164"/>
      <c r="U36" s="164"/>
      <c r="V36" s="169"/>
      <c r="W36" s="169"/>
      <c r="X36" s="169"/>
      <c r="Y36" s="16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row>
    <row r="37" spans="3:53" ht="17.399999999999999" customHeight="1">
      <c r="C37" s="183" t="s">
        <v>662</v>
      </c>
      <c r="K37" s="183">
        <f>K11</f>
        <v>5</v>
      </c>
      <c r="L37" s="183" t="str">
        <f>L11</f>
        <v>˚C</v>
      </c>
      <c r="O37" s="168"/>
      <c r="P37" s="164"/>
      <c r="Q37" s="164"/>
      <c r="R37" s="164"/>
      <c r="S37" s="164"/>
      <c r="T37" s="164"/>
      <c r="U37" s="164"/>
      <c r="V37" s="169"/>
      <c r="W37" s="169"/>
      <c r="X37" s="169"/>
      <c r="Y37" s="16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row>
    <row r="38" spans="3:53" ht="17.399999999999999" customHeight="1">
      <c r="C38" s="183" t="s">
        <v>713</v>
      </c>
      <c r="J38" s="487" t="str">
        <f>'4'!F2</f>
        <v>woda</v>
      </c>
      <c r="K38" s="488"/>
      <c r="L38" s="488"/>
      <c r="M38" s="488"/>
      <c r="O38" s="168"/>
      <c r="P38" s="164"/>
      <c r="Q38" s="164"/>
      <c r="R38" s="164"/>
      <c r="S38" s="164"/>
      <c r="T38" s="164"/>
      <c r="U38" s="164"/>
      <c r="V38" s="169"/>
      <c r="W38" s="169"/>
      <c r="X38" s="169"/>
      <c r="Y38" s="16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row>
    <row r="39" spans="3:53" ht="17.399999999999999" customHeight="1">
      <c r="C39" s="183" t="s">
        <v>772</v>
      </c>
      <c r="K39" s="334">
        <f>L15</f>
        <v>88.7</v>
      </c>
      <c r="L39" s="183" t="s">
        <v>771</v>
      </c>
      <c r="O39" s="168"/>
      <c r="P39" s="164"/>
      <c r="Q39" s="164"/>
      <c r="R39" s="164"/>
      <c r="S39" s="164"/>
      <c r="T39" s="164"/>
      <c r="U39" s="164"/>
      <c r="V39" s="169"/>
      <c r="W39" s="169"/>
      <c r="X39" s="169"/>
      <c r="Y39" s="16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row>
    <row r="40" spans="3:53" ht="17.399999999999999" customHeight="1">
      <c r="C40" s="183" t="s">
        <v>717</v>
      </c>
      <c r="K40" s="183">
        <f>K17</f>
        <v>26</v>
      </c>
      <c r="L40" s="183" t="s">
        <v>7</v>
      </c>
      <c r="M40" s="1"/>
      <c r="O40" s="168"/>
      <c r="P40" s="164"/>
      <c r="Q40" s="164"/>
      <c r="R40" s="164"/>
      <c r="S40" s="164"/>
      <c r="T40" s="164"/>
      <c r="U40" s="164"/>
      <c r="V40" s="169"/>
      <c r="W40" s="169"/>
      <c r="X40" s="169"/>
      <c r="Y40" s="16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row>
    <row r="41" spans="3:53" ht="17.399999999999999" customHeight="1">
      <c r="C41" s="183" t="s">
        <v>718</v>
      </c>
      <c r="K41" s="216">
        <f>K19</f>
        <v>6</v>
      </c>
      <c r="L41" s="183" t="s">
        <v>3</v>
      </c>
      <c r="O41" s="168"/>
      <c r="P41" s="164"/>
      <c r="Q41" s="164"/>
      <c r="R41" s="164"/>
      <c r="S41" s="164"/>
      <c r="T41" s="164"/>
      <c r="U41" s="164"/>
      <c r="V41" s="169"/>
      <c r="W41" s="169"/>
      <c r="X41" s="169"/>
      <c r="Y41" s="16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row>
    <row r="42" spans="3:53" ht="17.399999999999999" customHeight="1">
      <c r="C42" s="183" t="s">
        <v>719</v>
      </c>
      <c r="K42" s="183">
        <f>K24</f>
        <v>4530</v>
      </c>
      <c r="L42" s="183" t="s">
        <v>212</v>
      </c>
      <c r="O42" s="168"/>
      <c r="P42" s="164"/>
      <c r="Q42" s="164"/>
      <c r="R42" s="164"/>
      <c r="S42" s="164"/>
      <c r="T42" s="164"/>
      <c r="U42" s="164"/>
      <c r="V42" s="169"/>
      <c r="W42" s="169"/>
      <c r="X42" s="169"/>
      <c r="Y42" s="16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row>
    <row r="43" spans="3:53" ht="17.399999999999999" customHeight="1">
      <c r="C43" s="183"/>
      <c r="O43" s="168"/>
      <c r="P43" s="164"/>
      <c r="Q43" s="164"/>
      <c r="R43" s="164"/>
      <c r="S43" s="164"/>
      <c r="T43" s="164"/>
      <c r="U43" s="164"/>
      <c r="V43" s="169"/>
      <c r="W43" s="169"/>
      <c r="X43" s="169"/>
      <c r="Y43" s="16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row>
    <row r="44" spans="3:53" ht="17.399999999999999" customHeight="1">
      <c r="C44" s="183" t="s">
        <v>20</v>
      </c>
      <c r="M44" s="184"/>
      <c r="O44" s="168"/>
      <c r="P44" s="164"/>
      <c r="Q44" s="164"/>
      <c r="R44" s="164"/>
      <c r="S44" s="164"/>
      <c r="T44" s="164"/>
      <c r="U44" s="164"/>
      <c r="V44" s="169"/>
      <c r="W44" s="169"/>
      <c r="X44" s="169"/>
      <c r="Y44" s="16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row>
    <row r="45" spans="3:53" ht="17.399999999999999" customHeight="1">
      <c r="L45" s="184"/>
      <c r="O45" s="168"/>
      <c r="P45" s="164"/>
      <c r="Q45" s="164"/>
      <c r="R45" s="164"/>
      <c r="S45" s="164"/>
      <c r="T45" s="164"/>
      <c r="U45" s="164"/>
      <c r="V45" s="169"/>
      <c r="W45" s="169"/>
      <c r="X45" s="169"/>
      <c r="Y45" s="16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row>
    <row r="46" spans="3:53" ht="17.399999999999999" customHeight="1">
      <c r="J46" s="1" t="s">
        <v>21</v>
      </c>
      <c r="O46" s="168"/>
      <c r="P46" s="164"/>
      <c r="Q46" s="164"/>
      <c r="R46" s="164"/>
      <c r="S46" s="164"/>
      <c r="T46" s="164"/>
      <c r="U46" s="164"/>
      <c r="V46" s="169"/>
      <c r="W46" s="169"/>
      <c r="X46" s="169"/>
      <c r="Y46" s="16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row>
    <row r="47" spans="3:53" ht="17.399999999999999" customHeight="1">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row>
    <row r="48" spans="3:53" ht="17.399999999999999" customHeight="1">
      <c r="C48" s="1" t="s">
        <v>0</v>
      </c>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row>
    <row r="49" spans="3:53" ht="17.399999999999999" customHeight="1">
      <c r="D49" s="157" t="s">
        <v>132</v>
      </c>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row>
    <row r="50" spans="3:53" ht="17.399999999999999" customHeight="1">
      <c r="D50" s="157" t="s">
        <v>23</v>
      </c>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row>
    <row r="51" spans="3:53" ht="17.399999999999999" customHeight="1">
      <c r="D51" s="157" t="s">
        <v>22</v>
      </c>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row>
    <row r="52" spans="3:53" ht="17.399999999999999" customHeight="1">
      <c r="D52" s="157" t="s">
        <v>65</v>
      </c>
      <c r="N52" s="186"/>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row>
    <row r="53" spans="3:53" ht="17.399999999999999" customHeight="1">
      <c r="D53" s="157" t="s">
        <v>46</v>
      </c>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row>
    <row r="54" spans="3:53" ht="17.399999999999999" customHeight="1">
      <c r="D54" s="157" t="s">
        <v>45</v>
      </c>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row>
    <row r="55" spans="3:53" ht="17.399999999999999" customHeight="1">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row>
    <row r="56" spans="3:53" ht="17.399999999999999" customHeight="1">
      <c r="C56" s="183" t="s">
        <v>24</v>
      </c>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row>
    <row r="57" spans="3:53" ht="17.399999999999999" customHeight="1">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row>
    <row r="58" spans="3:53" ht="17.399999999999999" customHeight="1">
      <c r="E58" s="187"/>
      <c r="F58" s="187"/>
      <c r="G58" s="157" t="s">
        <v>21</v>
      </c>
      <c r="H58" s="188"/>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row>
    <row r="59" spans="3:53" ht="17.399999999999999" customHeight="1">
      <c r="C59" s="1" t="s">
        <v>0</v>
      </c>
      <c r="I59" s="1"/>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row>
    <row r="60" spans="3:53" ht="17.399999999999999" customHeight="1">
      <c r="D60" s="157" t="s">
        <v>23</v>
      </c>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row>
    <row r="61" spans="3:53" ht="17.399999999999999" customHeight="1">
      <c r="D61" s="157" t="s">
        <v>25</v>
      </c>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row>
    <row r="62" spans="3:53" ht="17.399999999999999" customHeight="1">
      <c r="D62" s="157" t="s">
        <v>27</v>
      </c>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row>
    <row r="63" spans="3:53" ht="17.399999999999999" customHeight="1">
      <c r="E63" s="1"/>
      <c r="F63" s="1"/>
      <c r="G63" s="189"/>
      <c r="H63" s="189"/>
      <c r="I63" s="188"/>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row>
    <row r="64" spans="3:53" ht="17.399999999999999" customHeight="1">
      <c r="C64" s="1" t="s">
        <v>28</v>
      </c>
      <c r="E64" s="1"/>
      <c r="F64" s="1"/>
      <c r="G64" s="188"/>
      <c r="H64" s="188"/>
      <c r="I64" s="188"/>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row>
    <row r="65" spans="3:53" ht="17.399999999999999" customHeight="1">
      <c r="D65" s="1" t="s">
        <v>57</v>
      </c>
      <c r="E65" s="190">
        <f>L15*1000</f>
        <v>88700</v>
      </c>
      <c r="F65" s="157" t="s">
        <v>21</v>
      </c>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row>
    <row r="66" spans="3:53" ht="17.399999999999999" customHeight="1">
      <c r="D66" s="1" t="s">
        <v>59</v>
      </c>
      <c r="E66" s="12">
        <f>'4'!C23</f>
        <v>7.8613182826043314E-3</v>
      </c>
      <c r="F66" s="187"/>
      <c r="G66" s="191" t="s">
        <v>36</v>
      </c>
      <c r="H66" s="192" t="s">
        <v>60</v>
      </c>
      <c r="I66" s="157">
        <f>K9</f>
        <v>40</v>
      </c>
      <c r="J66" s="193" t="s">
        <v>33</v>
      </c>
      <c r="K66" s="157" t="s">
        <v>654</v>
      </c>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row>
    <row r="67" spans="3:53" ht="17.399999999999999" customHeight="1">
      <c r="H67" s="192" t="s">
        <v>647</v>
      </c>
      <c r="I67" s="157">
        <f>K11</f>
        <v>5</v>
      </c>
      <c r="J67" s="193" t="s">
        <v>33</v>
      </c>
      <c r="K67" s="157" t="str">
        <f>'4'!F2</f>
        <v>woda</v>
      </c>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row>
    <row r="68" spans="3:53" ht="17.399999999999999" customHeight="1">
      <c r="C68" s="1" t="s">
        <v>32</v>
      </c>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row>
    <row r="69" spans="3:53" ht="17.399999999999999" customHeight="1">
      <c r="D69" s="1" t="s">
        <v>58</v>
      </c>
      <c r="E69" s="184">
        <f>E65*E66</f>
        <v>697.29893166700424</v>
      </c>
      <c r="F69" s="157" t="s">
        <v>230</v>
      </c>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row>
    <row r="70" spans="3:53" ht="17.399999999999999" customHeight="1">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row>
    <row r="71" spans="3:53" ht="17.399999999999999" customHeight="1">
      <c r="C71" s="183" t="s">
        <v>37</v>
      </c>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row>
    <row r="72" spans="3:53" ht="17.399999999999999" customHeight="1">
      <c r="E72" s="194"/>
      <c r="F72" s="194"/>
      <c r="G72" s="188"/>
      <c r="H72" s="188"/>
      <c r="I72" s="188"/>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row>
    <row r="73" spans="3:53" ht="17.399999999999999" customHeight="1">
      <c r="G73" s="157" t="s">
        <v>21</v>
      </c>
      <c r="H73" s="157" t="s">
        <v>38</v>
      </c>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row>
    <row r="74" spans="3:53" ht="17.399999999999999" customHeight="1">
      <c r="C74" s="1" t="s">
        <v>0</v>
      </c>
      <c r="E74" s="1"/>
      <c r="F74" s="1"/>
      <c r="G74" s="189"/>
      <c r="H74" s="189"/>
      <c r="I74" s="188"/>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row>
    <row r="75" spans="3:53" ht="17.399999999999999" customHeight="1">
      <c r="D75" s="157" t="s">
        <v>22</v>
      </c>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row>
    <row r="76" spans="3:53" ht="17.399999999999999" customHeight="1">
      <c r="D76" s="157" t="s">
        <v>475</v>
      </c>
      <c r="I76" s="157" t="s">
        <v>473</v>
      </c>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row>
    <row r="77" spans="3:53" ht="17.399999999999999" customHeight="1">
      <c r="C77" s="183"/>
      <c r="D77" s="157" t="s">
        <v>27</v>
      </c>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row>
    <row r="78" spans="3:53" ht="17.399999999999999" customHeight="1">
      <c r="C78" s="183"/>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row>
    <row r="79" spans="3:53" ht="17.399999999999999" customHeight="1">
      <c r="C79" s="1" t="s">
        <v>28</v>
      </c>
      <c r="E79" s="1"/>
      <c r="F79" s="1"/>
      <c r="G79" s="195"/>
      <c r="H79" s="195"/>
      <c r="I79" s="188"/>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row>
    <row r="80" spans="3:53" ht="17.399999999999999" customHeight="1">
      <c r="D80" s="1" t="s">
        <v>57</v>
      </c>
      <c r="E80" s="190">
        <f>L15*1000</f>
        <v>88700</v>
      </c>
      <c r="F80" s="157" t="s">
        <v>21</v>
      </c>
      <c r="G80" s="196"/>
      <c r="H80" s="196"/>
      <c r="I80" s="197"/>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row>
    <row r="81" spans="3:53" ht="17.399999999999999" customHeight="1">
      <c r="D81" s="1" t="s">
        <v>476</v>
      </c>
      <c r="E81" s="157">
        <f>K26</f>
        <v>0.5</v>
      </c>
      <c r="F81" s="157" t="s">
        <v>264</v>
      </c>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row>
    <row r="82" spans="3:53" ht="17.399999999999999" customHeight="1">
      <c r="C82" s="1" t="s">
        <v>32</v>
      </c>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row>
    <row r="83" spans="3:53" ht="17.399999999999999" customHeight="1">
      <c r="D83" s="1" t="s">
        <v>61</v>
      </c>
      <c r="E83" s="184">
        <f>IF('4'!C24&lt;3,3,'4'!C24)</f>
        <v>443.5</v>
      </c>
      <c r="F83" s="157" t="s">
        <v>230</v>
      </c>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row>
    <row r="84" spans="3:53" ht="17.399999999999999" customHeight="1">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row>
    <row r="85" spans="3:53" ht="17.399999999999999" customHeight="1">
      <c r="C85" s="183" t="s">
        <v>40</v>
      </c>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row>
    <row r="86" spans="3:53" ht="17.399999999999999" customHeight="1">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row>
    <row r="87" spans="3:53" ht="17.399999999999999" customHeight="1">
      <c r="G87" s="157" t="s">
        <v>41</v>
      </c>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row>
    <row r="88" spans="3:53" ht="17.399999999999999" customHeight="1">
      <c r="C88" s="1" t="s">
        <v>0</v>
      </c>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row>
    <row r="89" spans="3:53" ht="17.399999999999999" customHeight="1">
      <c r="D89" s="157" t="s">
        <v>42</v>
      </c>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row>
    <row r="90" spans="3:53" ht="17.399999999999999" customHeight="1">
      <c r="C90" s="183"/>
      <c r="D90" s="157" t="s">
        <v>43</v>
      </c>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row>
    <row r="91" spans="3:53" ht="17.399999999999999" customHeight="1">
      <c r="D91" s="157" t="s">
        <v>44</v>
      </c>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row>
    <row r="92" spans="3:53" ht="17.399999999999999" customHeight="1">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row>
    <row r="93" spans="3:53" ht="17.399999999999999" customHeight="1">
      <c r="C93" s="1" t="s">
        <v>28</v>
      </c>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row>
    <row r="94" spans="3:53" ht="17.399999999999999" customHeight="1">
      <c r="D94" s="1" t="s">
        <v>62</v>
      </c>
      <c r="E94" s="157">
        <f>K17</f>
        <v>26</v>
      </c>
      <c r="F94" s="157" t="s">
        <v>231</v>
      </c>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row>
    <row r="95" spans="3:53" ht="17.399999999999999" customHeight="1">
      <c r="D95" s="1" t="s">
        <v>63</v>
      </c>
      <c r="E95" s="157">
        <f>IF(K9&gt;100,'4'!C25,0)</f>
        <v>0</v>
      </c>
      <c r="F95" s="157" t="s">
        <v>41</v>
      </c>
      <c r="G95" s="191" t="s">
        <v>36</v>
      </c>
      <c r="H95" s="192" t="s">
        <v>60</v>
      </c>
      <c r="I95" s="157">
        <f>K9</f>
        <v>40</v>
      </c>
      <c r="J95" s="193" t="s">
        <v>33</v>
      </c>
      <c r="L95" s="198"/>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row>
    <row r="96" spans="3:53" ht="17.399999999999999" customHeight="1">
      <c r="C96" s="1" t="s">
        <v>32</v>
      </c>
      <c r="G96" s="191"/>
      <c r="H96" s="157" t="s">
        <v>34</v>
      </c>
      <c r="K96" s="157" t="str">
        <f>'4'!F2</f>
        <v>woda</v>
      </c>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row>
    <row r="97" spans="3:53" ht="17.399999999999999" customHeight="1">
      <c r="D97" s="1" t="s">
        <v>64</v>
      </c>
      <c r="E97" s="184">
        <f>E94/10+E95+0.3</f>
        <v>2.9</v>
      </c>
      <c r="F97" s="199" t="s">
        <v>3</v>
      </c>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row>
    <row r="98" spans="3:53" ht="17.399999999999999" customHeight="1">
      <c r="E98" s="1"/>
      <c r="F98" s="1"/>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row>
    <row r="99" spans="3:53" ht="17.399999999999999" customHeight="1">
      <c r="C99" s="183" t="s">
        <v>66</v>
      </c>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row>
    <row r="100" spans="3:53" ht="17.399999999999999" customHeight="1">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row>
    <row r="101" spans="3:53" ht="17.399999999999999" customHeight="1">
      <c r="G101" s="157" t="s">
        <v>41</v>
      </c>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row>
    <row r="102" spans="3:53" ht="17.399999999999999" customHeight="1">
      <c r="C102" s="1" t="s">
        <v>0</v>
      </c>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row>
    <row r="103" spans="3:53" ht="17.399999999999999" customHeight="1">
      <c r="D103" s="157" t="s">
        <v>65</v>
      </c>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row>
    <row r="104" spans="3:53" ht="17.399999999999999" customHeight="1">
      <c r="D104" s="157" t="s">
        <v>67</v>
      </c>
      <c r="E104" s="190"/>
      <c r="F104" s="190"/>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row>
    <row r="105" spans="3:53" ht="17.399999999999999" customHeight="1">
      <c r="D105" s="157" t="s">
        <v>68</v>
      </c>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row>
    <row r="106" spans="3:53" ht="17.399999999999999" customHeight="1">
      <c r="C106" s="1" t="s">
        <v>28</v>
      </c>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row>
    <row r="107" spans="3:53" ht="17.399999999999999" customHeight="1">
      <c r="D107" s="1" t="s">
        <v>69</v>
      </c>
      <c r="E107" s="184">
        <f>K19</f>
        <v>6</v>
      </c>
      <c r="F107" s="200" t="s">
        <v>41</v>
      </c>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row>
    <row r="108" spans="3:53" ht="17.399999999999999" customHeight="1">
      <c r="C108" s="1"/>
      <c r="D108" s="201" t="s">
        <v>70</v>
      </c>
      <c r="E108" s="202">
        <f>IF(E107&gt;5,0.1*E107,0.5)</f>
        <v>0.60000000000000009</v>
      </c>
      <c r="F108" s="200" t="s">
        <v>41</v>
      </c>
      <c r="G108" s="203"/>
      <c r="H108" s="203"/>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row>
    <row r="109" spans="3:53" ht="17.399999999999999" customHeight="1">
      <c r="C109" s="1" t="s">
        <v>32</v>
      </c>
      <c r="E109" s="204"/>
      <c r="F109" s="205"/>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row>
    <row r="110" spans="3:53" ht="17.399999999999999" customHeight="1">
      <c r="D110" s="1" t="s">
        <v>71</v>
      </c>
      <c r="E110" s="184">
        <f>E107-E108</f>
        <v>5.4</v>
      </c>
      <c r="F110" s="200" t="s">
        <v>3</v>
      </c>
      <c r="J110" s="485"/>
      <c r="K110" s="486"/>
      <c r="L110" s="188"/>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row>
    <row r="111" spans="3:53" ht="17.399999999999999" customHeight="1">
      <c r="I111" s="206"/>
      <c r="J111" s="207"/>
      <c r="K111" s="183"/>
      <c r="L111" s="183"/>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row>
    <row r="112" spans="3:53" ht="17.399999999999999" customHeight="1">
      <c r="C112" s="183" t="s">
        <v>72</v>
      </c>
      <c r="J112" s="207"/>
      <c r="K112" s="183"/>
      <c r="L112" s="183"/>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row>
    <row r="113" spans="3:53" ht="17.399999999999999" customHeight="1">
      <c r="C113" s="157" t="s">
        <v>349</v>
      </c>
      <c r="J113" s="207"/>
      <c r="K113" s="183"/>
      <c r="L113" s="183"/>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row>
    <row r="114" spans="3:53" ht="17.399999999999999" customHeight="1">
      <c r="J114" s="207"/>
      <c r="K114" s="183"/>
      <c r="L114" s="183"/>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row>
    <row r="115" spans="3:53" ht="17.399999999999999" customHeight="1">
      <c r="D115" s="1" t="s">
        <v>75</v>
      </c>
      <c r="E115" s="204">
        <v>1.1000000000000001</v>
      </c>
      <c r="J115" s="209"/>
      <c r="K115" s="183"/>
      <c r="L115" s="183"/>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row>
    <row r="116" spans="3:53" ht="17.399999999999999" customHeight="1">
      <c r="J116" s="207"/>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row>
    <row r="117" spans="3:53" ht="17.399999999999999" customHeight="1">
      <c r="C117" s="183" t="s">
        <v>76</v>
      </c>
      <c r="J117" s="207"/>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row>
    <row r="118" spans="3:53" ht="17.399999999999999" customHeight="1">
      <c r="J118" s="207"/>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row>
    <row r="119" spans="3:53" ht="17.399999999999999" customHeight="1">
      <c r="C119" s="1" t="s">
        <v>28</v>
      </c>
      <c r="J119" s="207"/>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row>
    <row r="120" spans="3:53" ht="17.399999999999999" customHeight="1">
      <c r="D120" s="1" t="s">
        <v>58</v>
      </c>
      <c r="E120" s="184">
        <f>E69</f>
        <v>697.29893166700424</v>
      </c>
      <c r="F120" s="157" t="s">
        <v>21</v>
      </c>
      <c r="J120" s="207"/>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row>
    <row r="121" spans="3:53" ht="17.399999999999999" customHeight="1">
      <c r="D121" s="1" t="s">
        <v>61</v>
      </c>
      <c r="E121" s="184">
        <f>E83</f>
        <v>443.5</v>
      </c>
      <c r="F121" s="157" t="s">
        <v>21</v>
      </c>
      <c r="J121" s="207"/>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row>
    <row r="122" spans="3:53" ht="17.399999999999999" customHeight="1">
      <c r="D122" s="1" t="s">
        <v>71</v>
      </c>
      <c r="E122" s="184">
        <f>E110</f>
        <v>5.4</v>
      </c>
      <c r="F122" s="200" t="s">
        <v>41</v>
      </c>
      <c r="J122" s="207"/>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row>
    <row r="123" spans="3:53" ht="17.399999999999999" customHeight="1">
      <c r="D123" s="1" t="s">
        <v>64</v>
      </c>
      <c r="E123" s="184">
        <f>E97</f>
        <v>2.9</v>
      </c>
      <c r="F123" s="200" t="s">
        <v>41</v>
      </c>
      <c r="J123" s="207"/>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row>
    <row r="124" spans="3:53" ht="17.399999999999999" customHeight="1">
      <c r="C124" s="1" t="s">
        <v>32</v>
      </c>
      <c r="J124" s="207"/>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row>
    <row r="125" spans="3:53" ht="17.399999999999999" customHeight="1">
      <c r="D125" s="306" t="s">
        <v>727</v>
      </c>
      <c r="E125" s="307">
        <f>(E120+E121+'4'!D21)*E115</f>
        <v>1254.8788248337046</v>
      </c>
      <c r="F125" s="308" t="s">
        <v>728</v>
      </c>
      <c r="J125" s="207"/>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row>
    <row r="126" spans="3:53" ht="17.399999999999999" customHeight="1">
      <c r="J126" s="207"/>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row>
    <row r="127" spans="3:53" ht="17.399999999999999" customHeight="1">
      <c r="C127" s="183" t="s">
        <v>123</v>
      </c>
      <c r="J127" s="207"/>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row>
    <row r="128" spans="3:53" ht="17.399999999999999" customHeight="1">
      <c r="C128" s="183" t="s">
        <v>358</v>
      </c>
      <c r="J128" s="207"/>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row>
    <row r="129" spans="2:53" ht="17.399999999999999" customHeight="1">
      <c r="B129" s="160"/>
      <c r="C129" s="160"/>
      <c r="D129" s="160"/>
      <c r="E129" s="160"/>
      <c r="F129" s="160"/>
      <c r="G129" s="160"/>
      <c r="H129" s="160"/>
      <c r="I129" s="160"/>
      <c r="J129" s="297"/>
      <c r="K129" s="160"/>
      <c r="L129" s="160"/>
      <c r="M129" s="160"/>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row>
    <row r="130" spans="2:53" ht="17.399999999999999" customHeight="1">
      <c r="B130" s="160"/>
      <c r="C130" s="160"/>
      <c r="D130" s="160"/>
      <c r="E130" s="160"/>
      <c r="F130" s="160"/>
      <c r="G130" s="303" t="s">
        <v>124</v>
      </c>
      <c r="H130" s="162">
        <v>1</v>
      </c>
      <c r="I130" s="162" t="s">
        <v>1</v>
      </c>
      <c r="J130" s="298"/>
      <c r="K130" s="160"/>
      <c r="L130" s="160"/>
      <c r="M130" s="160"/>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row>
    <row r="131" spans="2:53" ht="17.399999999999999" customHeight="1">
      <c r="B131" s="160"/>
      <c r="C131" s="339" t="str">
        <f>C156</f>
        <v>Dobrane naczynia spełniają wymagania normy PN-EN-12828</v>
      </c>
      <c r="D131" s="160"/>
      <c r="E131" s="160"/>
      <c r="F131" s="299"/>
      <c r="G131" s="160"/>
      <c r="H131" s="160"/>
      <c r="I131" s="160"/>
      <c r="J131" s="298"/>
      <c r="K131" s="160"/>
      <c r="L131" s="160"/>
      <c r="M131" s="160"/>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row>
    <row r="132" spans="2:53" ht="17.399999999999999" customHeight="1">
      <c r="B132" s="160"/>
      <c r="C132" s="272" t="str">
        <f>C157</f>
        <v/>
      </c>
      <c r="D132" s="160"/>
      <c r="E132" s="160"/>
      <c r="F132" s="299"/>
      <c r="G132" s="160"/>
      <c r="H132" s="160"/>
      <c r="I132" s="160"/>
      <c r="J132" s="298"/>
      <c r="K132" s="160"/>
      <c r="L132" s="160"/>
      <c r="M132" s="160"/>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row>
    <row r="133" spans="2:53" ht="17.399999999999999" customHeight="1">
      <c r="C133" s="225" t="s">
        <v>359</v>
      </c>
      <c r="E133" s="184"/>
      <c r="F133" s="340" t="str">
        <f>IF('4'!F130=0,"",IF('4'!F23='4'!F130,"","BŁĄD!!! Dobrano inną pojemność naczynia dodatkowego niż podstawowego!"))</f>
        <v/>
      </c>
      <c r="G133" s="213"/>
      <c r="H133" s="213"/>
      <c r="I133" s="18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row>
    <row r="134" spans="2:53" ht="17.399999999999999" customHeight="1">
      <c r="B134" s="160"/>
      <c r="C134" s="160"/>
      <c r="D134" s="160"/>
      <c r="E134" s="160"/>
      <c r="F134" s="160"/>
      <c r="G134" s="160"/>
      <c r="H134" s="160"/>
      <c r="I134" s="160"/>
      <c r="J134" s="297"/>
      <c r="K134" s="160"/>
      <c r="L134" s="160"/>
      <c r="M134" s="160"/>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row>
    <row r="135" spans="2:53" ht="17.399999999999999" customHeight="1">
      <c r="B135" s="160"/>
      <c r="C135" s="160"/>
      <c r="D135" s="160"/>
      <c r="E135" s="160"/>
      <c r="F135" s="160"/>
      <c r="G135" s="303" t="s">
        <v>124</v>
      </c>
      <c r="H135" s="150">
        <v>1</v>
      </c>
      <c r="I135" s="162" t="s">
        <v>1</v>
      </c>
      <c r="J135" s="298"/>
      <c r="K135" s="160"/>
      <c r="L135" s="160"/>
      <c r="M135" s="160"/>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row>
    <row r="136" spans="2:53" ht="17.399999999999999" customHeight="1">
      <c r="B136" s="160"/>
      <c r="C136" s="339" t="str">
        <f>C156</f>
        <v>Dobrane naczynia spełniają wymagania normy PN-EN-12828</v>
      </c>
      <c r="D136" s="160"/>
      <c r="E136" s="300"/>
      <c r="F136" s="300"/>
      <c r="G136" s="301"/>
      <c r="H136" s="301"/>
      <c r="I136" s="302"/>
      <c r="J136" s="298"/>
      <c r="K136" s="160"/>
      <c r="L136" s="160"/>
      <c r="M136" s="160"/>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row>
    <row r="137" spans="2:53" ht="17.399999999999999" customHeight="1">
      <c r="B137" s="160"/>
      <c r="C137" s="272" t="str">
        <f>C157</f>
        <v/>
      </c>
      <c r="D137" s="160"/>
      <c r="E137" s="300"/>
      <c r="F137" s="300"/>
      <c r="G137" s="301"/>
      <c r="H137" s="301"/>
      <c r="I137" s="302"/>
      <c r="J137" s="298"/>
      <c r="K137" s="160"/>
      <c r="L137" s="160"/>
      <c r="M137" s="160"/>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row>
    <row r="138" spans="2:53" ht="17.399999999999999" customHeight="1">
      <c r="C138" s="212"/>
      <c r="E138" s="184"/>
      <c r="F138" s="184"/>
      <c r="G138" s="213"/>
      <c r="H138" s="213"/>
      <c r="I138" s="18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row>
    <row r="139" spans="2:53" ht="17.399999999999999" customHeight="1">
      <c r="C139" s="157" t="s">
        <v>610</v>
      </c>
      <c r="H139" s="157" t="str">
        <f>VLOOKUP('4'!B27,'4'!A29:G40,2,0)</f>
        <v>Transfero TG 1500   (podstawowe)</v>
      </c>
      <c r="L139" s="1" t="s">
        <v>130</v>
      </c>
      <c r="M139" s="188">
        <f>H130</f>
        <v>1</v>
      </c>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row>
    <row r="140" spans="2:53" ht="17.399999999999999" customHeight="1">
      <c r="C140" s="157" t="str">
        <f>IF(H135=0,"","oraz naczynie wzbiorcze dodatkowe:")</f>
        <v>oraz naczynie wzbiorcze dodatkowe:</v>
      </c>
      <c r="H140" s="157" t="str">
        <f>IF('4'!B133=1,"",VLOOKUP('4'!B133,'4'!A134:G146,2,0))</f>
        <v>Transfero TG 1500 E   (dodatkowe)</v>
      </c>
      <c r="L140" s="1" t="str">
        <f>IF(H135=0,"","w ilości:")</f>
        <v>w ilości:</v>
      </c>
      <c r="M140" s="188">
        <f>IF(H135=0,"",H135)</f>
        <v>1</v>
      </c>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row>
    <row r="141" spans="2:53" ht="17.399999999999999" customHeight="1">
      <c r="C141" s="157" t="s">
        <v>131</v>
      </c>
      <c r="F141" s="157">
        <f>'4'!F23*H130+H135*'4'!F130</f>
        <v>3000</v>
      </c>
      <c r="G141" s="157" t="s">
        <v>230</v>
      </c>
      <c r="L141" s="158"/>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row>
    <row r="142" spans="2:53" ht="17.399999999999999" customHeight="1">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row>
    <row r="143" spans="2:53" ht="17.399999999999999" customHeight="1">
      <c r="C143" s="183" t="s">
        <v>679</v>
      </c>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row>
    <row r="144" spans="2:53" ht="17.399999999999999" customHeight="1">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row>
    <row r="145" spans="3:53" ht="17.399999999999999" customHeight="1">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row>
    <row r="146" spans="3:53" ht="17.399999999999999" customHeight="1">
      <c r="C146" s="1" t="s">
        <v>0</v>
      </c>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row>
    <row r="147" spans="3:53" ht="17.399999999999999" customHeight="1">
      <c r="D147" s="157" t="s">
        <v>132</v>
      </c>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row>
    <row r="148" spans="3:53" ht="17.399999999999999" customHeight="1">
      <c r="D148" s="157" t="s">
        <v>133</v>
      </c>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row>
    <row r="149" spans="3:53" ht="17.399999999999999" customHeight="1">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row>
    <row r="150" spans="3:53" ht="17.399999999999999" customHeight="1">
      <c r="C150" s="1" t="s">
        <v>28</v>
      </c>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row>
    <row r="151" spans="3:53" ht="17.399999999999999" customHeight="1">
      <c r="D151" s="1" t="s">
        <v>136</v>
      </c>
      <c r="E151" s="187">
        <f>E125</f>
        <v>1254.8788248337046</v>
      </c>
      <c r="F151" s="157" t="s">
        <v>21</v>
      </c>
      <c r="G151" s="158"/>
      <c r="H151" s="158"/>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row>
    <row r="152" spans="3:53" ht="17.399999999999999" customHeight="1">
      <c r="D152" s="1" t="s">
        <v>137</v>
      </c>
      <c r="E152" s="1">
        <f>F141</f>
        <v>3000</v>
      </c>
      <c r="F152" s="157" t="s">
        <v>21</v>
      </c>
      <c r="G152" s="158"/>
      <c r="H152" s="158"/>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row>
    <row r="153" spans="3:53" ht="17.399999999999999" customHeight="1">
      <c r="E153" s="1"/>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row>
    <row r="154" spans="3:53" ht="17.399999999999999" customHeight="1">
      <c r="F154" s="157" t="s">
        <v>135</v>
      </c>
      <c r="G154" s="157" t="str">
        <f>IF(E152&gt;E151,"większe od",IF(E152=E151,"równe","mniejsze od"))</f>
        <v>większe od</v>
      </c>
      <c r="I154" s="157" t="s">
        <v>134</v>
      </c>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row>
    <row r="155" spans="3:53" ht="17.399999999999999" customHeight="1">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row>
    <row r="156" spans="3:53" ht="17.399999999999999" customHeight="1">
      <c r="C156" s="225" t="str">
        <f>IF(G154="mniejsze od","Dobrane naczynia nie spełniają wymogów normy PN-EN-12828","Dobrane naczynia spełniają wymagania normy PN-EN-12828")</f>
        <v>Dobrane naczynia spełniają wymagania normy PN-EN-12828</v>
      </c>
      <c r="J156" s="212"/>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row>
    <row r="157" spans="3:53" ht="17.399999999999999" customHeight="1">
      <c r="C157" s="212" t="str">
        <f>IF(G154="mniejsze od","Dobierz naczynie wzbiorcze o większej pojemności lub zwiększ ich liczbę!!!","")</f>
        <v/>
      </c>
      <c r="I157" s="212"/>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row>
    <row r="158" spans="3:53" ht="17.399999999999999" customHeight="1">
      <c r="C158" s="183" t="s">
        <v>988</v>
      </c>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row>
    <row r="159" spans="3:53" ht="17.399999999999999" customHeight="1">
      <c r="C159" s="157" t="s">
        <v>139</v>
      </c>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row>
    <row r="160" spans="3:53" ht="17.399999999999999" customHeight="1">
      <c r="D160" s="183" t="str">
        <f>H139</f>
        <v>Transfero TG 1500   (podstawowe)</v>
      </c>
      <c r="I160" s="183">
        <f>H130</f>
        <v>1</v>
      </c>
      <c r="J160" s="183" t="s">
        <v>1</v>
      </c>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row>
    <row r="161" spans="3:53" ht="17.399999999999999" customHeight="1">
      <c r="D161" s="157" t="s">
        <v>140</v>
      </c>
      <c r="I161" s="157">
        <f>VLOOKUP('4'!B27,'4'!A29:G40,3,0)</f>
        <v>1500</v>
      </c>
      <c r="J161" s="188" t="s">
        <v>141</v>
      </c>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row>
    <row r="162" spans="3:53" ht="17.399999999999999" customHeight="1">
      <c r="D162" s="157" t="s">
        <v>159</v>
      </c>
      <c r="I162" s="157">
        <f>VLOOKUP('4'!B27,'4'!A29:G40,4,0)</f>
        <v>2</v>
      </c>
      <c r="J162" s="188" t="s">
        <v>3</v>
      </c>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row>
    <row r="163" spans="3:53" ht="17.399999999999999" customHeight="1">
      <c r="D163" s="157" t="s">
        <v>142</v>
      </c>
      <c r="I163" s="229">
        <f>VLOOKUP('4'!B27,'4'!A29:G40,6,0)</f>
        <v>7131007</v>
      </c>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row>
    <row r="164" spans="3:53" ht="17.399999999999999" customHeight="1">
      <c r="D164" s="157" t="s">
        <v>145</v>
      </c>
      <c r="I164" s="157">
        <f>I161+'4'!F25</f>
        <v>1860</v>
      </c>
      <c r="J164" s="188" t="s">
        <v>146</v>
      </c>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row>
    <row r="165" spans="3:53" ht="17.399999999999999" customHeight="1">
      <c r="D165" s="157" t="s">
        <v>147</v>
      </c>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row>
    <row r="166" spans="3:53" ht="17.399999999999999" customHeight="1">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row>
    <row r="167" spans="3:53" ht="17.399999999999999" customHeight="1">
      <c r="D167" s="183" t="str">
        <f>H140</f>
        <v>Transfero TG 1500 E   (dodatkowe)</v>
      </c>
      <c r="I167" s="183">
        <f>IF('4'!B133=1,"",H135)</f>
        <v>1</v>
      </c>
      <c r="J167" s="183" t="str">
        <f>IF('4'!B133=1,"","szt.")</f>
        <v>szt.</v>
      </c>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row>
    <row r="168" spans="3:53" ht="17.399999999999999" customHeight="1">
      <c r="D168" s="157" t="str">
        <f>IF('4'!B133=1,"","o pojemności nominalnej jednego naczynia:")</f>
        <v>o pojemności nominalnej jednego naczynia:</v>
      </c>
      <c r="I168" s="157">
        <f>IF('4'!B133=1,"",VLOOKUP('4'!B133,'4'!A134:G146,3,0))</f>
        <v>1500</v>
      </c>
      <c r="J168" s="188" t="str">
        <f>IF('4'!B133=1,"","litrów")</f>
        <v>litrów</v>
      </c>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row>
    <row r="169" spans="3:53" ht="17.399999999999999" customHeight="1">
      <c r="D169" s="157" t="str">
        <f>IF('4'!B133=1,"","o ciśnieniu nominalnym PN:")</f>
        <v>o ciśnieniu nominalnym PN:</v>
      </c>
      <c r="I169" s="157">
        <f>IF('4'!B133=1,"",VLOOKUP('4'!B133,'4'!A134:G146,4,0))</f>
        <v>2</v>
      </c>
      <c r="J169" s="188" t="str">
        <f>IF('4'!B133=1,"","bar")</f>
        <v>bar</v>
      </c>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row>
    <row r="170" spans="3:53" ht="17.399999999999999" customHeight="1">
      <c r="D170" s="157" t="str">
        <f>IF('4'!B133=1,"","o nr artykułu:")</f>
        <v>o nr artykułu:</v>
      </c>
      <c r="I170" s="229">
        <f>IF('4'!B133=1,"",VLOOKUP('4'!B133,'4'!A134:G146,6,0))</f>
        <v>7132007</v>
      </c>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row>
    <row r="171" spans="3:53" ht="17.399999999999999" customHeight="1">
      <c r="D171" s="157" t="str">
        <f>IF('4'!B133=1,"","o wadze operacyjnej pojedynczego naczynia:")</f>
        <v>o wadze operacyjnej pojedynczego naczynia:</v>
      </c>
      <c r="I171" s="157">
        <f>IF('4'!B133=1,"",I168+'4'!F132)</f>
        <v>1860</v>
      </c>
      <c r="J171" s="188" t="str">
        <f>IF('4'!B133=1,"","kg")</f>
        <v>kg</v>
      </c>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row>
    <row r="172" spans="3:53" ht="17.399999999999999" customHeight="1">
      <c r="D172" s="157" t="str">
        <f>IF('4'!B133=1,"","(naczynie w 100% pełne)")</f>
        <v>(naczynie w 100% pełne)</v>
      </c>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row>
    <row r="173" spans="3:53" ht="17.399999999999999" customHeight="1">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row>
    <row r="174" spans="3:53" ht="17.399999999999999" customHeight="1">
      <c r="C174" s="183" t="s">
        <v>989</v>
      </c>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row>
    <row r="175" spans="3:53" ht="17.399999999999999" customHeight="1">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row>
    <row r="176" spans="3:53" ht="17.399999999999999" customHeight="1">
      <c r="C176" s="1" t="s">
        <v>351</v>
      </c>
      <c r="D176" s="184">
        <f>'Selection pman-p0-qN'!P21</f>
        <v>3.2284000000000002</v>
      </c>
      <c r="E176" s="157" t="s">
        <v>3</v>
      </c>
      <c r="H176" s="214"/>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row>
    <row r="177" spans="3:53" ht="17.399999999999999" customHeight="1">
      <c r="C177" s="227" t="s">
        <v>353</v>
      </c>
      <c r="D177" s="216">
        <f>'Selection pman-p0-qN'!P22</f>
        <v>3.4284000000000003</v>
      </c>
      <c r="E177" s="183" t="s">
        <v>3</v>
      </c>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row>
    <row r="178" spans="3:53" ht="17.399999999999999" customHeight="1">
      <c r="C178" s="1" t="s">
        <v>352</v>
      </c>
      <c r="D178" s="184">
        <f>'Selection pman-p0-qN'!P23</f>
        <v>3.6284000000000005</v>
      </c>
      <c r="E178" s="157" t="s">
        <v>3</v>
      </c>
      <c r="H178" s="184"/>
      <c r="K178" s="214"/>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row>
    <row r="179" spans="3:53" ht="17.399999999999999" customHeight="1">
      <c r="H179" s="214"/>
      <c r="K179" s="214"/>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row>
    <row r="180" spans="3:53" ht="17.399999999999999" customHeight="1">
      <c r="C180" s="215"/>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row>
    <row r="181" spans="3:53" ht="17.399999999999999" customHeight="1">
      <c r="C181" s="183" t="s">
        <v>990</v>
      </c>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row>
    <row r="182" spans="3:53" ht="17.399999999999999" customHeight="1">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row>
    <row r="183" spans="3:53" ht="17.399999999999999" customHeight="1">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row>
    <row r="184" spans="3:53" ht="17.399999999999999" customHeight="1">
      <c r="C184" s="216">
        <f>D176</f>
        <v>3.2284000000000002</v>
      </c>
      <c r="D184" s="183" t="s">
        <v>3</v>
      </c>
      <c r="L184" s="216">
        <f>D178</f>
        <v>3.6284000000000005</v>
      </c>
      <c r="M184" s="183" t="s">
        <v>3</v>
      </c>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row>
    <row r="185" spans="3:53" ht="17.399999999999999" customHeight="1">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row>
    <row r="186" spans="3:53" ht="17.399999999999999" customHeight="1">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row>
    <row r="187" spans="3:53" ht="17.399999999999999" customHeight="1">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row>
    <row r="188" spans="3:53" ht="17.399999999999999" customHeight="1">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row>
    <row r="189" spans="3:53" ht="17.399999999999999" customHeight="1">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row>
    <row r="190" spans="3:53" ht="17.399999999999999" customHeight="1">
      <c r="C190" s="216">
        <f>E97</f>
        <v>2.9</v>
      </c>
      <c r="D190" s="183" t="s">
        <v>3</v>
      </c>
      <c r="L190" s="216">
        <f>K19</f>
        <v>6</v>
      </c>
      <c r="M190" s="183" t="s">
        <v>3</v>
      </c>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row>
    <row r="191" spans="3:53" ht="17.399999999999999" customHeight="1">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row>
    <row r="192" spans="3:53" ht="17.399999999999999" customHeight="1">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row>
    <row r="193" spans="3:53" ht="17.399999999999999" customHeight="1">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row>
    <row r="194" spans="3:53" ht="17.399999999999999" customHeight="1">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row>
    <row r="195" spans="3:53" ht="17.399999999999999" customHeight="1">
      <c r="C195" s="183" t="s">
        <v>991</v>
      </c>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row>
    <row r="196" spans="3:53" ht="17.399999999999999" customHeight="1">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row>
    <row r="197" spans="3:53" ht="17.399999999999999" customHeight="1">
      <c r="C197" s="221" t="s">
        <v>741</v>
      </c>
      <c r="D197" s="221"/>
      <c r="E197" s="221"/>
      <c r="F197" s="221"/>
      <c r="G197" s="221"/>
      <c r="H197" s="221"/>
      <c r="I197" s="230"/>
      <c r="J197" s="231">
        <f>C184</f>
        <v>3.2284000000000002</v>
      </c>
      <c r="K197" s="230" t="s">
        <v>3</v>
      </c>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row>
    <row r="198" spans="3:53" ht="17.399999999999999" customHeight="1">
      <c r="C198" s="221" t="s">
        <v>161</v>
      </c>
      <c r="D198" s="221"/>
      <c r="E198" s="221"/>
      <c r="F198" s="221"/>
      <c r="G198" s="221"/>
      <c r="H198" s="221"/>
      <c r="I198" s="230"/>
      <c r="J198" s="231">
        <f>L190</f>
        <v>6</v>
      </c>
      <c r="K198" s="230" t="s">
        <v>3</v>
      </c>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row>
    <row r="199" spans="3:53" ht="17.399999999999999" customHeight="1">
      <c r="C199" s="218"/>
      <c r="D199" s="218"/>
      <c r="E199" s="218"/>
      <c r="F199" s="218"/>
      <c r="G199" s="218"/>
      <c r="H199" s="218"/>
      <c r="I199" s="218"/>
      <c r="J199" s="219"/>
      <c r="K199" s="218"/>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row>
    <row r="200" spans="3:53" ht="17.399999999999999" customHeight="1">
      <c r="C200" s="183" t="s">
        <v>992</v>
      </c>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row>
    <row r="201" spans="3:53" ht="17.399999999999999" customHeight="1">
      <c r="C201" s="157" t="s">
        <v>354</v>
      </c>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row>
    <row r="202" spans="3:53" ht="17.399999999999999" customHeight="1">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row>
    <row r="203" spans="3:53" ht="17.399999999999999" customHeight="1">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row>
    <row r="204" spans="3:53" ht="17.399999999999999" customHeight="1">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row>
    <row r="205" spans="3:53" ht="17.399999999999999" customHeight="1">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row>
    <row r="206" spans="3:53" ht="17.399999999999999" customHeight="1">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row>
    <row r="207" spans="3:53" ht="17.399999999999999" customHeight="1">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row>
    <row r="208" spans="3:53" ht="17.399999999999999" customHeight="1">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row>
    <row r="209" spans="15:53" ht="17.399999999999999" customHeight="1">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row>
    <row r="210" spans="15:53" ht="17.399999999999999" customHeight="1">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row>
    <row r="211" spans="15:53" ht="17.399999999999999" customHeight="1">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row>
    <row r="212" spans="15:53" ht="17.399999999999999" customHeight="1">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row>
    <row r="213" spans="15:53" ht="17.399999999999999" customHeight="1">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row>
    <row r="214" spans="15:53" ht="17.399999999999999" customHeight="1">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row>
    <row r="215" spans="15:53" ht="17.399999999999999" customHeight="1">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row>
    <row r="216" spans="15:53" ht="17.399999999999999" customHeight="1">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row>
    <row r="217" spans="15:53" ht="17.399999999999999" customHeight="1">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row>
    <row r="218" spans="15:53" ht="17.399999999999999" customHeight="1">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row>
    <row r="219" spans="15:53" ht="17.399999999999999" customHeight="1">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row>
    <row r="220" spans="15:53" ht="17.399999999999999" customHeight="1">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row>
    <row r="221" spans="15:53" ht="17.399999999999999" customHeight="1">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row>
    <row r="222" spans="15:53" ht="17.399999999999999" customHeight="1">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row>
    <row r="223" spans="15:53" ht="17.399999999999999" customHeight="1">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row>
    <row r="224" spans="15:53" ht="17.399999999999999" customHeight="1">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row>
    <row r="225" spans="15:53" ht="17.399999999999999" customHeight="1">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row>
    <row r="226" spans="15:53" ht="17.399999999999999" customHeight="1">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row>
    <row r="227" spans="15:53" ht="17.399999999999999" customHeight="1">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row>
    <row r="228" spans="15:53" ht="17.399999999999999" customHeight="1">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row>
    <row r="229" spans="15:53" ht="17.399999999999999" customHeight="1">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row>
    <row r="230" spans="15:53" ht="17.399999999999999" customHeight="1">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row>
    <row r="231" spans="15:53" ht="17.399999999999999" customHeight="1">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row>
    <row r="232" spans="15:53" ht="17.399999999999999" customHeight="1">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row>
    <row r="233" spans="15:53" ht="17.399999999999999" customHeight="1">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row>
    <row r="234" spans="15:53" ht="17.399999999999999" customHeight="1">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row>
    <row r="235" spans="15:53" ht="17.399999999999999" customHeight="1">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row>
    <row r="236" spans="15:53" ht="17.399999999999999" customHeight="1">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row>
    <row r="237" spans="15:53" ht="17.399999999999999" customHeight="1">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row>
    <row r="238" spans="15:53" ht="17.399999999999999" customHeight="1">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row>
    <row r="239" spans="15:53" ht="17.399999999999999" customHeight="1">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row>
    <row r="240" spans="15:53" ht="17.399999999999999" customHeight="1">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row>
    <row r="241" spans="2:53" ht="17.399999999999999" customHeight="1">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row>
    <row r="242" spans="2:53" ht="17.399999999999999" customHeight="1">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row>
    <row r="243" spans="2:53" ht="17.399999999999999" customHeight="1">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row>
    <row r="244" spans="2:53" ht="17.399999999999999" customHeight="1">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row>
    <row r="245" spans="2:53" ht="17.399999999999999" customHeight="1">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row>
    <row r="246" spans="2:53" ht="17.399999999999999" customHeight="1">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row>
    <row r="247" spans="2:53" ht="17.399999999999999" customHeight="1">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row>
    <row r="248" spans="2:53" ht="17.399999999999999" customHeight="1">
      <c r="C248" s="183" t="s">
        <v>470</v>
      </c>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row>
    <row r="249" spans="2:53" ht="17.399999999999999" customHeight="1">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row>
    <row r="250" spans="2:53" ht="17.399999999999999" customHeight="1">
      <c r="C250" s="227" t="s">
        <v>353</v>
      </c>
      <c r="D250" s="239">
        <f>D177</f>
        <v>3.4284000000000003</v>
      </c>
      <c r="E250" s="217" t="s">
        <v>3</v>
      </c>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row>
    <row r="251" spans="2:53" ht="17.399999999999999" customHeight="1">
      <c r="J251" s="157"/>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row>
    <row r="252" spans="2:53" ht="17.399999999999999" customHeight="1">
      <c r="B252" s="160"/>
      <c r="C252" s="160"/>
      <c r="D252" s="160"/>
      <c r="E252" s="160"/>
      <c r="F252" s="160"/>
      <c r="G252" s="160"/>
      <c r="H252" s="160"/>
      <c r="I252" s="160"/>
      <c r="J252" s="160"/>
      <c r="K252" s="160"/>
      <c r="L252" s="160"/>
      <c r="M252" s="160"/>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row>
    <row r="253" spans="2:53" ht="17.399999999999999" customHeight="1">
      <c r="B253" s="160"/>
      <c r="C253" s="160"/>
      <c r="D253" s="160"/>
      <c r="E253" s="160"/>
      <c r="F253" s="160"/>
      <c r="G253" s="160"/>
      <c r="H253" s="160"/>
      <c r="I253" s="160"/>
      <c r="J253" s="298"/>
      <c r="K253" s="160"/>
      <c r="L253" s="160"/>
      <c r="M253" s="160"/>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row>
    <row r="254" spans="2:53" ht="17.399999999999999" customHeight="1">
      <c r="B254" s="160"/>
      <c r="C254" s="160"/>
      <c r="D254" s="160"/>
      <c r="E254" s="160"/>
      <c r="F254" s="160"/>
      <c r="G254" s="160"/>
      <c r="H254" s="160"/>
      <c r="I254" s="160"/>
      <c r="J254" s="298"/>
      <c r="K254" s="160"/>
      <c r="L254" s="160"/>
      <c r="M254" s="160"/>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row>
    <row r="255" spans="2:53" ht="17.399999999999999" customHeight="1">
      <c r="B255" s="221"/>
      <c r="C255" s="221"/>
      <c r="D255" s="221"/>
      <c r="E255" s="221"/>
      <c r="F255" s="221"/>
      <c r="G255" s="221"/>
      <c r="H255" s="221"/>
      <c r="I255" s="221"/>
      <c r="J255" s="244"/>
      <c r="K255" s="221"/>
      <c r="L255" s="221"/>
      <c r="M255" s="221"/>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row>
    <row r="256" spans="2:53" ht="17.399999999999999" customHeight="1">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row>
    <row r="257" spans="2:53" ht="17.399999999999999" customHeight="1">
      <c r="C257" s="183" t="s">
        <v>993</v>
      </c>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row>
    <row r="258" spans="2:53" ht="17.399999999999999" customHeight="1">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row>
    <row r="259" spans="2:53" ht="17.399999999999999" customHeight="1">
      <c r="C259" s="183" t="s">
        <v>219</v>
      </c>
      <c r="H259" s="183" t="s">
        <v>220</v>
      </c>
      <c r="I259" s="183"/>
      <c r="J259" s="183" t="s">
        <v>221</v>
      </c>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row>
    <row r="260" spans="2:53" ht="17.399999999999999" customHeight="1">
      <c r="C260" s="183"/>
      <c r="H260" s="183"/>
      <c r="I260" s="183"/>
      <c r="J260" s="183"/>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row>
    <row r="261" spans="2:53" ht="17.399999999999999" customHeight="1">
      <c r="C261" s="157" t="str">
        <f>VLOOKUP('4'!B161,'4'!A163:B194,2,0)</f>
        <v>Transfero TV 8.1 EHC Connect</v>
      </c>
      <c r="H261" s="157">
        <v>1</v>
      </c>
      <c r="I261" s="183"/>
      <c r="J261" s="157">
        <f>VLOOKUP('4'!B161,'4'!A163:F194,6,0)</f>
        <v>8111542</v>
      </c>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row>
    <row r="262" spans="2:53" ht="17.399999999999999" customHeight="1">
      <c r="C262" s="157" t="str">
        <f>D160</f>
        <v>Transfero TG 1500   (podstawowe)</v>
      </c>
      <c r="H262" s="157">
        <f>I160</f>
        <v>1</v>
      </c>
      <c r="J262" s="190">
        <f>I163</f>
        <v>7131007</v>
      </c>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row>
    <row r="263" spans="2:53" ht="17.399999999999999" customHeight="1">
      <c r="C263" s="157" t="str">
        <f>D167</f>
        <v>Transfero TG 1500 E   (dodatkowe)</v>
      </c>
      <c r="H263" s="157">
        <f>I167</f>
        <v>1</v>
      </c>
      <c r="J263" s="190">
        <f>I170</f>
        <v>7132007</v>
      </c>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row>
    <row r="264" spans="2:53" ht="17.399999999999999" customHeight="1">
      <c r="C264" s="157" t="s">
        <v>90</v>
      </c>
      <c r="H264" s="157">
        <v>1</v>
      </c>
      <c r="J264" s="190">
        <v>7103006</v>
      </c>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row>
    <row r="265" spans="2:53" ht="17.399999999999999" customHeight="1">
      <c r="C265" s="157" t="s">
        <v>222</v>
      </c>
      <c r="H265" s="157">
        <v>1</v>
      </c>
      <c r="J265" s="190">
        <v>5351434</v>
      </c>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row>
    <row r="266" spans="2:53" ht="17.399999999999999" customHeight="1">
      <c r="C266" s="210" t="s">
        <v>8</v>
      </c>
      <c r="D266" s="210"/>
      <c r="E266" s="210"/>
      <c r="F266" s="210"/>
      <c r="G266" s="210"/>
      <c r="H266" s="210"/>
      <c r="M266" s="222"/>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row>
    <row r="267" spans="2:53" ht="17.399999999999999" customHeight="1">
      <c r="B267" s="156"/>
      <c r="C267" s="156"/>
      <c r="D267" s="156"/>
      <c r="E267" s="156"/>
      <c r="F267" s="156"/>
      <c r="G267" s="156"/>
      <c r="H267" s="156"/>
      <c r="I267" s="156"/>
      <c r="J267" s="223"/>
      <c r="K267" s="156"/>
      <c r="L267" s="156"/>
      <c r="M267" s="156"/>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row>
    <row r="268" spans="2:53" ht="17.399999999999999" customHeight="1">
      <c r="B268" s="156"/>
      <c r="C268" s="156"/>
      <c r="D268" s="156"/>
      <c r="E268" s="156"/>
      <c r="F268" s="156"/>
      <c r="G268" s="156"/>
      <c r="H268" s="156"/>
      <c r="I268" s="156"/>
      <c r="J268" s="223"/>
      <c r="K268" s="156"/>
      <c r="L268" s="156"/>
      <c r="M268" s="156"/>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row>
    <row r="269" spans="2:53" ht="17.399999999999999" customHeight="1">
      <c r="B269" s="156"/>
      <c r="C269" s="156"/>
      <c r="D269" s="156"/>
      <c r="E269" s="156"/>
      <c r="F269" s="156"/>
      <c r="G269" s="156"/>
      <c r="H269" s="156"/>
      <c r="I269" s="156"/>
      <c r="J269" s="223"/>
      <c r="K269" s="156"/>
      <c r="L269" s="156"/>
      <c r="M269" s="156"/>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row>
    <row r="270" spans="2:53" ht="17.399999999999999" customHeight="1">
      <c r="B270" s="156"/>
      <c r="C270" s="156"/>
      <c r="D270" s="156"/>
      <c r="E270" s="156"/>
      <c r="F270" s="156"/>
      <c r="G270" s="156"/>
      <c r="H270" s="156"/>
      <c r="I270" s="156"/>
      <c r="J270" s="223"/>
      <c r="K270" s="156"/>
      <c r="L270" s="156"/>
      <c r="M270" s="156"/>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row>
    <row r="271" spans="2:53" ht="17.399999999999999" customHeight="1">
      <c r="B271" s="156"/>
      <c r="C271" s="156"/>
      <c r="D271" s="156"/>
      <c r="E271" s="156"/>
      <c r="F271" s="156"/>
      <c r="G271" s="156"/>
      <c r="H271" s="156"/>
      <c r="I271" s="156"/>
      <c r="J271" s="223"/>
      <c r="K271" s="156"/>
      <c r="L271" s="156"/>
      <c r="M271" s="156"/>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row>
    <row r="272" spans="2:53" ht="17.399999999999999" customHeight="1">
      <c r="B272" s="159"/>
      <c r="C272" s="156"/>
      <c r="D272" s="156"/>
      <c r="E272" s="156"/>
      <c r="F272" s="156"/>
      <c r="G272" s="156"/>
      <c r="H272" s="156"/>
      <c r="I272" s="156"/>
      <c r="J272" s="223"/>
      <c r="K272" s="156"/>
      <c r="L272" s="156"/>
      <c r="M272" s="156"/>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row>
    <row r="273" spans="2:53" ht="17.399999999999999" customHeight="1">
      <c r="B273" s="159"/>
      <c r="C273" s="159"/>
      <c r="D273" s="159"/>
      <c r="E273" s="159"/>
      <c r="F273" s="159"/>
      <c r="G273" s="159"/>
      <c r="H273" s="159"/>
      <c r="I273" s="159"/>
      <c r="J273" s="224"/>
      <c r="K273" s="159"/>
      <c r="L273" s="159"/>
      <c r="M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row>
    <row r="274" spans="2:53" ht="17.399999999999999" customHeight="1">
      <c r="B274" s="159"/>
      <c r="C274" s="159"/>
      <c r="D274" s="159"/>
      <c r="E274" s="159"/>
      <c r="F274" s="159"/>
      <c r="G274" s="159"/>
      <c r="H274" s="159"/>
      <c r="I274" s="159"/>
      <c r="J274" s="224"/>
      <c r="K274" s="159"/>
      <c r="L274" s="159"/>
      <c r="M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row>
    <row r="275" spans="2:53" ht="17.399999999999999" customHeight="1">
      <c r="B275" s="159"/>
      <c r="C275" s="159"/>
      <c r="D275" s="159"/>
      <c r="E275" s="159"/>
      <c r="F275" s="159"/>
      <c r="G275" s="159"/>
      <c r="H275" s="159"/>
      <c r="I275" s="159"/>
      <c r="J275" s="224"/>
      <c r="K275" s="159"/>
      <c r="L275" s="159"/>
      <c r="M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row>
    <row r="276" spans="2:53" ht="17.399999999999999" customHeight="1">
      <c r="B276" s="159"/>
      <c r="C276" s="159"/>
      <c r="D276" s="159"/>
      <c r="E276" s="159"/>
      <c r="F276" s="159"/>
      <c r="G276" s="159"/>
      <c r="H276" s="159"/>
      <c r="I276" s="159"/>
      <c r="J276" s="224"/>
      <c r="K276" s="159"/>
      <c r="L276" s="159"/>
      <c r="M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row>
    <row r="277" spans="2:53" ht="17.399999999999999" customHeight="1">
      <c r="B277" s="159"/>
      <c r="C277" s="159"/>
      <c r="D277" s="159"/>
      <c r="E277" s="159"/>
      <c r="F277" s="159"/>
      <c r="G277" s="159"/>
      <c r="H277" s="159"/>
      <c r="I277" s="159"/>
      <c r="J277" s="224"/>
      <c r="K277" s="159"/>
      <c r="L277" s="159"/>
      <c r="M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row>
    <row r="278" spans="2:53" ht="17.399999999999999" customHeight="1">
      <c r="B278" s="159"/>
      <c r="C278" s="159"/>
      <c r="D278" s="159"/>
      <c r="E278" s="159"/>
      <c r="F278" s="159"/>
      <c r="G278" s="159"/>
      <c r="H278" s="159"/>
      <c r="I278" s="159"/>
      <c r="J278" s="224"/>
      <c r="K278" s="159"/>
      <c r="L278" s="159"/>
      <c r="M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row>
    <row r="279" spans="2:53" ht="17.399999999999999" customHeight="1">
      <c r="B279" s="159"/>
      <c r="C279" s="159"/>
      <c r="D279" s="159"/>
      <c r="E279" s="159"/>
      <c r="F279" s="159"/>
      <c r="G279" s="159"/>
      <c r="H279" s="159"/>
      <c r="I279" s="159"/>
      <c r="J279" s="224"/>
      <c r="K279" s="159"/>
      <c r="L279" s="159"/>
      <c r="M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row>
    <row r="280" spans="2:53" ht="17.399999999999999" customHeight="1">
      <c r="B280" s="159"/>
      <c r="C280" s="159"/>
      <c r="D280" s="159"/>
      <c r="E280" s="159"/>
      <c r="F280" s="159"/>
      <c r="G280" s="159"/>
      <c r="H280" s="159"/>
      <c r="I280" s="159"/>
      <c r="J280" s="224"/>
      <c r="K280" s="159"/>
      <c r="L280" s="159"/>
      <c r="M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row>
    <row r="281" spans="2:53" ht="17.399999999999999" customHeight="1">
      <c r="B281" s="159"/>
      <c r="C281" s="159"/>
      <c r="D281" s="159"/>
      <c r="E281" s="159"/>
      <c r="F281" s="159"/>
      <c r="G281" s="159"/>
      <c r="H281" s="159"/>
      <c r="I281" s="159"/>
      <c r="J281" s="224"/>
      <c r="K281" s="159"/>
      <c r="L281" s="159"/>
      <c r="M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row>
    <row r="282" spans="2:53" ht="17.399999999999999" customHeight="1">
      <c r="B282" s="159"/>
      <c r="C282" s="159"/>
      <c r="D282" s="159"/>
      <c r="E282" s="159"/>
      <c r="F282" s="159"/>
      <c r="G282" s="159"/>
      <c r="H282" s="159"/>
      <c r="I282" s="159"/>
      <c r="J282" s="224"/>
      <c r="K282" s="159"/>
      <c r="L282" s="159"/>
      <c r="M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row>
    <row r="283" spans="2:53" ht="17.399999999999999" customHeight="1">
      <c r="B283" s="159"/>
      <c r="C283" s="159"/>
      <c r="D283" s="159"/>
      <c r="E283" s="159"/>
      <c r="F283" s="159"/>
      <c r="G283" s="159"/>
      <c r="H283" s="159"/>
      <c r="I283" s="159"/>
      <c r="J283" s="224"/>
      <c r="K283" s="159"/>
      <c r="L283" s="159"/>
      <c r="M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row>
    <row r="284" spans="2:53" ht="17.399999999999999" customHeight="1">
      <c r="B284" s="159"/>
      <c r="C284" s="159"/>
      <c r="D284" s="159"/>
      <c r="E284" s="159"/>
      <c r="F284" s="159"/>
      <c r="G284" s="159"/>
      <c r="H284" s="159"/>
      <c r="I284" s="159"/>
      <c r="J284" s="224"/>
      <c r="K284" s="159"/>
      <c r="L284" s="159"/>
      <c r="M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row>
    <row r="285" spans="2:53" ht="17.399999999999999" customHeight="1">
      <c r="B285" s="159"/>
      <c r="C285" s="159"/>
      <c r="D285" s="159"/>
      <c r="E285" s="159"/>
      <c r="F285" s="159"/>
      <c r="G285" s="159"/>
      <c r="H285" s="159"/>
      <c r="I285" s="159"/>
      <c r="J285" s="224"/>
      <c r="K285" s="159"/>
      <c r="L285" s="159"/>
      <c r="M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row>
    <row r="286" spans="2:53" ht="17.399999999999999" customHeight="1">
      <c r="B286" s="159"/>
      <c r="C286" s="159"/>
      <c r="D286" s="159"/>
      <c r="E286" s="159"/>
      <c r="F286" s="159"/>
      <c r="G286" s="159"/>
      <c r="H286" s="159"/>
      <c r="I286" s="159"/>
      <c r="J286" s="224"/>
      <c r="K286" s="159"/>
      <c r="L286" s="159"/>
      <c r="M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row>
    <row r="287" spans="2:53" ht="17.399999999999999" customHeight="1">
      <c r="B287" s="159"/>
      <c r="C287" s="159"/>
      <c r="D287" s="159"/>
      <c r="E287" s="159"/>
      <c r="F287" s="159"/>
      <c r="G287" s="159"/>
      <c r="H287" s="159"/>
      <c r="I287" s="159"/>
      <c r="J287" s="224"/>
      <c r="K287" s="159"/>
      <c r="L287" s="159"/>
      <c r="M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row>
    <row r="288" spans="2:53" ht="17.399999999999999" customHeight="1">
      <c r="B288" s="159"/>
      <c r="C288" s="159"/>
      <c r="D288" s="159"/>
      <c r="E288" s="159"/>
      <c r="F288" s="159"/>
      <c r="G288" s="159"/>
      <c r="H288" s="159"/>
      <c r="I288" s="159"/>
      <c r="J288" s="224"/>
      <c r="K288" s="159"/>
      <c r="L288" s="159"/>
      <c r="M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row>
    <row r="289" spans="2:53" ht="17.399999999999999" customHeight="1">
      <c r="B289" s="159"/>
      <c r="C289" s="159"/>
      <c r="D289" s="159"/>
      <c r="E289" s="159"/>
      <c r="F289" s="159"/>
      <c r="G289" s="159"/>
      <c r="H289" s="159"/>
      <c r="I289" s="159"/>
      <c r="J289" s="224"/>
      <c r="K289" s="159"/>
      <c r="L289" s="159"/>
      <c r="M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row>
    <row r="290" spans="2:53" ht="17.399999999999999" customHeight="1">
      <c r="B290" s="159"/>
      <c r="C290" s="159"/>
      <c r="D290" s="159"/>
      <c r="E290" s="159"/>
      <c r="F290" s="159"/>
      <c r="G290" s="159"/>
      <c r="H290" s="159"/>
      <c r="I290" s="159"/>
      <c r="J290" s="224"/>
      <c r="K290" s="159"/>
      <c r="L290" s="159"/>
      <c r="M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row>
    <row r="291" spans="2:53" ht="17.399999999999999" customHeight="1">
      <c r="B291" s="159"/>
      <c r="C291" s="159"/>
      <c r="D291" s="159"/>
      <c r="E291" s="159"/>
      <c r="F291" s="159"/>
      <c r="G291" s="159"/>
      <c r="H291" s="159"/>
      <c r="I291" s="159"/>
      <c r="J291" s="224"/>
      <c r="K291" s="159"/>
      <c r="L291" s="159"/>
      <c r="M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row>
    <row r="292" spans="2:53" ht="17.399999999999999" customHeight="1">
      <c r="B292" s="159"/>
      <c r="C292" s="159"/>
      <c r="D292" s="159"/>
      <c r="E292" s="159"/>
      <c r="F292" s="159"/>
      <c r="G292" s="159"/>
      <c r="H292" s="159"/>
      <c r="I292" s="159"/>
      <c r="J292" s="224"/>
      <c r="K292" s="159"/>
      <c r="L292" s="159"/>
      <c r="M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row>
    <row r="293" spans="2:53" ht="17.399999999999999" customHeight="1">
      <c r="B293" s="159"/>
      <c r="C293" s="159"/>
      <c r="D293" s="159"/>
      <c r="E293" s="159"/>
      <c r="F293" s="159"/>
      <c r="G293" s="159"/>
      <c r="H293" s="159"/>
      <c r="I293" s="159"/>
      <c r="J293" s="224"/>
      <c r="K293" s="159"/>
      <c r="L293" s="159"/>
      <c r="M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row>
    <row r="294" spans="2:53" ht="17.399999999999999" customHeight="1">
      <c r="B294" s="159"/>
      <c r="C294" s="159"/>
      <c r="D294" s="159"/>
      <c r="E294" s="159"/>
      <c r="F294" s="159"/>
      <c r="G294" s="159"/>
      <c r="H294" s="159"/>
      <c r="I294" s="159"/>
      <c r="J294" s="224"/>
      <c r="K294" s="159"/>
      <c r="L294" s="159"/>
      <c r="M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row>
    <row r="295" spans="2:53" ht="17.399999999999999" customHeight="1">
      <c r="B295" s="159"/>
      <c r="C295" s="159"/>
      <c r="D295" s="159"/>
      <c r="E295" s="159"/>
      <c r="F295" s="159"/>
      <c r="G295" s="159"/>
      <c r="H295" s="159"/>
      <c r="I295" s="159"/>
      <c r="J295" s="224"/>
      <c r="K295" s="159"/>
      <c r="L295" s="159"/>
      <c r="M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row>
    <row r="296" spans="2:53" ht="17.399999999999999" customHeight="1">
      <c r="B296" s="159"/>
      <c r="C296" s="159"/>
      <c r="D296" s="159"/>
      <c r="E296" s="159"/>
      <c r="F296" s="159"/>
      <c r="G296" s="159"/>
      <c r="H296" s="159"/>
      <c r="I296" s="159"/>
      <c r="J296" s="224"/>
      <c r="K296" s="159"/>
      <c r="L296" s="159"/>
      <c r="M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row>
    <row r="297" spans="2:53" ht="17.399999999999999" customHeight="1">
      <c r="B297" s="159"/>
      <c r="C297" s="159"/>
      <c r="D297" s="159"/>
      <c r="E297" s="159"/>
      <c r="F297" s="159"/>
      <c r="G297" s="159"/>
      <c r="H297" s="159"/>
      <c r="I297" s="159"/>
      <c r="J297" s="224"/>
      <c r="K297" s="159"/>
      <c r="L297" s="159"/>
      <c r="M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row>
    <row r="298" spans="2:53" ht="17.399999999999999" customHeight="1">
      <c r="B298" s="159"/>
      <c r="C298" s="159"/>
      <c r="D298" s="159"/>
      <c r="E298" s="159"/>
      <c r="F298" s="159"/>
      <c r="G298" s="159"/>
      <c r="H298" s="159"/>
      <c r="I298" s="159"/>
      <c r="J298" s="224"/>
      <c r="K298" s="159"/>
      <c r="L298" s="159"/>
      <c r="M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row>
    <row r="299" spans="2:53" ht="17.399999999999999" customHeight="1">
      <c r="B299" s="159"/>
      <c r="C299" s="159"/>
      <c r="D299" s="159"/>
      <c r="E299" s="159"/>
      <c r="F299" s="159"/>
      <c r="G299" s="159"/>
      <c r="H299" s="159"/>
      <c r="I299" s="159"/>
      <c r="J299" s="224"/>
      <c r="K299" s="159"/>
      <c r="L299" s="159"/>
      <c r="M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row>
    <row r="300" spans="2:53" ht="17.399999999999999" customHeight="1">
      <c r="B300" s="159"/>
      <c r="C300" s="159"/>
      <c r="D300" s="159"/>
      <c r="E300" s="159"/>
      <c r="F300" s="159"/>
      <c r="G300" s="159"/>
      <c r="H300" s="159"/>
      <c r="I300" s="159"/>
      <c r="J300" s="224"/>
      <c r="K300" s="159"/>
      <c r="L300" s="159"/>
      <c r="M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row>
    <row r="301" spans="2:53" ht="17.399999999999999" customHeight="1">
      <c r="B301" s="159"/>
      <c r="C301" s="159"/>
      <c r="D301" s="159"/>
      <c r="E301" s="159"/>
      <c r="F301" s="159"/>
      <c r="G301" s="159"/>
      <c r="H301" s="159"/>
      <c r="I301" s="159"/>
      <c r="J301" s="224"/>
      <c r="K301" s="159"/>
      <c r="L301" s="159"/>
      <c r="M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row>
    <row r="302" spans="2:53" ht="17.399999999999999" customHeight="1">
      <c r="B302" s="159"/>
      <c r="C302" s="159"/>
      <c r="D302" s="159"/>
      <c r="E302" s="159"/>
      <c r="F302" s="159"/>
      <c r="G302" s="159"/>
      <c r="H302" s="159"/>
      <c r="I302" s="159"/>
      <c r="J302" s="224"/>
      <c r="K302" s="159"/>
      <c r="L302" s="159"/>
      <c r="M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row>
    <row r="303" spans="2:53" ht="17.399999999999999" customHeight="1">
      <c r="B303" s="159"/>
      <c r="C303" s="159"/>
      <c r="D303" s="159"/>
      <c r="E303" s="159"/>
      <c r="F303" s="159"/>
      <c r="G303" s="159"/>
      <c r="H303" s="159"/>
      <c r="I303" s="159"/>
      <c r="J303" s="224"/>
      <c r="K303" s="159"/>
      <c r="L303" s="159"/>
      <c r="M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row>
    <row r="304" spans="2:53" ht="17.399999999999999" customHeight="1">
      <c r="B304" s="159"/>
      <c r="C304" s="159"/>
      <c r="D304" s="159"/>
      <c r="E304" s="159"/>
      <c r="F304" s="159"/>
      <c r="G304" s="159"/>
      <c r="H304" s="159"/>
      <c r="I304" s="159"/>
      <c r="J304" s="224"/>
      <c r="K304" s="159"/>
      <c r="L304" s="159"/>
      <c r="M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row>
    <row r="305" spans="2:53" ht="17.399999999999999" customHeight="1">
      <c r="B305" s="159"/>
      <c r="C305" s="159"/>
      <c r="D305" s="159"/>
      <c r="E305" s="159"/>
      <c r="F305" s="159"/>
      <c r="G305" s="159"/>
      <c r="H305" s="159"/>
      <c r="I305" s="159"/>
      <c r="J305" s="224"/>
      <c r="K305" s="159"/>
      <c r="L305" s="159"/>
      <c r="M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row>
    <row r="306" spans="2:53" ht="17.399999999999999" customHeight="1">
      <c r="B306" s="159"/>
      <c r="C306" s="159"/>
      <c r="D306" s="159"/>
      <c r="E306" s="159"/>
      <c r="F306" s="159"/>
      <c r="G306" s="159"/>
      <c r="H306" s="159"/>
      <c r="I306" s="159"/>
      <c r="J306" s="224"/>
      <c r="K306" s="159"/>
      <c r="L306" s="159"/>
      <c r="M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row>
    <row r="307" spans="2:53" ht="17.399999999999999" customHeight="1">
      <c r="B307" s="159"/>
      <c r="C307" s="159"/>
      <c r="D307" s="159"/>
      <c r="E307" s="159"/>
      <c r="F307" s="159"/>
      <c r="G307" s="159"/>
      <c r="H307" s="159"/>
      <c r="I307" s="159"/>
      <c r="J307" s="224"/>
      <c r="K307" s="159"/>
      <c r="L307" s="159"/>
      <c r="M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row>
    <row r="308" spans="2:53" ht="17.399999999999999" customHeight="1">
      <c r="B308" s="159"/>
      <c r="C308" s="159"/>
      <c r="D308" s="159"/>
      <c r="E308" s="159"/>
      <c r="F308" s="159"/>
      <c r="G308" s="159"/>
      <c r="H308" s="159"/>
      <c r="I308" s="159"/>
      <c r="J308" s="224"/>
      <c r="K308" s="159"/>
      <c r="L308" s="159"/>
      <c r="M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row>
    <row r="309" spans="2:53" ht="17.399999999999999" customHeight="1">
      <c r="B309" s="159"/>
      <c r="C309" s="159"/>
      <c r="D309" s="159"/>
      <c r="E309" s="159"/>
      <c r="F309" s="159"/>
      <c r="G309" s="159"/>
      <c r="H309" s="159"/>
      <c r="I309" s="159"/>
      <c r="J309" s="224"/>
      <c r="K309" s="159"/>
      <c r="L309" s="159"/>
      <c r="M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row>
    <row r="310" spans="2:53" ht="17.399999999999999" customHeight="1">
      <c r="B310" s="159"/>
      <c r="C310" s="159"/>
      <c r="D310" s="159"/>
      <c r="E310" s="159"/>
      <c r="F310" s="159"/>
      <c r="G310" s="159"/>
      <c r="H310" s="159"/>
      <c r="I310" s="159"/>
      <c r="J310" s="224"/>
      <c r="K310" s="159"/>
      <c r="L310" s="159"/>
      <c r="M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row>
    <row r="311" spans="2:53" ht="17.399999999999999" customHeight="1">
      <c r="B311" s="159"/>
      <c r="C311" s="159"/>
      <c r="D311" s="159"/>
      <c r="E311" s="159"/>
      <c r="F311" s="159"/>
      <c r="G311" s="159"/>
      <c r="H311" s="159"/>
      <c r="I311" s="159"/>
      <c r="J311" s="224"/>
      <c r="K311" s="159"/>
      <c r="L311" s="159"/>
      <c r="M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row>
    <row r="312" spans="2:53" ht="17.399999999999999" customHeight="1">
      <c r="B312" s="159"/>
      <c r="C312" s="159"/>
      <c r="D312" s="159"/>
      <c r="E312" s="159"/>
      <c r="F312" s="159"/>
      <c r="G312" s="159"/>
      <c r="H312" s="159"/>
      <c r="I312" s="159"/>
      <c r="J312" s="224"/>
      <c r="K312" s="159"/>
      <c r="L312" s="159"/>
      <c r="M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row>
    <row r="313" spans="2:53" ht="17.399999999999999" customHeight="1">
      <c r="B313" s="159"/>
      <c r="C313" s="159"/>
      <c r="D313" s="159"/>
      <c r="E313" s="159"/>
      <c r="F313" s="159"/>
      <c r="G313" s="159"/>
      <c r="H313" s="159"/>
      <c r="I313" s="159"/>
      <c r="J313" s="224"/>
      <c r="K313" s="159"/>
      <c r="L313" s="159"/>
      <c r="M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row>
    <row r="314" spans="2:53" ht="17.399999999999999" customHeight="1">
      <c r="B314" s="159"/>
      <c r="C314" s="159"/>
      <c r="D314" s="159"/>
      <c r="E314" s="159"/>
      <c r="F314" s="159"/>
      <c r="G314" s="159"/>
      <c r="H314" s="159"/>
      <c r="I314" s="159"/>
      <c r="J314" s="224"/>
      <c r="K314" s="159"/>
      <c r="L314" s="159"/>
      <c r="M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row>
    <row r="315" spans="2:53" ht="17.399999999999999" customHeight="1">
      <c r="B315" s="159"/>
      <c r="C315" s="159"/>
      <c r="D315" s="159"/>
      <c r="E315" s="159"/>
      <c r="F315" s="159"/>
      <c r="G315" s="159"/>
      <c r="H315" s="159"/>
      <c r="I315" s="159"/>
      <c r="J315" s="224"/>
      <c r="K315" s="159"/>
      <c r="L315" s="159"/>
      <c r="M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row>
    <row r="316" spans="2:53" ht="17.399999999999999" customHeight="1">
      <c r="B316" s="159"/>
      <c r="C316" s="159"/>
      <c r="D316" s="159"/>
      <c r="E316" s="159"/>
      <c r="F316" s="159"/>
      <c r="G316" s="159"/>
      <c r="H316" s="159"/>
      <c r="I316" s="159"/>
      <c r="J316" s="224"/>
      <c r="K316" s="159"/>
      <c r="L316" s="159"/>
      <c r="M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row>
    <row r="317" spans="2:53" ht="17.399999999999999" customHeight="1">
      <c r="B317" s="159"/>
      <c r="C317" s="159"/>
      <c r="D317" s="159"/>
      <c r="E317" s="159"/>
      <c r="F317" s="159"/>
      <c r="G317" s="159"/>
      <c r="H317" s="159"/>
      <c r="I317" s="159"/>
      <c r="J317" s="224"/>
      <c r="K317" s="159"/>
      <c r="L317" s="159"/>
      <c r="M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row>
    <row r="318" spans="2:53" ht="17.399999999999999" customHeight="1">
      <c r="B318" s="159"/>
      <c r="C318" s="159"/>
      <c r="D318" s="159"/>
      <c r="E318" s="159"/>
      <c r="F318" s="159"/>
      <c r="G318" s="159"/>
      <c r="H318" s="159"/>
      <c r="I318" s="159"/>
      <c r="J318" s="224"/>
      <c r="K318" s="159"/>
      <c r="L318" s="159"/>
      <c r="M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row>
    <row r="319" spans="2:53" ht="17.399999999999999" customHeight="1">
      <c r="B319" s="159"/>
      <c r="C319" s="159"/>
      <c r="D319" s="159"/>
      <c r="E319" s="159"/>
      <c r="F319" s="159"/>
      <c r="G319" s="159"/>
      <c r="H319" s="159"/>
      <c r="I319" s="159"/>
      <c r="J319" s="224"/>
      <c r="K319" s="159"/>
      <c r="L319" s="159"/>
      <c r="M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row>
    <row r="320" spans="2:53" ht="17.399999999999999" customHeight="1">
      <c r="B320" s="159"/>
      <c r="C320" s="159"/>
      <c r="D320" s="159"/>
      <c r="E320" s="159"/>
      <c r="F320" s="159"/>
      <c r="G320" s="159"/>
      <c r="H320" s="159"/>
      <c r="I320" s="159"/>
      <c r="J320" s="224"/>
      <c r="K320" s="159"/>
      <c r="L320" s="159"/>
      <c r="M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row>
    <row r="321" spans="2:53" ht="17.399999999999999" customHeight="1">
      <c r="B321" s="159"/>
      <c r="C321" s="159"/>
      <c r="D321" s="159"/>
      <c r="E321" s="159"/>
      <c r="F321" s="159"/>
      <c r="G321" s="159"/>
      <c r="H321" s="159"/>
      <c r="I321" s="159"/>
      <c r="J321" s="224"/>
      <c r="K321" s="159"/>
      <c r="L321" s="159"/>
      <c r="M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row>
    <row r="322" spans="2:53" ht="17.399999999999999" customHeight="1">
      <c r="B322" s="159"/>
      <c r="C322" s="159"/>
      <c r="D322" s="159"/>
      <c r="E322" s="159"/>
      <c r="F322" s="159"/>
      <c r="G322" s="159"/>
      <c r="H322" s="159"/>
      <c r="I322" s="159"/>
      <c r="J322" s="224"/>
      <c r="K322" s="159"/>
      <c r="L322" s="159"/>
      <c r="M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row>
    <row r="323" spans="2:53" ht="17.399999999999999" customHeight="1">
      <c r="B323" s="159"/>
      <c r="C323" s="159"/>
      <c r="D323" s="159"/>
      <c r="E323" s="159"/>
      <c r="F323" s="159"/>
      <c r="G323" s="159"/>
      <c r="H323" s="159"/>
      <c r="I323" s="159"/>
      <c r="J323" s="224"/>
      <c r="K323" s="159"/>
      <c r="L323" s="159"/>
      <c r="M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row>
    <row r="324" spans="2:53" ht="17.399999999999999" customHeight="1">
      <c r="B324" s="159"/>
      <c r="C324" s="159"/>
      <c r="D324" s="159"/>
      <c r="E324" s="159"/>
      <c r="F324" s="159"/>
      <c r="G324" s="159"/>
      <c r="H324" s="159"/>
      <c r="I324" s="159"/>
      <c r="J324" s="224"/>
      <c r="K324" s="159"/>
      <c r="L324" s="159"/>
      <c r="M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row>
    <row r="325" spans="2:53" ht="17.399999999999999" customHeight="1">
      <c r="B325" s="159"/>
      <c r="C325" s="159"/>
      <c r="D325" s="159"/>
      <c r="E325" s="159"/>
      <c r="F325" s="159"/>
      <c r="G325" s="159"/>
      <c r="H325" s="159"/>
      <c r="I325" s="159"/>
      <c r="J325" s="224"/>
      <c r="K325" s="159"/>
      <c r="L325" s="159"/>
      <c r="M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row>
    <row r="326" spans="2:53" ht="17.399999999999999" customHeight="1">
      <c r="B326" s="159"/>
      <c r="C326" s="159"/>
      <c r="D326" s="159"/>
      <c r="E326" s="159"/>
      <c r="F326" s="159"/>
      <c r="G326" s="159"/>
      <c r="H326" s="159"/>
      <c r="I326" s="159"/>
      <c r="J326" s="224"/>
      <c r="K326" s="159"/>
      <c r="L326" s="159"/>
      <c r="M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row>
    <row r="327" spans="2:53" ht="17.399999999999999" customHeight="1">
      <c r="B327" s="159"/>
      <c r="C327" s="159"/>
      <c r="D327" s="159"/>
      <c r="E327" s="159"/>
      <c r="F327" s="159"/>
      <c r="G327" s="159"/>
      <c r="H327" s="159"/>
      <c r="I327" s="159"/>
      <c r="J327" s="224"/>
      <c r="K327" s="159"/>
      <c r="L327" s="159"/>
      <c r="M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row>
    <row r="328" spans="2:53" ht="17.399999999999999" customHeight="1">
      <c r="B328" s="159"/>
      <c r="C328" s="159"/>
      <c r="D328" s="159"/>
      <c r="E328" s="159"/>
      <c r="F328" s="159"/>
      <c r="G328" s="159"/>
      <c r="H328" s="159"/>
      <c r="I328" s="159"/>
      <c r="J328" s="224"/>
      <c r="K328" s="159"/>
      <c r="L328" s="159"/>
      <c r="M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row>
    <row r="329" spans="2:53" ht="17.399999999999999" customHeight="1">
      <c r="B329" s="159"/>
      <c r="C329" s="159"/>
      <c r="D329" s="159"/>
      <c r="E329" s="159"/>
      <c r="F329" s="159"/>
      <c r="G329" s="159"/>
      <c r="H329" s="159"/>
      <c r="I329" s="159"/>
      <c r="J329" s="224"/>
      <c r="K329" s="159"/>
      <c r="L329" s="159"/>
      <c r="M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row>
    <row r="330" spans="2:53" ht="17.399999999999999" customHeight="1">
      <c r="B330" s="159"/>
      <c r="C330" s="159"/>
      <c r="D330" s="159"/>
      <c r="E330" s="159"/>
      <c r="F330" s="159"/>
      <c r="G330" s="159"/>
      <c r="H330" s="159"/>
      <c r="I330" s="159"/>
      <c r="J330" s="224"/>
      <c r="K330" s="159"/>
      <c r="L330" s="159"/>
      <c r="M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row>
    <row r="331" spans="2:53" ht="17.399999999999999" customHeight="1">
      <c r="B331" s="159"/>
      <c r="C331" s="159"/>
      <c r="D331" s="159"/>
      <c r="E331" s="159"/>
      <c r="F331" s="159"/>
      <c r="G331" s="159"/>
      <c r="H331" s="159"/>
      <c r="I331" s="159"/>
      <c r="J331" s="224"/>
      <c r="K331" s="159"/>
      <c r="L331" s="159"/>
      <c r="M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row>
    <row r="332" spans="2:53" ht="17.399999999999999" customHeight="1">
      <c r="B332" s="159"/>
      <c r="C332" s="159"/>
      <c r="D332" s="159"/>
      <c r="E332" s="159"/>
      <c r="F332" s="159"/>
      <c r="G332" s="159"/>
      <c r="H332" s="159"/>
      <c r="I332" s="159"/>
      <c r="J332" s="224"/>
      <c r="K332" s="159"/>
      <c r="L332" s="159"/>
      <c r="M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row>
    <row r="333" spans="2:53" ht="17.399999999999999" customHeight="1">
      <c r="B333" s="159"/>
      <c r="C333" s="159"/>
      <c r="D333" s="159"/>
      <c r="E333" s="159"/>
      <c r="F333" s="159"/>
      <c r="G333" s="159"/>
      <c r="H333" s="159"/>
      <c r="I333" s="159"/>
      <c r="J333" s="224"/>
      <c r="K333" s="159"/>
      <c r="L333" s="159"/>
      <c r="M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row>
    <row r="334" spans="2:53" ht="17.399999999999999" customHeight="1">
      <c r="B334" s="159"/>
      <c r="C334" s="159"/>
      <c r="D334" s="159"/>
      <c r="E334" s="159"/>
      <c r="F334" s="159"/>
      <c r="G334" s="159"/>
      <c r="H334" s="159"/>
      <c r="I334" s="159"/>
      <c r="J334" s="224"/>
      <c r="K334" s="159"/>
      <c r="L334" s="159"/>
      <c r="M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row>
    <row r="335" spans="2:53" ht="17.399999999999999" customHeight="1">
      <c r="B335" s="159"/>
      <c r="C335" s="159"/>
      <c r="D335" s="159"/>
      <c r="E335" s="159"/>
      <c r="F335" s="159"/>
      <c r="G335" s="159"/>
      <c r="H335" s="159"/>
      <c r="I335" s="159"/>
      <c r="J335" s="224"/>
      <c r="K335" s="159"/>
      <c r="L335" s="159"/>
      <c r="M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row>
    <row r="336" spans="2:53" ht="17.399999999999999" customHeight="1">
      <c r="B336" s="159"/>
      <c r="C336" s="159"/>
      <c r="D336" s="159"/>
      <c r="E336" s="159"/>
      <c r="F336" s="159"/>
      <c r="G336" s="159"/>
      <c r="H336" s="159"/>
      <c r="I336" s="159"/>
      <c r="J336" s="224"/>
      <c r="K336" s="159"/>
      <c r="L336" s="159"/>
      <c r="M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row>
    <row r="337" spans="2:53" ht="17.399999999999999" customHeight="1">
      <c r="B337" s="159"/>
      <c r="C337" s="159"/>
      <c r="D337" s="159"/>
      <c r="E337" s="159"/>
      <c r="F337" s="159"/>
      <c r="G337" s="159"/>
      <c r="H337" s="159"/>
      <c r="I337" s="159"/>
      <c r="J337" s="224"/>
      <c r="K337" s="159"/>
      <c r="L337" s="159"/>
      <c r="M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row>
    <row r="338" spans="2:53" ht="17.399999999999999" customHeight="1">
      <c r="B338" s="159"/>
      <c r="C338" s="159"/>
      <c r="D338" s="159"/>
      <c r="E338" s="159"/>
      <c r="F338" s="159"/>
      <c r="G338" s="159"/>
      <c r="H338" s="159"/>
      <c r="I338" s="159"/>
      <c r="J338" s="224"/>
      <c r="K338" s="159"/>
      <c r="L338" s="159"/>
      <c r="M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row>
    <row r="339" spans="2:53" ht="17.399999999999999" customHeight="1">
      <c r="B339" s="159"/>
      <c r="C339" s="159"/>
      <c r="D339" s="159"/>
      <c r="E339" s="159"/>
      <c r="F339" s="159"/>
      <c r="G339" s="159"/>
      <c r="H339" s="159"/>
      <c r="I339" s="159"/>
      <c r="J339" s="224"/>
      <c r="K339" s="159"/>
      <c r="L339" s="159"/>
      <c r="M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row>
    <row r="340" spans="2:53" ht="17.399999999999999" customHeight="1">
      <c r="B340" s="159"/>
      <c r="C340" s="159"/>
      <c r="D340" s="159"/>
      <c r="E340" s="159"/>
      <c r="F340" s="159"/>
      <c r="G340" s="159"/>
      <c r="H340" s="159"/>
      <c r="I340" s="159"/>
      <c r="J340" s="224"/>
      <c r="K340" s="159"/>
      <c r="L340" s="159"/>
      <c r="M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row>
    <row r="341" spans="2:53" ht="17.399999999999999" customHeight="1">
      <c r="B341" s="159"/>
      <c r="C341" s="159"/>
      <c r="D341" s="159"/>
      <c r="E341" s="159"/>
      <c r="F341" s="159"/>
      <c r="G341" s="159"/>
      <c r="H341" s="159"/>
      <c r="I341" s="159"/>
      <c r="J341" s="224"/>
      <c r="K341" s="159"/>
      <c r="L341" s="159"/>
      <c r="M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row>
    <row r="342" spans="2:53" ht="17.399999999999999" customHeight="1">
      <c r="B342" s="159"/>
      <c r="C342" s="159"/>
      <c r="D342" s="159"/>
      <c r="E342" s="159"/>
      <c r="F342" s="159"/>
      <c r="G342" s="159"/>
      <c r="H342" s="159"/>
      <c r="I342" s="159"/>
      <c r="J342" s="224"/>
      <c r="K342" s="159"/>
      <c r="L342" s="159"/>
      <c r="M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row>
    <row r="343" spans="2:53" ht="17.399999999999999" customHeight="1">
      <c r="B343" s="159"/>
      <c r="C343" s="159"/>
      <c r="D343" s="159"/>
      <c r="E343" s="159"/>
      <c r="F343" s="159"/>
      <c r="G343" s="159"/>
      <c r="H343" s="159"/>
      <c r="I343" s="159"/>
      <c r="J343" s="224"/>
      <c r="K343" s="159"/>
      <c r="L343" s="159"/>
      <c r="M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row>
    <row r="344" spans="2:53" ht="17.399999999999999" customHeight="1">
      <c r="B344" s="159"/>
      <c r="C344" s="159"/>
      <c r="D344" s="159"/>
      <c r="E344" s="159"/>
      <c r="F344" s="159"/>
      <c r="G344" s="159"/>
      <c r="H344" s="159"/>
      <c r="I344" s="159"/>
      <c r="J344" s="224"/>
      <c r="K344" s="159"/>
      <c r="L344" s="159"/>
      <c r="M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row>
    <row r="345" spans="2:53" ht="17.399999999999999" customHeight="1">
      <c r="B345" s="159"/>
      <c r="C345" s="159"/>
      <c r="D345" s="159"/>
      <c r="E345" s="159"/>
      <c r="F345" s="159"/>
      <c r="G345" s="159"/>
      <c r="H345" s="159"/>
      <c r="I345" s="159"/>
      <c r="J345" s="224"/>
      <c r="K345" s="159"/>
      <c r="L345" s="159"/>
      <c r="M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c r="AT345" s="159"/>
      <c r="AU345" s="159"/>
      <c r="AV345" s="159"/>
      <c r="AW345" s="159"/>
      <c r="AX345" s="159"/>
      <c r="AY345" s="159"/>
      <c r="AZ345" s="159"/>
      <c r="BA345" s="159"/>
    </row>
    <row r="346" spans="2:53" ht="17.399999999999999" customHeight="1">
      <c r="B346" s="159"/>
      <c r="C346" s="159"/>
      <c r="D346" s="159"/>
      <c r="E346" s="159"/>
      <c r="F346" s="159"/>
      <c r="G346" s="159"/>
      <c r="H346" s="159"/>
      <c r="I346" s="159"/>
      <c r="J346" s="224"/>
      <c r="K346" s="159"/>
      <c r="L346" s="159"/>
      <c r="M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row>
    <row r="347" spans="2:53" ht="17.399999999999999" customHeight="1">
      <c r="B347" s="159"/>
      <c r="C347" s="159"/>
      <c r="D347" s="159"/>
      <c r="E347" s="159"/>
      <c r="F347" s="159"/>
      <c r="G347" s="159"/>
      <c r="H347" s="159"/>
      <c r="I347" s="159"/>
      <c r="J347" s="224"/>
      <c r="K347" s="159"/>
      <c r="L347" s="159"/>
      <c r="M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row>
    <row r="348" spans="2:53" ht="17.399999999999999" customHeight="1">
      <c r="B348" s="159"/>
      <c r="C348" s="159"/>
      <c r="D348" s="159"/>
      <c r="E348" s="159"/>
      <c r="F348" s="159"/>
      <c r="G348" s="159"/>
      <c r="H348" s="159"/>
      <c r="I348" s="159"/>
      <c r="J348" s="224"/>
      <c r="K348" s="159"/>
      <c r="L348" s="159"/>
      <c r="M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59"/>
      <c r="AY348" s="159"/>
      <c r="AZ348" s="159"/>
      <c r="BA348" s="159"/>
    </row>
    <row r="349" spans="2:53" ht="17.399999999999999" customHeight="1">
      <c r="B349" s="159"/>
      <c r="C349" s="159"/>
      <c r="D349" s="159"/>
      <c r="E349" s="159"/>
      <c r="F349" s="159"/>
      <c r="G349" s="159"/>
      <c r="H349" s="159"/>
      <c r="I349" s="159"/>
      <c r="J349" s="224"/>
      <c r="K349" s="159"/>
      <c r="L349" s="159"/>
      <c r="M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c r="AT349" s="159"/>
      <c r="AU349" s="159"/>
      <c r="AV349" s="159"/>
      <c r="AW349" s="159"/>
      <c r="AX349" s="159"/>
      <c r="AY349" s="159"/>
      <c r="AZ349" s="159"/>
      <c r="BA349" s="159"/>
    </row>
    <row r="350" spans="2:53" ht="17.399999999999999" customHeight="1">
      <c r="B350" s="159"/>
      <c r="C350" s="159"/>
      <c r="D350" s="159"/>
      <c r="E350" s="159"/>
      <c r="F350" s="159"/>
      <c r="G350" s="159"/>
      <c r="H350" s="159"/>
      <c r="I350" s="159"/>
      <c r="J350" s="224"/>
      <c r="K350" s="159"/>
      <c r="L350" s="159"/>
      <c r="M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c r="AT350" s="159"/>
      <c r="AU350" s="159"/>
      <c r="AV350" s="159"/>
      <c r="AW350" s="159"/>
      <c r="AX350" s="159"/>
      <c r="AY350" s="159"/>
      <c r="AZ350" s="159"/>
      <c r="BA350" s="159"/>
    </row>
    <row r="351" spans="2:53" ht="17.399999999999999" customHeight="1">
      <c r="B351" s="159"/>
      <c r="C351" s="159"/>
      <c r="D351" s="159"/>
      <c r="E351" s="159"/>
      <c r="F351" s="159"/>
      <c r="G351" s="159"/>
      <c r="H351" s="159"/>
      <c r="I351" s="159"/>
      <c r="J351" s="224"/>
      <c r="K351" s="159"/>
      <c r="L351" s="159"/>
      <c r="M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c r="AT351" s="159"/>
      <c r="AU351" s="159"/>
      <c r="AV351" s="159"/>
      <c r="AW351" s="159"/>
      <c r="AX351" s="159"/>
      <c r="AY351" s="159"/>
      <c r="AZ351" s="159"/>
      <c r="BA351" s="159"/>
    </row>
    <row r="352" spans="2:53" ht="17.399999999999999" customHeight="1">
      <c r="B352" s="159"/>
      <c r="C352" s="159"/>
      <c r="D352" s="159"/>
      <c r="E352" s="159"/>
      <c r="F352" s="159"/>
      <c r="G352" s="159"/>
      <c r="H352" s="159"/>
      <c r="I352" s="159"/>
      <c r="J352" s="224"/>
      <c r="K352" s="159"/>
      <c r="L352" s="159"/>
      <c r="M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row>
    <row r="353" spans="2:53" ht="17.399999999999999" customHeight="1">
      <c r="B353" s="159"/>
      <c r="C353" s="159"/>
      <c r="D353" s="159"/>
      <c r="E353" s="159"/>
      <c r="F353" s="159"/>
      <c r="G353" s="159"/>
      <c r="H353" s="159"/>
      <c r="I353" s="159"/>
      <c r="J353" s="224"/>
      <c r="K353" s="159"/>
      <c r="L353" s="159"/>
      <c r="M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row>
    <row r="354" spans="2:53" ht="17.399999999999999" customHeight="1">
      <c r="B354" s="159"/>
      <c r="C354" s="159"/>
      <c r="D354" s="159"/>
      <c r="E354" s="159"/>
      <c r="F354" s="159"/>
      <c r="G354" s="159"/>
      <c r="H354" s="159"/>
      <c r="I354" s="159"/>
      <c r="J354" s="224"/>
      <c r="K354" s="159"/>
      <c r="L354" s="159"/>
      <c r="M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row>
    <row r="355" spans="2:53" ht="17.399999999999999" customHeight="1">
      <c r="B355" s="159"/>
      <c r="C355" s="159"/>
      <c r="D355" s="159"/>
      <c r="E355" s="159"/>
      <c r="F355" s="159"/>
      <c r="G355" s="159"/>
      <c r="H355" s="159"/>
      <c r="I355" s="159"/>
      <c r="J355" s="224"/>
      <c r="K355" s="159"/>
      <c r="L355" s="159"/>
      <c r="M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row>
    <row r="356" spans="2:53" ht="17.399999999999999" customHeight="1">
      <c r="B356" s="159"/>
      <c r="C356" s="159"/>
      <c r="D356" s="159"/>
      <c r="E356" s="159"/>
      <c r="F356" s="159"/>
      <c r="G356" s="159"/>
      <c r="H356" s="159"/>
      <c r="I356" s="159"/>
      <c r="J356" s="224"/>
      <c r="K356" s="159"/>
      <c r="L356" s="159"/>
      <c r="M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row>
    <row r="357" spans="2:53" ht="17.399999999999999" customHeight="1">
      <c r="B357" s="159"/>
      <c r="C357" s="159"/>
      <c r="D357" s="159"/>
      <c r="E357" s="159"/>
      <c r="F357" s="159"/>
      <c r="G357" s="159"/>
      <c r="H357" s="159"/>
      <c r="I357" s="159"/>
      <c r="J357" s="224"/>
      <c r="K357" s="159"/>
      <c r="L357" s="159"/>
      <c r="M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row>
    <row r="358" spans="2:53" ht="17.399999999999999" customHeight="1">
      <c r="B358" s="159"/>
      <c r="C358" s="159"/>
      <c r="D358" s="159"/>
      <c r="E358" s="159"/>
      <c r="F358" s="159"/>
      <c r="G358" s="159"/>
      <c r="H358" s="159"/>
      <c r="I358" s="159"/>
      <c r="J358" s="224"/>
      <c r="K358" s="159"/>
      <c r="L358" s="159"/>
      <c r="M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row>
    <row r="359" spans="2:53" ht="17.399999999999999" customHeight="1">
      <c r="B359" s="159"/>
      <c r="C359" s="159"/>
      <c r="D359" s="159"/>
      <c r="E359" s="159"/>
      <c r="F359" s="159"/>
      <c r="G359" s="159"/>
      <c r="H359" s="159"/>
      <c r="I359" s="159"/>
      <c r="J359" s="224"/>
      <c r="K359" s="159"/>
      <c r="L359" s="159"/>
      <c r="M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row>
    <row r="360" spans="2:53" ht="17.399999999999999" customHeight="1">
      <c r="B360" s="159"/>
      <c r="C360" s="159"/>
      <c r="D360" s="159"/>
      <c r="E360" s="159"/>
      <c r="F360" s="159"/>
      <c r="G360" s="159"/>
      <c r="H360" s="159"/>
      <c r="I360" s="159"/>
      <c r="J360" s="224"/>
      <c r="K360" s="159"/>
      <c r="L360" s="159"/>
      <c r="M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row>
    <row r="361" spans="2:53" ht="17.399999999999999" customHeight="1">
      <c r="B361" s="159"/>
      <c r="C361" s="159"/>
      <c r="D361" s="159"/>
      <c r="E361" s="159"/>
      <c r="F361" s="159"/>
      <c r="G361" s="159"/>
      <c r="H361" s="159"/>
      <c r="I361" s="159"/>
      <c r="J361" s="224"/>
      <c r="K361" s="159"/>
      <c r="L361" s="159"/>
      <c r="M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row>
    <row r="362" spans="2:53" ht="17.399999999999999" customHeight="1">
      <c r="B362" s="159"/>
      <c r="C362" s="159"/>
      <c r="D362" s="159"/>
      <c r="E362" s="159"/>
      <c r="F362" s="159"/>
      <c r="G362" s="159"/>
      <c r="H362" s="159"/>
      <c r="I362" s="159"/>
      <c r="J362" s="224"/>
      <c r="K362" s="159"/>
      <c r="L362" s="159"/>
      <c r="M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row>
    <row r="363" spans="2:53" ht="17.399999999999999" customHeight="1">
      <c r="B363" s="159"/>
      <c r="C363" s="159"/>
      <c r="D363" s="159"/>
      <c r="E363" s="159"/>
      <c r="F363" s="159"/>
      <c r="G363" s="159"/>
      <c r="H363" s="159"/>
      <c r="I363" s="159"/>
      <c r="J363" s="224"/>
      <c r="K363" s="159"/>
      <c r="L363" s="159"/>
      <c r="M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c r="AT363" s="159"/>
      <c r="AU363" s="159"/>
      <c r="AV363" s="159"/>
      <c r="AW363" s="159"/>
      <c r="AX363" s="159"/>
      <c r="AY363" s="159"/>
      <c r="AZ363" s="159"/>
      <c r="BA363" s="159"/>
    </row>
    <row r="364" spans="2:53" ht="17.399999999999999" customHeight="1">
      <c r="B364" s="159"/>
      <c r="C364" s="159"/>
      <c r="D364" s="159"/>
      <c r="E364" s="159"/>
      <c r="F364" s="159"/>
      <c r="G364" s="159"/>
      <c r="H364" s="159"/>
      <c r="I364" s="159"/>
      <c r="J364" s="224"/>
      <c r="K364" s="159"/>
      <c r="L364" s="159"/>
      <c r="M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c r="AT364" s="159"/>
      <c r="AU364" s="159"/>
      <c r="AV364" s="159"/>
      <c r="AW364" s="159"/>
      <c r="AX364" s="159"/>
      <c r="AY364" s="159"/>
      <c r="AZ364" s="159"/>
      <c r="BA364" s="159"/>
    </row>
    <row r="365" spans="2:53" ht="17.399999999999999" customHeight="1">
      <c r="B365" s="159"/>
      <c r="C365" s="159"/>
      <c r="D365" s="159"/>
      <c r="E365" s="159"/>
      <c r="F365" s="159"/>
      <c r="G365" s="159"/>
      <c r="H365" s="159"/>
      <c r="I365" s="159"/>
      <c r="J365" s="224"/>
      <c r="K365" s="159"/>
      <c r="L365" s="159"/>
      <c r="M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c r="AT365" s="159"/>
      <c r="AU365" s="159"/>
      <c r="AV365" s="159"/>
      <c r="AW365" s="159"/>
      <c r="AX365" s="159"/>
      <c r="AY365" s="159"/>
      <c r="AZ365" s="159"/>
      <c r="BA365" s="159"/>
    </row>
    <row r="366" spans="2:53" ht="17.399999999999999" customHeight="1">
      <c r="B366" s="159"/>
      <c r="C366" s="159"/>
      <c r="D366" s="159"/>
      <c r="E366" s="159"/>
      <c r="F366" s="159"/>
      <c r="G366" s="159"/>
      <c r="H366" s="159"/>
      <c r="I366" s="159"/>
      <c r="J366" s="224"/>
      <c r="K366" s="159"/>
      <c r="L366" s="159"/>
      <c r="M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row>
    <row r="367" spans="2:53" ht="17.399999999999999" customHeight="1">
      <c r="B367" s="159"/>
      <c r="C367" s="159"/>
      <c r="D367" s="159"/>
      <c r="E367" s="159"/>
      <c r="F367" s="159"/>
      <c r="G367" s="159"/>
      <c r="H367" s="159"/>
      <c r="I367" s="159"/>
      <c r="J367" s="224"/>
      <c r="K367" s="159"/>
      <c r="L367" s="159"/>
      <c r="M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c r="AT367" s="159"/>
      <c r="AU367" s="159"/>
      <c r="AV367" s="159"/>
      <c r="AW367" s="159"/>
      <c r="AX367" s="159"/>
      <c r="AY367" s="159"/>
      <c r="AZ367" s="159"/>
      <c r="BA367" s="159"/>
    </row>
    <row r="368" spans="2:53" ht="17.399999999999999" customHeight="1">
      <c r="B368" s="159"/>
      <c r="C368" s="159"/>
      <c r="D368" s="159"/>
      <c r="E368" s="159"/>
      <c r="F368" s="159"/>
      <c r="G368" s="159"/>
      <c r="H368" s="159"/>
      <c r="I368" s="159"/>
      <c r="J368" s="224"/>
      <c r="K368" s="159"/>
      <c r="L368" s="159"/>
      <c r="M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59"/>
      <c r="AY368" s="159"/>
      <c r="AZ368" s="159"/>
      <c r="BA368" s="159"/>
    </row>
    <row r="369" spans="2:53" ht="17.399999999999999" customHeight="1">
      <c r="B369" s="159"/>
      <c r="C369" s="159"/>
      <c r="D369" s="159"/>
      <c r="E369" s="159"/>
      <c r="F369" s="159"/>
      <c r="G369" s="159"/>
      <c r="H369" s="159"/>
      <c r="I369" s="159"/>
      <c r="J369" s="224"/>
      <c r="K369" s="159"/>
      <c r="L369" s="159"/>
      <c r="M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c r="AT369" s="159"/>
      <c r="AU369" s="159"/>
      <c r="AV369" s="159"/>
      <c r="AW369" s="159"/>
      <c r="AX369" s="159"/>
      <c r="AY369" s="159"/>
      <c r="AZ369" s="159"/>
      <c r="BA369" s="159"/>
    </row>
    <row r="370" spans="2:53" ht="17.399999999999999" customHeight="1">
      <c r="B370" s="159"/>
      <c r="C370" s="159"/>
      <c r="D370" s="159"/>
      <c r="E370" s="159"/>
      <c r="F370" s="159"/>
      <c r="G370" s="159"/>
      <c r="H370" s="159"/>
      <c r="I370" s="159"/>
      <c r="J370" s="224"/>
      <c r="K370" s="159"/>
      <c r="L370" s="159"/>
      <c r="M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c r="AT370" s="159"/>
      <c r="AU370" s="159"/>
      <c r="AV370" s="159"/>
      <c r="AW370" s="159"/>
      <c r="AX370" s="159"/>
      <c r="AY370" s="159"/>
      <c r="AZ370" s="159"/>
      <c r="BA370" s="159"/>
    </row>
    <row r="371" spans="2:53" ht="17.399999999999999" customHeight="1">
      <c r="B371" s="159"/>
      <c r="C371" s="159"/>
      <c r="D371" s="159"/>
      <c r="E371" s="159"/>
      <c r="F371" s="159"/>
      <c r="G371" s="159"/>
      <c r="H371" s="159"/>
      <c r="I371" s="159"/>
      <c r="J371" s="224"/>
      <c r="K371" s="159"/>
      <c r="L371" s="159"/>
      <c r="M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c r="AT371" s="159"/>
      <c r="AU371" s="159"/>
      <c r="AV371" s="159"/>
      <c r="AW371" s="159"/>
      <c r="AX371" s="159"/>
      <c r="AY371" s="159"/>
      <c r="AZ371" s="159"/>
      <c r="BA371" s="159"/>
    </row>
    <row r="372" spans="2:53" ht="17.399999999999999" customHeight="1">
      <c r="B372" s="159"/>
      <c r="C372" s="159"/>
      <c r="D372" s="159"/>
      <c r="E372" s="159"/>
      <c r="F372" s="159"/>
      <c r="G372" s="159"/>
      <c r="H372" s="159"/>
      <c r="I372" s="159"/>
      <c r="J372" s="224"/>
      <c r="K372" s="159"/>
      <c r="L372" s="159"/>
      <c r="M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c r="AT372" s="159"/>
      <c r="AU372" s="159"/>
      <c r="AV372" s="159"/>
      <c r="AW372" s="159"/>
      <c r="AX372" s="159"/>
      <c r="AY372" s="159"/>
      <c r="AZ372" s="159"/>
      <c r="BA372" s="159"/>
    </row>
    <row r="373" spans="2:53" ht="17.399999999999999" customHeight="1">
      <c r="B373" s="159"/>
      <c r="C373" s="159"/>
      <c r="D373" s="159"/>
      <c r="E373" s="159"/>
      <c r="F373" s="159"/>
      <c r="G373" s="159"/>
      <c r="H373" s="159"/>
      <c r="I373" s="159"/>
      <c r="J373" s="224"/>
      <c r="K373" s="159"/>
      <c r="L373" s="159"/>
      <c r="M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c r="AT373" s="159"/>
      <c r="AU373" s="159"/>
      <c r="AV373" s="159"/>
      <c r="AW373" s="159"/>
      <c r="AX373" s="159"/>
      <c r="AY373" s="159"/>
      <c r="AZ373" s="159"/>
      <c r="BA373" s="159"/>
    </row>
    <row r="374" spans="2:53" ht="17.399999999999999" customHeight="1">
      <c r="B374" s="159"/>
      <c r="C374" s="159"/>
      <c r="D374" s="159"/>
      <c r="E374" s="159"/>
      <c r="F374" s="159"/>
      <c r="G374" s="159"/>
      <c r="H374" s="159"/>
      <c r="I374" s="159"/>
      <c r="J374" s="224"/>
      <c r="K374" s="159"/>
      <c r="L374" s="159"/>
      <c r="M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row>
    <row r="375" spans="2:53" ht="17.399999999999999" customHeight="1">
      <c r="B375" s="159"/>
      <c r="C375" s="159"/>
      <c r="D375" s="159"/>
      <c r="E375" s="159"/>
      <c r="F375" s="159"/>
      <c r="G375" s="159"/>
      <c r="H375" s="159"/>
      <c r="I375" s="159"/>
      <c r="J375" s="224"/>
      <c r="K375" s="159"/>
      <c r="L375" s="159"/>
      <c r="M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c r="AT375" s="159"/>
      <c r="AU375" s="159"/>
      <c r="AV375" s="159"/>
      <c r="AW375" s="159"/>
      <c r="AX375" s="159"/>
      <c r="AY375" s="159"/>
      <c r="AZ375" s="159"/>
      <c r="BA375" s="159"/>
    </row>
    <row r="376" spans="2:53" ht="17.399999999999999" customHeight="1">
      <c r="B376" s="159"/>
      <c r="C376" s="159"/>
      <c r="D376" s="159"/>
      <c r="E376" s="159"/>
      <c r="F376" s="159"/>
      <c r="G376" s="159"/>
      <c r="H376" s="159"/>
      <c r="I376" s="159"/>
      <c r="J376" s="224"/>
      <c r="K376" s="159"/>
      <c r="L376" s="159"/>
      <c r="M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c r="AT376" s="159"/>
      <c r="AU376" s="159"/>
      <c r="AV376" s="159"/>
      <c r="AW376" s="159"/>
      <c r="AX376" s="159"/>
      <c r="AY376" s="159"/>
      <c r="AZ376" s="159"/>
      <c r="BA376" s="159"/>
    </row>
    <row r="377" spans="2:53" ht="17.399999999999999" customHeight="1">
      <c r="B377" s="159"/>
      <c r="C377" s="159"/>
      <c r="D377" s="159"/>
      <c r="E377" s="159"/>
      <c r="F377" s="159"/>
      <c r="G377" s="159"/>
      <c r="H377" s="159"/>
      <c r="I377" s="159"/>
      <c r="J377" s="224"/>
      <c r="K377" s="159"/>
      <c r="L377" s="159"/>
      <c r="M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c r="AT377" s="159"/>
      <c r="AU377" s="159"/>
      <c r="AV377" s="159"/>
      <c r="AW377" s="159"/>
      <c r="AX377" s="159"/>
      <c r="AY377" s="159"/>
      <c r="AZ377" s="159"/>
      <c r="BA377" s="159"/>
    </row>
    <row r="378" spans="2:53" ht="17.399999999999999" customHeight="1">
      <c r="B378" s="159"/>
      <c r="C378" s="159"/>
      <c r="D378" s="159"/>
      <c r="E378" s="159"/>
      <c r="F378" s="159"/>
      <c r="G378" s="159"/>
      <c r="H378" s="159"/>
      <c r="I378" s="159"/>
      <c r="J378" s="224"/>
      <c r="K378" s="159"/>
      <c r="L378" s="159"/>
      <c r="M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c r="AT378" s="159"/>
      <c r="AU378" s="159"/>
      <c r="AV378" s="159"/>
      <c r="AW378" s="159"/>
      <c r="AX378" s="159"/>
      <c r="AY378" s="159"/>
      <c r="AZ378" s="159"/>
      <c r="BA378" s="159"/>
    </row>
    <row r="379" spans="2:53" ht="17.399999999999999" customHeight="1">
      <c r="B379" s="159"/>
      <c r="C379" s="159"/>
      <c r="D379" s="159"/>
      <c r="E379" s="159"/>
      <c r="F379" s="159"/>
      <c r="G379" s="159"/>
      <c r="H379" s="159"/>
      <c r="I379" s="159"/>
      <c r="J379" s="224"/>
      <c r="K379" s="159"/>
      <c r="L379" s="159"/>
      <c r="M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c r="AT379" s="159"/>
      <c r="AU379" s="159"/>
      <c r="AV379" s="159"/>
      <c r="AW379" s="159"/>
      <c r="AX379" s="159"/>
      <c r="AY379" s="159"/>
      <c r="AZ379" s="159"/>
      <c r="BA379" s="159"/>
    </row>
    <row r="380" spans="2:53" ht="17.399999999999999" customHeight="1">
      <c r="B380" s="159"/>
      <c r="C380" s="159"/>
      <c r="D380" s="159"/>
      <c r="E380" s="159"/>
      <c r="F380" s="159"/>
      <c r="G380" s="159"/>
      <c r="H380" s="159"/>
      <c r="I380" s="159"/>
      <c r="J380" s="224"/>
      <c r="K380" s="159"/>
      <c r="L380" s="159"/>
      <c r="M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c r="AT380" s="159"/>
      <c r="AU380" s="159"/>
      <c r="AV380" s="159"/>
      <c r="AW380" s="159"/>
      <c r="AX380" s="159"/>
      <c r="AY380" s="159"/>
      <c r="AZ380" s="159"/>
      <c r="BA380" s="159"/>
    </row>
    <row r="381" spans="2:53" ht="17.399999999999999" customHeight="1">
      <c r="B381" s="159"/>
      <c r="C381" s="159"/>
      <c r="D381" s="159"/>
      <c r="E381" s="159"/>
      <c r="F381" s="159"/>
      <c r="G381" s="159"/>
      <c r="H381" s="159"/>
      <c r="I381" s="159"/>
      <c r="J381" s="224"/>
      <c r="K381" s="159"/>
      <c r="L381" s="159"/>
      <c r="M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row>
    <row r="382" spans="2:53" ht="17.399999999999999" customHeight="1">
      <c r="B382" s="159"/>
      <c r="C382" s="159"/>
      <c r="D382" s="159"/>
      <c r="E382" s="159"/>
      <c r="F382" s="159"/>
      <c r="G382" s="159"/>
      <c r="H382" s="159"/>
      <c r="I382" s="159"/>
      <c r="J382" s="224"/>
      <c r="K382" s="159"/>
      <c r="L382" s="159"/>
      <c r="M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c r="AT382" s="159"/>
      <c r="AU382" s="159"/>
      <c r="AV382" s="159"/>
      <c r="AW382" s="159"/>
      <c r="AX382" s="159"/>
      <c r="AY382" s="159"/>
      <c r="AZ382" s="159"/>
      <c r="BA382" s="159"/>
    </row>
    <row r="383" spans="2:53" ht="17.399999999999999" customHeight="1">
      <c r="B383" s="159"/>
      <c r="C383" s="159"/>
      <c r="D383" s="159"/>
      <c r="E383" s="159"/>
      <c r="F383" s="159"/>
      <c r="G383" s="159"/>
      <c r="H383" s="159"/>
      <c r="I383" s="159"/>
      <c r="J383" s="224"/>
      <c r="K383" s="159"/>
      <c r="L383" s="159"/>
      <c r="M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row>
    <row r="384" spans="2:53" ht="17.399999999999999" customHeight="1">
      <c r="B384" s="159"/>
      <c r="C384" s="159"/>
      <c r="D384" s="159"/>
      <c r="E384" s="159"/>
      <c r="F384" s="159"/>
      <c r="G384" s="159"/>
      <c r="H384" s="159"/>
      <c r="I384" s="159"/>
      <c r="J384" s="224"/>
      <c r="K384" s="159"/>
      <c r="L384" s="159"/>
      <c r="M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c r="AT384" s="159"/>
      <c r="AU384" s="159"/>
      <c r="AV384" s="159"/>
      <c r="AW384" s="159"/>
      <c r="AX384" s="159"/>
      <c r="AY384" s="159"/>
      <c r="AZ384" s="159"/>
      <c r="BA384" s="159"/>
    </row>
    <row r="385" spans="2:53" ht="17.399999999999999" customHeight="1">
      <c r="B385" s="159"/>
      <c r="C385" s="159"/>
      <c r="D385" s="159"/>
      <c r="E385" s="159"/>
      <c r="F385" s="159"/>
      <c r="G385" s="159"/>
      <c r="H385" s="159"/>
      <c r="I385" s="159"/>
      <c r="J385" s="224"/>
      <c r="K385" s="159"/>
      <c r="L385" s="159"/>
      <c r="M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c r="AT385" s="159"/>
      <c r="AU385" s="159"/>
      <c r="AV385" s="159"/>
      <c r="AW385" s="159"/>
      <c r="AX385" s="159"/>
      <c r="AY385" s="159"/>
      <c r="AZ385" s="159"/>
      <c r="BA385" s="159"/>
    </row>
    <row r="386" spans="2:53" ht="17.399999999999999" customHeight="1">
      <c r="B386" s="159"/>
      <c r="C386" s="159"/>
      <c r="D386" s="159"/>
      <c r="E386" s="159"/>
      <c r="F386" s="159"/>
      <c r="G386" s="159"/>
      <c r="H386" s="159"/>
      <c r="I386" s="159"/>
      <c r="J386" s="224"/>
      <c r="K386" s="159"/>
      <c r="L386" s="159"/>
      <c r="M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c r="AT386" s="159"/>
      <c r="AU386" s="159"/>
      <c r="AV386" s="159"/>
      <c r="AW386" s="159"/>
      <c r="AX386" s="159"/>
      <c r="AY386" s="159"/>
      <c r="AZ386" s="159"/>
      <c r="BA386" s="159"/>
    </row>
    <row r="387" spans="2:53" ht="17.399999999999999" customHeight="1">
      <c r="B387" s="159"/>
      <c r="C387" s="159"/>
      <c r="D387" s="159"/>
      <c r="E387" s="159"/>
      <c r="F387" s="159"/>
      <c r="G387" s="159"/>
      <c r="H387" s="159"/>
      <c r="I387" s="159"/>
      <c r="J387" s="224"/>
      <c r="K387" s="159"/>
      <c r="L387" s="159"/>
      <c r="M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row>
    <row r="388" spans="2:53" ht="17.399999999999999" customHeight="1">
      <c r="B388" s="159"/>
      <c r="C388" s="159"/>
      <c r="D388" s="159"/>
      <c r="E388" s="159"/>
      <c r="F388" s="159"/>
      <c r="G388" s="159"/>
      <c r="H388" s="159"/>
      <c r="I388" s="159"/>
      <c r="J388" s="224"/>
      <c r="K388" s="159"/>
      <c r="L388" s="159"/>
      <c r="M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159"/>
      <c r="AU388" s="159"/>
      <c r="AV388" s="159"/>
      <c r="AW388" s="159"/>
      <c r="AX388" s="159"/>
      <c r="AY388" s="159"/>
      <c r="AZ388" s="159"/>
      <c r="BA388" s="159"/>
    </row>
    <row r="389" spans="2:53" ht="17.399999999999999" customHeight="1">
      <c r="B389" s="159"/>
      <c r="C389" s="159"/>
      <c r="D389" s="159"/>
      <c r="E389" s="159"/>
      <c r="F389" s="159"/>
      <c r="G389" s="159"/>
      <c r="H389" s="159"/>
      <c r="I389" s="159"/>
      <c r="J389" s="224"/>
      <c r="K389" s="159"/>
      <c r="L389" s="159"/>
      <c r="M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row>
    <row r="390" spans="2:53" ht="17.399999999999999" customHeight="1">
      <c r="B390" s="159"/>
      <c r="C390" s="159"/>
      <c r="D390" s="159"/>
      <c r="E390" s="159"/>
      <c r="F390" s="159"/>
      <c r="G390" s="159"/>
      <c r="H390" s="159"/>
      <c r="I390" s="159"/>
      <c r="J390" s="224"/>
      <c r="K390" s="159"/>
      <c r="L390" s="159"/>
      <c r="M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row>
    <row r="391" spans="2:53" ht="17.399999999999999" customHeight="1">
      <c r="B391" s="159"/>
      <c r="C391" s="159"/>
      <c r="D391" s="159"/>
      <c r="E391" s="159"/>
      <c r="F391" s="159"/>
      <c r="G391" s="159"/>
      <c r="H391" s="159"/>
      <c r="I391" s="159"/>
      <c r="J391" s="224"/>
      <c r="K391" s="159"/>
      <c r="L391" s="159"/>
      <c r="M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row>
    <row r="392" spans="2:53" ht="17.399999999999999" customHeight="1">
      <c r="B392" s="159"/>
      <c r="C392" s="159"/>
      <c r="D392" s="159"/>
      <c r="E392" s="159"/>
      <c r="F392" s="159"/>
      <c r="G392" s="159"/>
      <c r="H392" s="159"/>
      <c r="I392" s="159"/>
      <c r="J392" s="224"/>
      <c r="K392" s="159"/>
      <c r="L392" s="159"/>
      <c r="M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row>
    <row r="393" spans="2:53" ht="17.399999999999999" customHeight="1">
      <c r="B393" s="159"/>
      <c r="C393" s="159"/>
      <c r="D393" s="159"/>
      <c r="E393" s="159"/>
      <c r="F393" s="159"/>
      <c r="G393" s="159"/>
      <c r="H393" s="159"/>
      <c r="I393" s="159"/>
      <c r="J393" s="224"/>
      <c r="K393" s="159"/>
      <c r="L393" s="159"/>
      <c r="M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row>
    <row r="394" spans="2:53" ht="17.399999999999999" customHeight="1">
      <c r="B394" s="159"/>
      <c r="C394" s="159"/>
      <c r="D394" s="159"/>
      <c r="E394" s="159"/>
      <c r="F394" s="159"/>
      <c r="G394" s="159"/>
      <c r="H394" s="159"/>
      <c r="I394" s="159"/>
      <c r="J394" s="224"/>
      <c r="K394" s="159"/>
      <c r="L394" s="159"/>
      <c r="M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row>
    <row r="395" spans="2:53" ht="17.399999999999999" customHeight="1">
      <c r="B395" s="159"/>
      <c r="C395" s="159"/>
      <c r="D395" s="159"/>
      <c r="E395" s="159"/>
      <c r="F395" s="159"/>
      <c r="G395" s="159"/>
      <c r="H395" s="159"/>
      <c r="I395" s="159"/>
      <c r="J395" s="224"/>
      <c r="K395" s="159"/>
      <c r="L395" s="159"/>
      <c r="M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c r="AT395" s="159"/>
      <c r="AU395" s="159"/>
      <c r="AV395" s="159"/>
      <c r="AW395" s="159"/>
      <c r="AX395" s="159"/>
      <c r="AY395" s="159"/>
      <c r="AZ395" s="159"/>
      <c r="BA395" s="159"/>
    </row>
    <row r="396" spans="2:53" ht="17.399999999999999" customHeight="1">
      <c r="B396" s="159"/>
      <c r="C396" s="159"/>
      <c r="D396" s="159"/>
      <c r="E396" s="159"/>
      <c r="F396" s="159"/>
      <c r="G396" s="159"/>
      <c r="H396" s="159"/>
      <c r="I396" s="159"/>
      <c r="J396" s="224"/>
      <c r="K396" s="159"/>
      <c r="L396" s="159"/>
      <c r="M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c r="AT396" s="159"/>
      <c r="AU396" s="159"/>
      <c r="AV396" s="159"/>
      <c r="AW396" s="159"/>
      <c r="AX396" s="159"/>
      <c r="AY396" s="159"/>
      <c r="AZ396" s="159"/>
      <c r="BA396" s="159"/>
    </row>
    <row r="397" spans="2:53" ht="17.399999999999999" customHeight="1">
      <c r="B397" s="159"/>
      <c r="C397" s="159"/>
      <c r="D397" s="159"/>
      <c r="E397" s="159"/>
      <c r="F397" s="159"/>
      <c r="G397" s="159"/>
      <c r="H397" s="159"/>
      <c r="I397" s="159"/>
      <c r="J397" s="224"/>
      <c r="K397" s="159"/>
      <c r="L397" s="159"/>
      <c r="M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row>
    <row r="398" spans="2:53" ht="17.399999999999999" customHeight="1">
      <c r="B398" s="159"/>
      <c r="C398" s="159"/>
      <c r="D398" s="159"/>
      <c r="E398" s="159"/>
      <c r="F398" s="159"/>
      <c r="G398" s="159"/>
      <c r="H398" s="159"/>
      <c r="I398" s="159"/>
      <c r="J398" s="224"/>
      <c r="K398" s="159"/>
      <c r="L398" s="159"/>
      <c r="M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c r="AT398" s="159"/>
      <c r="AU398" s="159"/>
      <c r="AV398" s="159"/>
      <c r="AW398" s="159"/>
      <c r="AX398" s="159"/>
      <c r="AY398" s="159"/>
      <c r="AZ398" s="159"/>
      <c r="BA398" s="159"/>
    </row>
    <row r="399" spans="2:53" ht="17.399999999999999" customHeight="1">
      <c r="B399" s="159"/>
      <c r="C399" s="159"/>
      <c r="D399" s="159"/>
      <c r="E399" s="159"/>
      <c r="F399" s="159"/>
      <c r="G399" s="159"/>
      <c r="H399" s="159"/>
      <c r="I399" s="159"/>
      <c r="J399" s="224"/>
      <c r="K399" s="159"/>
      <c r="L399" s="159"/>
      <c r="M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c r="AT399" s="159"/>
      <c r="AU399" s="159"/>
      <c r="AV399" s="159"/>
      <c r="AW399" s="159"/>
      <c r="AX399" s="159"/>
      <c r="AY399" s="159"/>
      <c r="AZ399" s="159"/>
      <c r="BA399" s="159"/>
    </row>
    <row r="400" spans="2:53" ht="17.399999999999999" customHeight="1">
      <c r="B400" s="159"/>
      <c r="C400" s="159"/>
      <c r="D400" s="159"/>
      <c r="E400" s="159"/>
      <c r="F400" s="159"/>
      <c r="G400" s="159"/>
      <c r="H400" s="159"/>
      <c r="I400" s="159"/>
      <c r="J400" s="224"/>
      <c r="K400" s="159"/>
      <c r="L400" s="159"/>
      <c r="M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c r="AT400" s="159"/>
      <c r="AU400" s="159"/>
      <c r="AV400" s="159"/>
      <c r="AW400" s="159"/>
      <c r="AX400" s="159"/>
      <c r="AY400" s="159"/>
      <c r="AZ400" s="159"/>
      <c r="BA400" s="159"/>
    </row>
    <row r="401" spans="2:53" ht="17.399999999999999" customHeight="1">
      <c r="B401" s="159"/>
      <c r="C401" s="159"/>
      <c r="D401" s="159"/>
      <c r="E401" s="159"/>
      <c r="F401" s="159"/>
      <c r="G401" s="159"/>
      <c r="H401" s="159"/>
      <c r="I401" s="159"/>
      <c r="J401" s="224"/>
      <c r="K401" s="159"/>
      <c r="L401" s="159"/>
      <c r="M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c r="AT401" s="159"/>
      <c r="AU401" s="159"/>
      <c r="AV401" s="159"/>
      <c r="AW401" s="159"/>
      <c r="AX401" s="159"/>
      <c r="AY401" s="159"/>
      <c r="AZ401" s="159"/>
      <c r="BA401" s="159"/>
    </row>
    <row r="402" spans="2:53" ht="17.399999999999999" customHeight="1">
      <c r="B402" s="159"/>
      <c r="C402" s="159"/>
      <c r="D402" s="159"/>
      <c r="E402" s="159"/>
      <c r="F402" s="159"/>
      <c r="G402" s="159"/>
      <c r="H402" s="159"/>
      <c r="I402" s="159"/>
      <c r="J402" s="224"/>
      <c r="K402" s="159"/>
      <c r="L402" s="159"/>
      <c r="M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c r="AT402" s="159"/>
      <c r="AU402" s="159"/>
      <c r="AV402" s="159"/>
      <c r="AW402" s="159"/>
      <c r="AX402" s="159"/>
      <c r="AY402" s="159"/>
      <c r="AZ402" s="159"/>
      <c r="BA402" s="159"/>
    </row>
    <row r="403" spans="2:53" ht="17.399999999999999" customHeight="1">
      <c r="B403" s="159"/>
      <c r="C403" s="159"/>
      <c r="D403" s="159"/>
      <c r="E403" s="159"/>
      <c r="F403" s="159"/>
      <c r="G403" s="159"/>
      <c r="H403" s="159"/>
      <c r="I403" s="159"/>
      <c r="J403" s="224"/>
      <c r="K403" s="159"/>
      <c r="L403" s="159"/>
      <c r="M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c r="AT403" s="159"/>
      <c r="AU403" s="159"/>
      <c r="AV403" s="159"/>
      <c r="AW403" s="159"/>
      <c r="AX403" s="159"/>
      <c r="AY403" s="159"/>
      <c r="AZ403" s="159"/>
      <c r="BA403" s="159"/>
    </row>
    <row r="404" spans="2:53" ht="17.399999999999999" customHeight="1">
      <c r="B404" s="159"/>
      <c r="C404" s="159"/>
      <c r="D404" s="159"/>
      <c r="E404" s="159"/>
      <c r="F404" s="159"/>
      <c r="G404" s="159"/>
      <c r="H404" s="159"/>
      <c r="I404" s="159"/>
      <c r="J404" s="224"/>
      <c r="K404" s="159"/>
      <c r="L404" s="159"/>
      <c r="M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c r="AT404" s="159"/>
      <c r="AU404" s="159"/>
      <c r="AV404" s="159"/>
      <c r="AW404" s="159"/>
      <c r="AX404" s="159"/>
      <c r="AY404" s="159"/>
      <c r="AZ404" s="159"/>
      <c r="BA404" s="159"/>
    </row>
    <row r="405" spans="2:53" ht="17.399999999999999" customHeight="1">
      <c r="B405" s="159"/>
      <c r="C405" s="159"/>
      <c r="D405" s="159"/>
      <c r="E405" s="159"/>
      <c r="F405" s="159"/>
      <c r="G405" s="159"/>
      <c r="H405" s="159"/>
      <c r="I405" s="159"/>
      <c r="J405" s="224"/>
      <c r="K405" s="159"/>
      <c r="L405" s="159"/>
      <c r="M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c r="AT405" s="159"/>
      <c r="AU405" s="159"/>
      <c r="AV405" s="159"/>
      <c r="AW405" s="159"/>
      <c r="AX405" s="159"/>
      <c r="AY405" s="159"/>
      <c r="AZ405" s="159"/>
      <c r="BA405" s="159"/>
    </row>
    <row r="406" spans="2:53" ht="17.399999999999999" customHeight="1">
      <c r="B406" s="159"/>
      <c r="C406" s="159"/>
      <c r="D406" s="159"/>
      <c r="E406" s="159"/>
      <c r="F406" s="159"/>
      <c r="G406" s="159"/>
      <c r="H406" s="159"/>
      <c r="I406" s="159"/>
      <c r="J406" s="224"/>
      <c r="K406" s="159"/>
      <c r="L406" s="159"/>
      <c r="M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row>
    <row r="407" spans="2:53" ht="17.399999999999999" customHeight="1">
      <c r="B407" s="159"/>
      <c r="C407" s="159"/>
      <c r="D407" s="159"/>
      <c r="E407" s="159"/>
      <c r="F407" s="159"/>
      <c r="G407" s="159"/>
      <c r="H407" s="159"/>
      <c r="I407" s="159"/>
      <c r="J407" s="224"/>
      <c r="K407" s="159"/>
      <c r="L407" s="159"/>
      <c r="M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c r="AT407" s="159"/>
      <c r="AU407" s="159"/>
      <c r="AV407" s="159"/>
      <c r="AW407" s="159"/>
      <c r="AX407" s="159"/>
      <c r="AY407" s="159"/>
      <c r="AZ407" s="159"/>
      <c r="BA407" s="159"/>
    </row>
    <row r="408" spans="2:53" ht="17.399999999999999" customHeight="1">
      <c r="B408" s="159"/>
      <c r="C408" s="159"/>
      <c r="D408" s="159"/>
      <c r="E408" s="159"/>
      <c r="F408" s="159"/>
      <c r="G408" s="159"/>
      <c r="H408" s="159"/>
      <c r="I408" s="159"/>
      <c r="J408" s="224"/>
      <c r="K408" s="159"/>
      <c r="L408" s="159"/>
      <c r="M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c r="AT408" s="159"/>
      <c r="AU408" s="159"/>
      <c r="AV408" s="159"/>
      <c r="AW408" s="159"/>
      <c r="AX408" s="159"/>
      <c r="AY408" s="159"/>
      <c r="AZ408" s="159"/>
      <c r="BA408" s="159"/>
    </row>
    <row r="409" spans="2:53" ht="17.399999999999999" customHeight="1">
      <c r="B409" s="159"/>
      <c r="C409" s="159"/>
      <c r="D409" s="159"/>
      <c r="E409" s="159"/>
      <c r="F409" s="159"/>
      <c r="G409" s="159"/>
      <c r="H409" s="159"/>
      <c r="I409" s="159"/>
      <c r="J409" s="224"/>
      <c r="K409" s="159"/>
      <c r="L409" s="159"/>
      <c r="M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c r="AT409" s="159"/>
      <c r="AU409" s="159"/>
      <c r="AV409" s="159"/>
      <c r="AW409" s="159"/>
      <c r="AX409" s="159"/>
      <c r="AY409" s="159"/>
      <c r="AZ409" s="159"/>
      <c r="BA409" s="159"/>
    </row>
    <row r="410" spans="2:53" ht="17.399999999999999" customHeight="1">
      <c r="B410" s="159"/>
      <c r="C410" s="159"/>
      <c r="D410" s="159"/>
      <c r="E410" s="159"/>
      <c r="F410" s="159"/>
      <c r="G410" s="159"/>
      <c r="H410" s="159"/>
      <c r="I410" s="159"/>
      <c r="J410" s="224"/>
      <c r="K410" s="159"/>
      <c r="L410" s="159"/>
      <c r="M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c r="AT410" s="159"/>
      <c r="AU410" s="159"/>
      <c r="AV410" s="159"/>
      <c r="AW410" s="159"/>
      <c r="AX410" s="159"/>
      <c r="AY410" s="159"/>
      <c r="AZ410" s="159"/>
      <c r="BA410" s="159"/>
    </row>
    <row r="411" spans="2:53" ht="17.399999999999999" customHeight="1">
      <c r="B411" s="159"/>
      <c r="C411" s="159"/>
      <c r="D411" s="159"/>
      <c r="E411" s="159"/>
      <c r="F411" s="159"/>
      <c r="G411" s="159"/>
      <c r="H411" s="159"/>
      <c r="I411" s="159"/>
      <c r="J411" s="224"/>
      <c r="K411" s="159"/>
      <c r="L411" s="159"/>
      <c r="M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c r="AT411" s="159"/>
      <c r="AU411" s="159"/>
      <c r="AV411" s="159"/>
      <c r="AW411" s="159"/>
      <c r="AX411" s="159"/>
      <c r="AY411" s="159"/>
      <c r="AZ411" s="159"/>
      <c r="BA411" s="159"/>
    </row>
    <row r="412" spans="2:53" ht="17.399999999999999" customHeight="1">
      <c r="B412" s="159"/>
      <c r="C412" s="159"/>
      <c r="D412" s="159"/>
      <c r="E412" s="159"/>
      <c r="F412" s="159"/>
      <c r="G412" s="159"/>
      <c r="H412" s="159"/>
      <c r="I412" s="159"/>
      <c r="J412" s="224"/>
      <c r="K412" s="159"/>
      <c r="L412" s="159"/>
      <c r="M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c r="AT412" s="159"/>
      <c r="AU412" s="159"/>
      <c r="AV412" s="159"/>
      <c r="AW412" s="159"/>
      <c r="AX412" s="159"/>
      <c r="AY412" s="159"/>
      <c r="AZ412" s="159"/>
      <c r="BA412" s="159"/>
    </row>
    <row r="413" spans="2:53" ht="17.399999999999999" customHeight="1">
      <c r="B413" s="159"/>
      <c r="C413" s="159"/>
      <c r="D413" s="159"/>
      <c r="E413" s="159"/>
      <c r="F413" s="159"/>
      <c r="G413" s="159"/>
      <c r="H413" s="159"/>
      <c r="I413" s="159"/>
      <c r="J413" s="224"/>
      <c r="K413" s="159"/>
      <c r="L413" s="159"/>
      <c r="M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c r="AT413" s="159"/>
      <c r="AU413" s="159"/>
      <c r="AV413" s="159"/>
      <c r="AW413" s="159"/>
      <c r="AX413" s="159"/>
      <c r="AY413" s="159"/>
      <c r="AZ413" s="159"/>
      <c r="BA413" s="159"/>
    </row>
    <row r="414" spans="2:53" ht="17.399999999999999" customHeight="1">
      <c r="B414" s="159"/>
      <c r="C414" s="159"/>
      <c r="D414" s="159"/>
      <c r="E414" s="159"/>
      <c r="F414" s="159"/>
      <c r="G414" s="159"/>
      <c r="H414" s="159"/>
      <c r="I414" s="159"/>
      <c r="J414" s="224"/>
      <c r="K414" s="159"/>
      <c r="L414" s="159"/>
      <c r="M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c r="AT414" s="159"/>
      <c r="AU414" s="159"/>
      <c r="AV414" s="159"/>
      <c r="AW414" s="159"/>
      <c r="AX414" s="159"/>
      <c r="AY414" s="159"/>
      <c r="AZ414" s="159"/>
      <c r="BA414" s="159"/>
    </row>
    <row r="415" spans="2:53" ht="17.399999999999999" customHeight="1">
      <c r="B415" s="159"/>
      <c r="C415" s="159"/>
      <c r="D415" s="159"/>
      <c r="E415" s="159"/>
      <c r="F415" s="159"/>
      <c r="G415" s="159"/>
      <c r="H415" s="159"/>
      <c r="I415" s="159"/>
      <c r="J415" s="224"/>
      <c r="K415" s="159"/>
      <c r="L415" s="159"/>
      <c r="M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c r="AT415" s="159"/>
      <c r="AU415" s="159"/>
      <c r="AV415" s="159"/>
      <c r="AW415" s="159"/>
      <c r="AX415" s="159"/>
      <c r="AY415" s="159"/>
      <c r="AZ415" s="159"/>
      <c r="BA415" s="159"/>
    </row>
    <row r="416" spans="2:53" ht="17.399999999999999" customHeight="1">
      <c r="B416" s="159"/>
      <c r="C416" s="159"/>
      <c r="D416" s="159"/>
      <c r="E416" s="159"/>
      <c r="F416" s="159"/>
      <c r="G416" s="159"/>
      <c r="H416" s="159"/>
      <c r="I416" s="159"/>
      <c r="J416" s="224"/>
      <c r="K416" s="159"/>
      <c r="L416" s="159"/>
      <c r="M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c r="AT416" s="159"/>
      <c r="AU416" s="159"/>
      <c r="AV416" s="159"/>
      <c r="AW416" s="159"/>
      <c r="AX416" s="159"/>
      <c r="AY416" s="159"/>
      <c r="AZ416" s="159"/>
      <c r="BA416" s="159"/>
    </row>
    <row r="417" spans="2:53" ht="17.399999999999999" customHeight="1">
      <c r="B417" s="159"/>
      <c r="C417" s="159"/>
      <c r="D417" s="159"/>
      <c r="E417" s="159"/>
      <c r="F417" s="159"/>
      <c r="G417" s="159"/>
      <c r="H417" s="159"/>
      <c r="I417" s="159"/>
      <c r="J417" s="224"/>
      <c r="K417" s="159"/>
      <c r="L417" s="159"/>
      <c r="M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c r="AT417" s="159"/>
      <c r="AU417" s="159"/>
      <c r="AV417" s="159"/>
      <c r="AW417" s="159"/>
      <c r="AX417" s="159"/>
      <c r="AY417" s="159"/>
      <c r="AZ417" s="159"/>
      <c r="BA417" s="159"/>
    </row>
    <row r="418" spans="2:53" ht="17.399999999999999" customHeight="1">
      <c r="B418" s="159"/>
      <c r="C418" s="159"/>
      <c r="D418" s="159"/>
      <c r="E418" s="159"/>
      <c r="F418" s="159"/>
      <c r="G418" s="159"/>
      <c r="H418" s="159"/>
      <c r="I418" s="159"/>
      <c r="J418" s="224"/>
      <c r="K418" s="159"/>
      <c r="L418" s="159"/>
      <c r="M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c r="AT418" s="159"/>
      <c r="AU418" s="159"/>
      <c r="AV418" s="159"/>
      <c r="AW418" s="159"/>
      <c r="AX418" s="159"/>
      <c r="AY418" s="159"/>
      <c r="AZ418" s="159"/>
      <c r="BA418" s="159"/>
    </row>
    <row r="419" spans="2:53" ht="17.399999999999999" customHeight="1">
      <c r="B419" s="159"/>
      <c r="C419" s="159"/>
      <c r="D419" s="159"/>
      <c r="E419" s="159"/>
      <c r="F419" s="159"/>
      <c r="G419" s="159"/>
      <c r="H419" s="159"/>
      <c r="I419" s="159"/>
      <c r="J419" s="224"/>
      <c r="K419" s="159"/>
      <c r="L419" s="159"/>
      <c r="M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c r="AT419" s="159"/>
      <c r="AU419" s="159"/>
      <c r="AV419" s="159"/>
      <c r="AW419" s="159"/>
      <c r="AX419" s="159"/>
      <c r="AY419" s="159"/>
      <c r="AZ419" s="159"/>
      <c r="BA419" s="159"/>
    </row>
    <row r="420" spans="2:53" ht="17.399999999999999" customHeight="1">
      <c r="B420" s="159"/>
      <c r="C420" s="159"/>
      <c r="D420" s="159"/>
      <c r="E420" s="159"/>
      <c r="F420" s="159"/>
      <c r="G420" s="159"/>
      <c r="H420" s="159"/>
      <c r="I420" s="159"/>
      <c r="J420" s="224"/>
      <c r="K420" s="159"/>
      <c r="L420" s="159"/>
      <c r="M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c r="AT420" s="159"/>
      <c r="AU420" s="159"/>
      <c r="AV420" s="159"/>
      <c r="AW420" s="159"/>
      <c r="AX420" s="159"/>
      <c r="AY420" s="159"/>
      <c r="AZ420" s="159"/>
      <c r="BA420" s="159"/>
    </row>
    <row r="421" spans="2:53" ht="17.399999999999999" customHeight="1">
      <c r="B421" s="159"/>
      <c r="C421" s="159"/>
      <c r="D421" s="159"/>
      <c r="E421" s="159"/>
      <c r="F421" s="159"/>
      <c r="G421" s="159"/>
      <c r="H421" s="159"/>
      <c r="I421" s="159"/>
      <c r="J421" s="224"/>
      <c r="K421" s="159"/>
      <c r="L421" s="159"/>
      <c r="M421" s="159"/>
      <c r="O421" s="159"/>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c r="AT421" s="159"/>
      <c r="AU421" s="159"/>
      <c r="AV421" s="159"/>
      <c r="AW421" s="159"/>
      <c r="AX421" s="159"/>
      <c r="AY421" s="159"/>
      <c r="AZ421" s="159"/>
      <c r="BA421" s="159"/>
    </row>
    <row r="422" spans="2:53" ht="17.399999999999999" customHeight="1">
      <c r="B422" s="159"/>
      <c r="C422" s="159"/>
      <c r="D422" s="159"/>
      <c r="E422" s="159"/>
      <c r="F422" s="159"/>
      <c r="G422" s="159"/>
      <c r="H422" s="159"/>
      <c r="I422" s="159"/>
      <c r="J422" s="224"/>
      <c r="K422" s="159"/>
      <c r="L422" s="159"/>
      <c r="M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c r="AT422" s="159"/>
      <c r="AU422" s="159"/>
      <c r="AV422" s="159"/>
      <c r="AW422" s="159"/>
      <c r="AX422" s="159"/>
      <c r="AY422" s="159"/>
      <c r="AZ422" s="159"/>
      <c r="BA422" s="159"/>
    </row>
    <row r="423" spans="2:53" ht="17.399999999999999" customHeight="1">
      <c r="B423" s="159"/>
      <c r="C423" s="159"/>
      <c r="D423" s="159"/>
      <c r="E423" s="159"/>
      <c r="F423" s="159"/>
      <c r="G423" s="159"/>
      <c r="H423" s="159"/>
      <c r="I423" s="159"/>
      <c r="J423" s="224"/>
      <c r="K423" s="159"/>
      <c r="L423" s="159"/>
      <c r="M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c r="AT423" s="159"/>
      <c r="AU423" s="159"/>
      <c r="AV423" s="159"/>
      <c r="AW423" s="159"/>
      <c r="AX423" s="159"/>
      <c r="AY423" s="159"/>
      <c r="AZ423" s="159"/>
      <c r="BA423" s="159"/>
    </row>
    <row r="424" spans="2:53" ht="17.399999999999999" customHeight="1">
      <c r="B424" s="159"/>
      <c r="C424" s="159"/>
      <c r="D424" s="159"/>
      <c r="E424" s="159"/>
      <c r="F424" s="159"/>
      <c r="G424" s="159"/>
      <c r="H424" s="159"/>
      <c r="I424" s="159"/>
      <c r="J424" s="224"/>
      <c r="K424" s="159"/>
      <c r="L424" s="159"/>
      <c r="M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c r="AT424" s="159"/>
      <c r="AU424" s="159"/>
      <c r="AV424" s="159"/>
      <c r="AW424" s="159"/>
      <c r="AX424" s="159"/>
      <c r="AY424" s="159"/>
      <c r="AZ424" s="159"/>
      <c r="BA424" s="159"/>
    </row>
    <row r="425" spans="2:53" ht="17.399999999999999" customHeight="1">
      <c r="B425" s="159"/>
      <c r="C425" s="159"/>
      <c r="D425" s="159"/>
      <c r="E425" s="159"/>
      <c r="F425" s="159"/>
      <c r="G425" s="159"/>
      <c r="H425" s="159"/>
      <c r="I425" s="159"/>
      <c r="J425" s="224"/>
      <c r="K425" s="159"/>
      <c r="L425" s="159"/>
      <c r="M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c r="AT425" s="159"/>
      <c r="AU425" s="159"/>
      <c r="AV425" s="159"/>
      <c r="AW425" s="159"/>
      <c r="AX425" s="159"/>
      <c r="AY425" s="159"/>
      <c r="AZ425" s="159"/>
      <c r="BA425" s="159"/>
    </row>
    <row r="426" spans="2:53" ht="17.399999999999999" customHeight="1">
      <c r="B426" s="159"/>
      <c r="C426" s="159"/>
      <c r="D426" s="159"/>
      <c r="E426" s="159"/>
      <c r="F426" s="159"/>
      <c r="G426" s="159"/>
      <c r="H426" s="159"/>
      <c r="I426" s="159"/>
      <c r="J426" s="224"/>
      <c r="K426" s="159"/>
      <c r="L426" s="159"/>
      <c r="M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c r="AT426" s="159"/>
      <c r="AU426" s="159"/>
      <c r="AV426" s="159"/>
      <c r="AW426" s="159"/>
      <c r="AX426" s="159"/>
      <c r="AY426" s="159"/>
      <c r="AZ426" s="159"/>
      <c r="BA426" s="159"/>
    </row>
    <row r="427" spans="2:53" ht="17.399999999999999" customHeight="1">
      <c r="B427" s="159"/>
      <c r="C427" s="159"/>
      <c r="D427" s="159"/>
      <c r="E427" s="159"/>
      <c r="F427" s="159"/>
      <c r="G427" s="159"/>
      <c r="H427" s="159"/>
      <c r="I427" s="159"/>
      <c r="J427" s="224"/>
      <c r="K427" s="159"/>
      <c r="L427" s="159"/>
      <c r="M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c r="AT427" s="159"/>
      <c r="AU427" s="159"/>
      <c r="AV427" s="159"/>
      <c r="AW427" s="159"/>
      <c r="AX427" s="159"/>
      <c r="AY427" s="159"/>
      <c r="AZ427" s="159"/>
      <c r="BA427" s="159"/>
    </row>
    <row r="428" spans="2:53" ht="17.399999999999999" customHeight="1">
      <c r="B428" s="159"/>
      <c r="C428" s="159"/>
      <c r="D428" s="159"/>
      <c r="E428" s="159"/>
      <c r="F428" s="159"/>
      <c r="G428" s="159"/>
      <c r="H428" s="159"/>
      <c r="I428" s="159"/>
      <c r="J428" s="224"/>
      <c r="K428" s="159"/>
      <c r="L428" s="159"/>
      <c r="M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c r="AT428" s="159"/>
      <c r="AU428" s="159"/>
      <c r="AV428" s="159"/>
      <c r="AW428" s="159"/>
      <c r="AX428" s="159"/>
      <c r="AY428" s="159"/>
      <c r="AZ428" s="159"/>
      <c r="BA428" s="159"/>
    </row>
    <row r="429" spans="2:53" ht="17.399999999999999" customHeight="1">
      <c r="B429" s="159"/>
      <c r="C429" s="159"/>
      <c r="D429" s="159"/>
      <c r="E429" s="159"/>
      <c r="F429" s="159"/>
      <c r="G429" s="159"/>
      <c r="H429" s="159"/>
      <c r="I429" s="159"/>
      <c r="J429" s="224"/>
      <c r="K429" s="159"/>
      <c r="L429" s="159"/>
      <c r="M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c r="AT429" s="159"/>
      <c r="AU429" s="159"/>
      <c r="AV429" s="159"/>
      <c r="AW429" s="159"/>
      <c r="AX429" s="159"/>
      <c r="AY429" s="159"/>
      <c r="AZ429" s="159"/>
      <c r="BA429" s="159"/>
    </row>
    <row r="430" spans="2:53" ht="17.399999999999999" customHeight="1">
      <c r="B430" s="159"/>
      <c r="C430" s="159"/>
      <c r="D430" s="159"/>
      <c r="E430" s="159"/>
      <c r="F430" s="159"/>
      <c r="G430" s="159"/>
      <c r="H430" s="159"/>
      <c r="I430" s="159"/>
      <c r="J430" s="224"/>
      <c r="K430" s="159"/>
      <c r="L430" s="159"/>
      <c r="M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c r="AT430" s="159"/>
      <c r="AU430" s="159"/>
      <c r="AV430" s="159"/>
      <c r="AW430" s="159"/>
      <c r="AX430" s="159"/>
      <c r="AY430" s="159"/>
      <c r="AZ430" s="159"/>
      <c r="BA430" s="159"/>
    </row>
    <row r="431" spans="2:53" ht="17.399999999999999" customHeight="1">
      <c r="B431" s="159"/>
      <c r="C431" s="159"/>
      <c r="D431" s="159"/>
      <c r="E431" s="159"/>
      <c r="F431" s="159"/>
      <c r="G431" s="159"/>
      <c r="H431" s="159"/>
      <c r="I431" s="159"/>
      <c r="J431" s="224"/>
      <c r="K431" s="159"/>
      <c r="L431" s="159"/>
      <c r="M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c r="AT431" s="159"/>
      <c r="AU431" s="159"/>
      <c r="AV431" s="159"/>
      <c r="AW431" s="159"/>
      <c r="AX431" s="159"/>
      <c r="AY431" s="159"/>
      <c r="AZ431" s="159"/>
      <c r="BA431" s="159"/>
    </row>
    <row r="432" spans="2:53" ht="17.399999999999999" customHeight="1">
      <c r="B432" s="159"/>
      <c r="C432" s="159"/>
      <c r="D432" s="159"/>
      <c r="E432" s="159"/>
      <c r="F432" s="159"/>
      <c r="G432" s="159"/>
      <c r="H432" s="159"/>
      <c r="I432" s="159"/>
      <c r="J432" s="224"/>
      <c r="K432" s="159"/>
      <c r="L432" s="159"/>
      <c r="M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c r="AT432" s="159"/>
      <c r="AU432" s="159"/>
      <c r="AV432" s="159"/>
      <c r="AW432" s="159"/>
      <c r="AX432" s="159"/>
      <c r="AY432" s="159"/>
      <c r="AZ432" s="159"/>
      <c r="BA432" s="159"/>
    </row>
    <row r="433" spans="2:53" ht="17.399999999999999" customHeight="1">
      <c r="B433" s="159"/>
      <c r="C433" s="159"/>
      <c r="D433" s="159"/>
      <c r="E433" s="159"/>
      <c r="F433" s="159"/>
      <c r="G433" s="159"/>
      <c r="H433" s="159"/>
      <c r="I433" s="159"/>
      <c r="J433" s="224"/>
      <c r="K433" s="159"/>
      <c r="L433" s="159"/>
      <c r="M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c r="AT433" s="159"/>
      <c r="AU433" s="159"/>
      <c r="AV433" s="159"/>
      <c r="AW433" s="159"/>
      <c r="AX433" s="159"/>
      <c r="AY433" s="159"/>
      <c r="AZ433" s="159"/>
      <c r="BA433" s="159"/>
    </row>
    <row r="434" spans="2:53" ht="17.399999999999999" customHeight="1">
      <c r="B434" s="159"/>
      <c r="C434" s="159"/>
      <c r="D434" s="159"/>
      <c r="E434" s="159"/>
      <c r="F434" s="159"/>
      <c r="G434" s="159"/>
      <c r="H434" s="159"/>
      <c r="I434" s="159"/>
      <c r="J434" s="224"/>
      <c r="K434" s="159"/>
      <c r="L434" s="159"/>
      <c r="M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c r="AT434" s="159"/>
      <c r="AU434" s="159"/>
      <c r="AV434" s="159"/>
      <c r="AW434" s="159"/>
      <c r="AX434" s="159"/>
      <c r="AY434" s="159"/>
      <c r="AZ434" s="159"/>
      <c r="BA434" s="159"/>
    </row>
    <row r="435" spans="2:53" ht="17.399999999999999" customHeight="1">
      <c r="B435" s="159"/>
      <c r="C435" s="159"/>
      <c r="D435" s="159"/>
      <c r="E435" s="159"/>
      <c r="F435" s="159"/>
      <c r="G435" s="159"/>
      <c r="H435" s="159"/>
      <c r="I435" s="159"/>
      <c r="J435" s="224"/>
      <c r="K435" s="159"/>
      <c r="L435" s="159"/>
      <c r="M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c r="AT435" s="159"/>
      <c r="AU435" s="159"/>
      <c r="AV435" s="159"/>
      <c r="AW435" s="159"/>
      <c r="AX435" s="159"/>
      <c r="AY435" s="159"/>
      <c r="AZ435" s="159"/>
      <c r="BA435" s="159"/>
    </row>
    <row r="436" spans="2:53" ht="17.399999999999999" customHeight="1">
      <c r="B436" s="159"/>
      <c r="C436" s="159"/>
      <c r="D436" s="159"/>
      <c r="E436" s="159"/>
      <c r="F436" s="159"/>
      <c r="G436" s="159"/>
      <c r="H436" s="159"/>
      <c r="I436" s="159"/>
      <c r="J436" s="224"/>
      <c r="K436" s="159"/>
      <c r="L436" s="159"/>
      <c r="M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c r="AT436" s="159"/>
      <c r="AU436" s="159"/>
      <c r="AV436" s="159"/>
      <c r="AW436" s="159"/>
      <c r="AX436" s="159"/>
      <c r="AY436" s="159"/>
      <c r="AZ436" s="159"/>
      <c r="BA436" s="159"/>
    </row>
    <row r="437" spans="2:53" ht="17.399999999999999" customHeight="1">
      <c r="B437" s="159"/>
      <c r="C437" s="159"/>
      <c r="D437" s="159"/>
      <c r="E437" s="159"/>
      <c r="F437" s="159"/>
      <c r="G437" s="159"/>
      <c r="H437" s="159"/>
      <c r="I437" s="159"/>
      <c r="J437" s="224"/>
      <c r="K437" s="159"/>
      <c r="L437" s="159"/>
      <c r="M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c r="AT437" s="159"/>
      <c r="AU437" s="159"/>
      <c r="AV437" s="159"/>
      <c r="AW437" s="159"/>
      <c r="AX437" s="159"/>
      <c r="AY437" s="159"/>
      <c r="AZ437" s="159"/>
      <c r="BA437" s="159"/>
    </row>
    <row r="438" spans="2:53" ht="17.399999999999999" customHeight="1">
      <c r="B438" s="159"/>
      <c r="C438" s="159"/>
      <c r="D438" s="159"/>
      <c r="E438" s="159"/>
      <c r="F438" s="159"/>
      <c r="G438" s="159"/>
      <c r="H438" s="159"/>
      <c r="I438" s="159"/>
      <c r="J438" s="224"/>
      <c r="K438" s="159"/>
      <c r="L438" s="159"/>
      <c r="M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c r="AT438" s="159"/>
      <c r="AU438" s="159"/>
      <c r="AV438" s="159"/>
      <c r="AW438" s="159"/>
      <c r="AX438" s="159"/>
      <c r="AY438" s="159"/>
      <c r="AZ438" s="159"/>
      <c r="BA438" s="159"/>
    </row>
    <row r="439" spans="2:53" ht="17.399999999999999" customHeight="1">
      <c r="B439" s="159"/>
      <c r="C439" s="159"/>
      <c r="D439" s="159"/>
      <c r="E439" s="159"/>
      <c r="F439" s="159"/>
      <c r="G439" s="159"/>
      <c r="H439" s="159"/>
      <c r="I439" s="159"/>
      <c r="J439" s="224"/>
      <c r="K439" s="159"/>
      <c r="L439" s="159"/>
      <c r="M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c r="AT439" s="159"/>
      <c r="AU439" s="159"/>
      <c r="AV439" s="159"/>
      <c r="AW439" s="159"/>
      <c r="AX439" s="159"/>
      <c r="AY439" s="159"/>
      <c r="AZ439" s="159"/>
      <c r="BA439" s="159"/>
    </row>
    <row r="440" spans="2:53" ht="17.399999999999999" customHeight="1">
      <c r="B440" s="159"/>
      <c r="C440" s="159"/>
      <c r="D440" s="159"/>
      <c r="E440" s="159"/>
      <c r="F440" s="159"/>
      <c r="G440" s="159"/>
      <c r="H440" s="159"/>
      <c r="I440" s="159"/>
      <c r="J440" s="224"/>
      <c r="K440" s="159"/>
      <c r="L440" s="159"/>
      <c r="M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c r="AT440" s="159"/>
      <c r="AU440" s="159"/>
      <c r="AV440" s="159"/>
      <c r="AW440" s="159"/>
      <c r="AX440" s="159"/>
      <c r="AY440" s="159"/>
      <c r="AZ440" s="159"/>
      <c r="BA440" s="159"/>
    </row>
    <row r="441" spans="2:53" ht="17.399999999999999" customHeight="1">
      <c r="B441" s="159"/>
      <c r="C441" s="159"/>
      <c r="D441" s="159"/>
      <c r="E441" s="159"/>
      <c r="F441" s="159"/>
      <c r="G441" s="159"/>
      <c r="H441" s="159"/>
      <c r="I441" s="159"/>
      <c r="J441" s="224"/>
      <c r="K441" s="159"/>
      <c r="L441" s="159"/>
      <c r="M441" s="159"/>
      <c r="O441" s="159"/>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c r="AT441" s="159"/>
      <c r="AU441" s="159"/>
      <c r="AV441" s="159"/>
      <c r="AW441" s="159"/>
      <c r="AX441" s="159"/>
      <c r="AY441" s="159"/>
      <c r="AZ441" s="159"/>
      <c r="BA441" s="159"/>
    </row>
    <row r="442" spans="2:53" ht="17.399999999999999" customHeight="1">
      <c r="B442" s="159"/>
      <c r="C442" s="159"/>
      <c r="D442" s="159"/>
      <c r="E442" s="159"/>
      <c r="F442" s="159"/>
      <c r="G442" s="159"/>
      <c r="H442" s="159"/>
      <c r="I442" s="159"/>
      <c r="J442" s="224"/>
      <c r="K442" s="159"/>
      <c r="L442" s="159"/>
      <c r="M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c r="AT442" s="159"/>
      <c r="AU442" s="159"/>
      <c r="AV442" s="159"/>
      <c r="AW442" s="159"/>
      <c r="AX442" s="159"/>
      <c r="AY442" s="159"/>
      <c r="AZ442" s="159"/>
      <c r="BA442" s="159"/>
    </row>
    <row r="443" spans="2:53" ht="17.399999999999999" customHeight="1">
      <c r="B443" s="159"/>
      <c r="C443" s="159"/>
      <c r="D443" s="159"/>
      <c r="E443" s="159"/>
      <c r="F443" s="159"/>
      <c r="G443" s="159"/>
      <c r="H443" s="159"/>
      <c r="I443" s="159"/>
      <c r="J443" s="224"/>
      <c r="K443" s="159"/>
      <c r="L443" s="159"/>
      <c r="M443" s="159"/>
      <c r="O443" s="159"/>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c r="AT443" s="159"/>
      <c r="AU443" s="159"/>
      <c r="AV443" s="159"/>
      <c r="AW443" s="159"/>
      <c r="AX443" s="159"/>
      <c r="AY443" s="159"/>
      <c r="AZ443" s="159"/>
      <c r="BA443" s="159"/>
    </row>
    <row r="444" spans="2:53" ht="17.399999999999999" customHeight="1">
      <c r="B444" s="159"/>
      <c r="C444" s="159"/>
      <c r="D444" s="159"/>
      <c r="E444" s="159"/>
      <c r="F444" s="159"/>
      <c r="G444" s="159"/>
      <c r="H444" s="159"/>
      <c r="I444" s="159"/>
      <c r="J444" s="224"/>
      <c r="K444" s="159"/>
      <c r="L444" s="159"/>
      <c r="M444" s="159"/>
      <c r="O444" s="159"/>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c r="AT444" s="159"/>
      <c r="AU444" s="159"/>
      <c r="AV444" s="159"/>
      <c r="AW444" s="159"/>
      <c r="AX444" s="159"/>
      <c r="AY444" s="159"/>
      <c r="AZ444" s="159"/>
      <c r="BA444" s="159"/>
    </row>
    <row r="445" spans="2:53" ht="17.399999999999999" customHeight="1">
      <c r="B445" s="159"/>
      <c r="C445" s="159"/>
      <c r="D445" s="159"/>
      <c r="E445" s="159"/>
      <c r="F445" s="159"/>
      <c r="G445" s="159"/>
      <c r="H445" s="159"/>
      <c r="I445" s="159"/>
      <c r="J445" s="224"/>
      <c r="K445" s="159"/>
      <c r="L445" s="159"/>
      <c r="M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c r="AT445" s="159"/>
      <c r="AU445" s="159"/>
      <c r="AV445" s="159"/>
      <c r="AW445" s="159"/>
      <c r="AX445" s="159"/>
      <c r="AY445" s="159"/>
      <c r="AZ445" s="159"/>
      <c r="BA445" s="159"/>
    </row>
    <row r="446" spans="2:53" ht="17.399999999999999" customHeight="1">
      <c r="B446" s="159"/>
      <c r="C446" s="159"/>
      <c r="D446" s="159"/>
      <c r="E446" s="159"/>
      <c r="F446" s="159"/>
      <c r="G446" s="159"/>
      <c r="H446" s="159"/>
      <c r="I446" s="159"/>
      <c r="J446" s="224"/>
      <c r="K446" s="159"/>
      <c r="L446" s="159"/>
      <c r="M446" s="159"/>
      <c r="O446" s="159"/>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c r="AT446" s="159"/>
      <c r="AU446" s="159"/>
      <c r="AV446" s="159"/>
      <c r="AW446" s="159"/>
      <c r="AX446" s="159"/>
      <c r="AY446" s="159"/>
      <c r="AZ446" s="159"/>
      <c r="BA446" s="159"/>
    </row>
    <row r="447" spans="2:53" ht="17.399999999999999" customHeight="1">
      <c r="B447" s="159"/>
      <c r="C447" s="159"/>
      <c r="D447" s="159"/>
      <c r="E447" s="159"/>
      <c r="F447" s="159"/>
      <c r="G447" s="159"/>
      <c r="H447" s="159"/>
      <c r="I447" s="159"/>
      <c r="J447" s="224"/>
      <c r="K447" s="159"/>
      <c r="L447" s="159"/>
      <c r="M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c r="AT447" s="159"/>
      <c r="AU447" s="159"/>
      <c r="AV447" s="159"/>
      <c r="AW447" s="159"/>
      <c r="AX447" s="159"/>
      <c r="AY447" s="159"/>
      <c r="AZ447" s="159"/>
      <c r="BA447" s="159"/>
    </row>
    <row r="448" spans="2:53" ht="17.399999999999999" customHeight="1">
      <c r="B448" s="159"/>
      <c r="C448" s="159"/>
      <c r="D448" s="159"/>
      <c r="E448" s="159"/>
      <c r="F448" s="159"/>
      <c r="G448" s="159"/>
      <c r="H448" s="159"/>
      <c r="I448" s="159"/>
      <c r="J448" s="224"/>
      <c r="K448" s="159"/>
      <c r="L448" s="159"/>
      <c r="M448" s="159"/>
      <c r="O448" s="159"/>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c r="AT448" s="159"/>
      <c r="AU448" s="159"/>
      <c r="AV448" s="159"/>
      <c r="AW448" s="159"/>
      <c r="AX448" s="159"/>
      <c r="AY448" s="159"/>
      <c r="AZ448" s="159"/>
      <c r="BA448" s="159"/>
    </row>
    <row r="449" spans="2:53" ht="17.399999999999999" customHeight="1">
      <c r="B449" s="159"/>
      <c r="C449" s="159"/>
      <c r="D449" s="159"/>
      <c r="E449" s="159"/>
      <c r="F449" s="159"/>
      <c r="G449" s="159"/>
      <c r="H449" s="159"/>
      <c r="I449" s="159"/>
      <c r="J449" s="224"/>
      <c r="K449" s="159"/>
      <c r="L449" s="159"/>
      <c r="M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c r="AT449" s="159"/>
      <c r="AU449" s="159"/>
      <c r="AV449" s="159"/>
      <c r="AW449" s="159"/>
      <c r="AX449" s="159"/>
      <c r="AY449" s="159"/>
      <c r="AZ449" s="159"/>
      <c r="BA449" s="159"/>
    </row>
    <row r="450" spans="2:53" ht="17.399999999999999" customHeight="1">
      <c r="B450" s="159"/>
      <c r="C450" s="159"/>
      <c r="D450" s="159"/>
      <c r="E450" s="159"/>
      <c r="F450" s="159"/>
      <c r="G450" s="159"/>
      <c r="H450" s="159"/>
      <c r="I450" s="159"/>
      <c r="J450" s="224"/>
      <c r="K450" s="159"/>
      <c r="L450" s="159"/>
      <c r="M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c r="AT450" s="159"/>
      <c r="AU450" s="159"/>
      <c r="AV450" s="159"/>
      <c r="AW450" s="159"/>
      <c r="AX450" s="159"/>
      <c r="AY450" s="159"/>
      <c r="AZ450" s="159"/>
      <c r="BA450" s="159"/>
    </row>
    <row r="451" spans="2:53" ht="17.399999999999999" customHeight="1">
      <c r="B451" s="159"/>
      <c r="C451" s="159"/>
      <c r="D451" s="159"/>
      <c r="E451" s="159"/>
      <c r="F451" s="159"/>
      <c r="G451" s="159"/>
      <c r="H451" s="159"/>
      <c r="I451" s="159"/>
      <c r="J451" s="224"/>
      <c r="K451" s="159"/>
      <c r="L451" s="159"/>
      <c r="M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c r="AT451" s="159"/>
      <c r="AU451" s="159"/>
      <c r="AV451" s="159"/>
      <c r="AW451" s="159"/>
      <c r="AX451" s="159"/>
      <c r="AY451" s="159"/>
      <c r="AZ451" s="159"/>
      <c r="BA451" s="159"/>
    </row>
    <row r="452" spans="2:53" ht="17.399999999999999" customHeight="1">
      <c r="B452" s="159"/>
      <c r="C452" s="159"/>
      <c r="D452" s="159"/>
      <c r="E452" s="159"/>
      <c r="F452" s="159"/>
      <c r="G452" s="159"/>
      <c r="H452" s="159"/>
      <c r="I452" s="159"/>
      <c r="J452" s="224"/>
      <c r="K452" s="159"/>
      <c r="L452" s="159"/>
      <c r="M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c r="AT452" s="159"/>
      <c r="AU452" s="159"/>
      <c r="AV452" s="159"/>
      <c r="AW452" s="159"/>
      <c r="AX452" s="159"/>
      <c r="AY452" s="159"/>
      <c r="AZ452" s="159"/>
      <c r="BA452" s="159"/>
    </row>
    <row r="453" spans="2:53" ht="17.399999999999999" customHeight="1">
      <c r="B453" s="159"/>
      <c r="C453" s="159"/>
      <c r="D453" s="159"/>
      <c r="E453" s="159"/>
      <c r="F453" s="159"/>
      <c r="G453" s="159"/>
      <c r="H453" s="159"/>
      <c r="I453" s="159"/>
      <c r="J453" s="224"/>
      <c r="K453" s="159"/>
      <c r="L453" s="159"/>
      <c r="M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c r="AT453" s="159"/>
      <c r="AU453" s="159"/>
      <c r="AV453" s="159"/>
      <c r="AW453" s="159"/>
      <c r="AX453" s="159"/>
      <c r="AY453" s="159"/>
      <c r="AZ453" s="159"/>
      <c r="BA453" s="159"/>
    </row>
    <row r="454" spans="2:53" ht="17.399999999999999" customHeight="1">
      <c r="B454" s="159"/>
      <c r="C454" s="159"/>
      <c r="D454" s="159"/>
      <c r="E454" s="159"/>
      <c r="F454" s="159"/>
      <c r="G454" s="159"/>
      <c r="H454" s="159"/>
      <c r="I454" s="159"/>
      <c r="J454" s="224"/>
      <c r="K454" s="159"/>
      <c r="L454" s="159"/>
      <c r="M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c r="AT454" s="159"/>
      <c r="AU454" s="159"/>
      <c r="AV454" s="159"/>
      <c r="AW454" s="159"/>
      <c r="AX454" s="159"/>
      <c r="AY454" s="159"/>
      <c r="AZ454" s="159"/>
      <c r="BA454" s="159"/>
    </row>
    <row r="455" spans="2:53" ht="17.399999999999999" customHeight="1">
      <c r="B455" s="159"/>
      <c r="C455" s="159"/>
      <c r="D455" s="159"/>
      <c r="E455" s="159"/>
      <c r="F455" s="159"/>
      <c r="G455" s="159"/>
      <c r="H455" s="159"/>
      <c r="I455" s="159"/>
      <c r="J455" s="224"/>
      <c r="K455" s="159"/>
      <c r="L455" s="159"/>
      <c r="M455" s="159"/>
      <c r="O455" s="159"/>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c r="AR455" s="159"/>
      <c r="AS455" s="159"/>
      <c r="AT455" s="159"/>
      <c r="AU455" s="159"/>
      <c r="AV455" s="159"/>
      <c r="AW455" s="159"/>
      <c r="AX455" s="159"/>
      <c r="AY455" s="159"/>
      <c r="AZ455" s="159"/>
      <c r="BA455" s="159"/>
    </row>
    <row r="456" spans="2:53" ht="17.399999999999999" customHeight="1">
      <c r="B456" s="159"/>
      <c r="C456" s="159"/>
      <c r="D456" s="159"/>
      <c r="E456" s="159"/>
      <c r="F456" s="159"/>
      <c r="G456" s="159"/>
      <c r="H456" s="159"/>
      <c r="I456" s="159"/>
      <c r="J456" s="224"/>
      <c r="K456" s="159"/>
      <c r="L456" s="159"/>
      <c r="M456" s="159"/>
      <c r="O456" s="159"/>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c r="AT456" s="159"/>
      <c r="AU456" s="159"/>
      <c r="AV456" s="159"/>
      <c r="AW456" s="159"/>
      <c r="AX456" s="159"/>
      <c r="AY456" s="159"/>
      <c r="AZ456" s="159"/>
      <c r="BA456" s="159"/>
    </row>
    <row r="457" spans="2:53" ht="17.399999999999999" customHeight="1">
      <c r="B457" s="159"/>
      <c r="C457" s="159"/>
      <c r="D457" s="159"/>
      <c r="E457" s="159"/>
      <c r="F457" s="159"/>
      <c r="G457" s="159"/>
      <c r="H457" s="159"/>
      <c r="I457" s="159"/>
      <c r="J457" s="224"/>
      <c r="K457" s="159"/>
      <c r="L457" s="159"/>
      <c r="M457" s="159"/>
      <c r="O457" s="159"/>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c r="AT457" s="159"/>
      <c r="AU457" s="159"/>
      <c r="AV457" s="159"/>
      <c r="AW457" s="159"/>
      <c r="AX457" s="159"/>
      <c r="AY457" s="159"/>
      <c r="AZ457" s="159"/>
      <c r="BA457" s="159"/>
    </row>
    <row r="458" spans="2:53" ht="17.399999999999999" customHeight="1">
      <c r="B458" s="159"/>
      <c r="C458" s="159"/>
      <c r="D458" s="159"/>
      <c r="E458" s="159"/>
      <c r="F458" s="159"/>
      <c r="G458" s="159"/>
      <c r="H458" s="159"/>
      <c r="I458" s="159"/>
      <c r="J458" s="224"/>
      <c r="K458" s="159"/>
      <c r="L458" s="159"/>
      <c r="M458" s="159"/>
      <c r="O458" s="159"/>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c r="AT458" s="159"/>
      <c r="AU458" s="159"/>
      <c r="AV458" s="159"/>
      <c r="AW458" s="159"/>
      <c r="AX458" s="159"/>
      <c r="AY458" s="159"/>
      <c r="AZ458" s="159"/>
      <c r="BA458" s="159"/>
    </row>
    <row r="459" spans="2:53" ht="17.399999999999999" customHeight="1">
      <c r="B459" s="159"/>
      <c r="C459" s="159"/>
      <c r="D459" s="159"/>
      <c r="E459" s="159"/>
      <c r="F459" s="159"/>
      <c r="G459" s="159"/>
      <c r="H459" s="159"/>
      <c r="I459" s="159"/>
      <c r="J459" s="224"/>
      <c r="K459" s="159"/>
      <c r="L459" s="159"/>
      <c r="M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c r="AT459" s="159"/>
      <c r="AU459" s="159"/>
      <c r="AV459" s="159"/>
      <c r="AW459" s="159"/>
      <c r="AX459" s="159"/>
      <c r="AY459" s="159"/>
      <c r="AZ459" s="159"/>
      <c r="BA459" s="159"/>
    </row>
    <row r="460" spans="2:53" ht="17.399999999999999" customHeight="1">
      <c r="B460" s="159"/>
      <c r="C460" s="159"/>
      <c r="D460" s="159"/>
      <c r="E460" s="159"/>
      <c r="F460" s="159"/>
      <c r="G460" s="159"/>
      <c r="H460" s="159"/>
      <c r="I460" s="159"/>
      <c r="J460" s="224"/>
      <c r="K460" s="159"/>
      <c r="L460" s="159"/>
      <c r="M460" s="159"/>
      <c r="O460" s="159"/>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c r="AT460" s="159"/>
      <c r="AU460" s="159"/>
      <c r="AV460" s="159"/>
      <c r="AW460" s="159"/>
      <c r="AX460" s="159"/>
      <c r="AY460" s="159"/>
      <c r="AZ460" s="159"/>
      <c r="BA460" s="159"/>
    </row>
    <row r="461" spans="2:53" ht="17.399999999999999" customHeight="1">
      <c r="B461" s="159"/>
      <c r="C461" s="159"/>
      <c r="D461" s="159"/>
      <c r="E461" s="159"/>
      <c r="F461" s="159"/>
      <c r="G461" s="159"/>
      <c r="H461" s="159"/>
      <c r="I461" s="159"/>
      <c r="J461" s="224"/>
      <c r="K461" s="159"/>
      <c r="L461" s="159"/>
      <c r="M461" s="159"/>
      <c r="O461" s="159"/>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c r="AT461" s="159"/>
      <c r="AU461" s="159"/>
      <c r="AV461" s="159"/>
      <c r="AW461" s="159"/>
      <c r="AX461" s="159"/>
      <c r="AY461" s="159"/>
      <c r="AZ461" s="159"/>
      <c r="BA461" s="159"/>
    </row>
    <row r="462" spans="2:53" ht="17.399999999999999" customHeight="1">
      <c r="B462" s="159"/>
      <c r="C462" s="159"/>
      <c r="D462" s="159"/>
      <c r="E462" s="159"/>
      <c r="F462" s="159"/>
      <c r="G462" s="159"/>
      <c r="H462" s="159"/>
      <c r="I462" s="159"/>
      <c r="J462" s="224"/>
      <c r="K462" s="159"/>
      <c r="L462" s="159"/>
      <c r="M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c r="AT462" s="159"/>
      <c r="AU462" s="159"/>
      <c r="AV462" s="159"/>
      <c r="AW462" s="159"/>
      <c r="AX462" s="159"/>
      <c r="AY462" s="159"/>
      <c r="AZ462" s="159"/>
      <c r="BA462" s="159"/>
    </row>
    <row r="463" spans="2:53" ht="17.399999999999999" customHeight="1">
      <c r="B463" s="159"/>
      <c r="C463" s="159"/>
      <c r="D463" s="159"/>
      <c r="E463" s="159"/>
      <c r="F463" s="159"/>
      <c r="G463" s="159"/>
      <c r="H463" s="159"/>
      <c r="I463" s="159"/>
      <c r="J463" s="224"/>
      <c r="K463" s="159"/>
      <c r="L463" s="159"/>
      <c r="M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c r="AT463" s="159"/>
      <c r="AU463" s="159"/>
      <c r="AV463" s="159"/>
      <c r="AW463" s="159"/>
      <c r="AX463" s="159"/>
      <c r="AY463" s="159"/>
      <c r="AZ463" s="159"/>
      <c r="BA463" s="159"/>
    </row>
    <row r="464" spans="2:53" ht="17.399999999999999" customHeight="1">
      <c r="B464" s="159"/>
      <c r="C464" s="159"/>
      <c r="D464" s="159"/>
      <c r="E464" s="159"/>
      <c r="F464" s="159"/>
      <c r="G464" s="159"/>
      <c r="H464" s="159"/>
      <c r="I464" s="159"/>
      <c r="J464" s="224"/>
      <c r="K464" s="159"/>
      <c r="L464" s="159"/>
      <c r="M464" s="159"/>
      <c r="O464" s="159"/>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c r="AT464" s="159"/>
      <c r="AU464" s="159"/>
      <c r="AV464" s="159"/>
      <c r="AW464" s="159"/>
      <c r="AX464" s="159"/>
      <c r="AY464" s="159"/>
      <c r="AZ464" s="159"/>
      <c r="BA464" s="159"/>
    </row>
    <row r="465" spans="2:53" ht="17.399999999999999" customHeight="1">
      <c r="B465" s="159"/>
      <c r="C465" s="159"/>
      <c r="D465" s="159"/>
      <c r="E465" s="159"/>
      <c r="F465" s="159"/>
      <c r="G465" s="159"/>
      <c r="H465" s="159"/>
      <c r="I465" s="159"/>
      <c r="J465" s="224"/>
      <c r="K465" s="159"/>
      <c r="L465" s="159"/>
      <c r="M465" s="159"/>
      <c r="O465" s="159"/>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c r="AT465" s="159"/>
      <c r="AU465" s="159"/>
      <c r="AV465" s="159"/>
      <c r="AW465" s="159"/>
      <c r="AX465" s="159"/>
      <c r="AY465" s="159"/>
      <c r="AZ465" s="159"/>
      <c r="BA465" s="159"/>
    </row>
    <row r="466" spans="2:53" ht="17.399999999999999" customHeight="1">
      <c r="B466" s="159"/>
      <c r="C466" s="159"/>
      <c r="D466" s="159"/>
      <c r="E466" s="159"/>
      <c r="F466" s="159"/>
      <c r="G466" s="159"/>
      <c r="H466" s="159"/>
      <c r="I466" s="159"/>
      <c r="J466" s="224"/>
      <c r="K466" s="159"/>
      <c r="L466" s="159"/>
      <c r="M466" s="159"/>
      <c r="O466" s="159"/>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c r="AT466" s="159"/>
      <c r="AU466" s="159"/>
      <c r="AV466" s="159"/>
      <c r="AW466" s="159"/>
      <c r="AX466" s="159"/>
      <c r="AY466" s="159"/>
      <c r="AZ466" s="159"/>
      <c r="BA466" s="159"/>
    </row>
    <row r="467" spans="2:53" ht="17.399999999999999" customHeight="1">
      <c r="B467" s="159"/>
      <c r="C467" s="159"/>
      <c r="D467" s="159"/>
      <c r="E467" s="159"/>
      <c r="F467" s="159"/>
      <c r="G467" s="159"/>
      <c r="H467" s="159"/>
      <c r="I467" s="159"/>
      <c r="J467" s="224"/>
      <c r="K467" s="159"/>
      <c r="L467" s="159"/>
      <c r="M467" s="159"/>
      <c r="O467" s="159"/>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c r="AT467" s="159"/>
      <c r="AU467" s="159"/>
      <c r="AV467" s="159"/>
      <c r="AW467" s="159"/>
      <c r="AX467" s="159"/>
      <c r="AY467" s="159"/>
      <c r="AZ467" s="159"/>
      <c r="BA467" s="159"/>
    </row>
    <row r="468" spans="2:53" ht="17.399999999999999" customHeight="1">
      <c r="B468" s="159"/>
      <c r="C468" s="159"/>
      <c r="D468" s="159"/>
      <c r="E468" s="159"/>
      <c r="F468" s="159"/>
      <c r="G468" s="159"/>
      <c r="H468" s="159"/>
      <c r="I468" s="159"/>
      <c r="J468" s="224"/>
      <c r="K468" s="159"/>
      <c r="L468" s="159"/>
      <c r="M468" s="159"/>
      <c r="O468" s="159"/>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c r="AT468" s="159"/>
      <c r="AU468" s="159"/>
      <c r="AV468" s="159"/>
      <c r="AW468" s="159"/>
      <c r="AX468" s="159"/>
      <c r="AY468" s="159"/>
      <c r="AZ468" s="159"/>
      <c r="BA468" s="159"/>
    </row>
    <row r="469" spans="2:53" ht="17.399999999999999" customHeight="1">
      <c r="B469" s="159"/>
      <c r="C469" s="159"/>
      <c r="D469" s="159"/>
      <c r="E469" s="159"/>
      <c r="F469" s="159"/>
      <c r="G469" s="159"/>
      <c r="H469" s="159"/>
      <c r="I469" s="159"/>
      <c r="J469" s="224"/>
      <c r="K469" s="159"/>
      <c r="L469" s="159"/>
      <c r="M469" s="159"/>
      <c r="O469" s="159"/>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c r="AT469" s="159"/>
      <c r="AU469" s="159"/>
      <c r="AV469" s="159"/>
      <c r="AW469" s="159"/>
      <c r="AX469" s="159"/>
      <c r="AY469" s="159"/>
      <c r="AZ469" s="159"/>
      <c r="BA469" s="159"/>
    </row>
    <row r="470" spans="2:53" ht="17.399999999999999" customHeight="1">
      <c r="B470" s="159"/>
      <c r="C470" s="159"/>
      <c r="D470" s="159"/>
      <c r="E470" s="159"/>
      <c r="F470" s="159"/>
      <c r="G470" s="159"/>
      <c r="H470" s="159"/>
      <c r="I470" s="159"/>
      <c r="J470" s="224"/>
      <c r="K470" s="159"/>
      <c r="L470" s="159"/>
      <c r="M470" s="159"/>
      <c r="O470" s="159"/>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c r="AT470" s="159"/>
      <c r="AU470" s="159"/>
      <c r="AV470" s="159"/>
      <c r="AW470" s="159"/>
      <c r="AX470" s="159"/>
      <c r="AY470" s="159"/>
      <c r="AZ470" s="159"/>
      <c r="BA470" s="159"/>
    </row>
    <row r="471" spans="2:53" ht="17.399999999999999" customHeight="1">
      <c r="B471" s="159"/>
      <c r="C471" s="159"/>
      <c r="D471" s="159"/>
      <c r="E471" s="159"/>
      <c r="F471" s="159"/>
      <c r="G471" s="159"/>
      <c r="H471" s="159"/>
      <c r="I471" s="159"/>
      <c r="J471" s="224"/>
      <c r="K471" s="159"/>
      <c r="L471" s="159"/>
      <c r="M471" s="159"/>
      <c r="O471" s="159"/>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c r="AT471" s="159"/>
      <c r="AU471" s="159"/>
      <c r="AV471" s="159"/>
      <c r="AW471" s="159"/>
      <c r="AX471" s="159"/>
      <c r="AY471" s="159"/>
      <c r="AZ471" s="159"/>
      <c r="BA471" s="159"/>
    </row>
    <row r="472" spans="2:53" ht="17.399999999999999" customHeight="1">
      <c r="B472" s="159"/>
      <c r="C472" s="159"/>
      <c r="D472" s="159"/>
      <c r="E472" s="159"/>
      <c r="F472" s="159"/>
      <c r="G472" s="159"/>
      <c r="H472" s="159"/>
      <c r="I472" s="159"/>
      <c r="J472" s="224"/>
      <c r="K472" s="159"/>
      <c r="L472" s="159"/>
      <c r="M472" s="159"/>
      <c r="O472" s="159"/>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c r="AT472" s="159"/>
      <c r="AU472" s="159"/>
      <c r="AV472" s="159"/>
      <c r="AW472" s="159"/>
      <c r="AX472" s="159"/>
      <c r="AY472" s="159"/>
      <c r="AZ472" s="159"/>
      <c r="BA472" s="159"/>
    </row>
    <row r="473" spans="2:53" ht="17.399999999999999" customHeight="1">
      <c r="B473" s="159"/>
      <c r="C473" s="159"/>
      <c r="D473" s="159"/>
      <c r="E473" s="159"/>
      <c r="F473" s="159"/>
      <c r="G473" s="159"/>
      <c r="H473" s="159"/>
      <c r="I473" s="159"/>
      <c r="J473" s="224"/>
      <c r="K473" s="159"/>
      <c r="L473" s="159"/>
      <c r="M473" s="159"/>
      <c r="O473" s="159"/>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c r="AT473" s="159"/>
      <c r="AU473" s="159"/>
      <c r="AV473" s="159"/>
      <c r="AW473" s="159"/>
      <c r="AX473" s="159"/>
      <c r="AY473" s="159"/>
      <c r="AZ473" s="159"/>
      <c r="BA473" s="159"/>
    </row>
    <row r="474" spans="2:53" ht="17.399999999999999" customHeight="1">
      <c r="B474" s="159"/>
      <c r="C474" s="159"/>
      <c r="D474" s="159"/>
      <c r="E474" s="159"/>
      <c r="F474" s="159"/>
      <c r="G474" s="159"/>
      <c r="H474" s="159"/>
      <c r="I474" s="159"/>
      <c r="J474" s="224"/>
      <c r="K474" s="159"/>
      <c r="L474" s="159"/>
      <c r="M474" s="159"/>
      <c r="O474" s="159"/>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c r="AT474" s="159"/>
      <c r="AU474" s="159"/>
      <c r="AV474" s="159"/>
      <c r="AW474" s="159"/>
      <c r="AX474" s="159"/>
      <c r="AY474" s="159"/>
      <c r="AZ474" s="159"/>
      <c r="BA474" s="159"/>
    </row>
    <row r="475" spans="2:53" ht="17.399999999999999" customHeight="1">
      <c r="B475" s="159"/>
      <c r="C475" s="159"/>
      <c r="D475" s="159"/>
      <c r="E475" s="159"/>
      <c r="F475" s="159"/>
      <c r="G475" s="159"/>
      <c r="H475" s="159"/>
      <c r="I475" s="159"/>
      <c r="J475" s="224"/>
      <c r="K475" s="159"/>
      <c r="L475" s="159"/>
      <c r="M475" s="159"/>
      <c r="O475" s="159"/>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c r="AT475" s="159"/>
      <c r="AU475" s="159"/>
      <c r="AV475" s="159"/>
      <c r="AW475" s="159"/>
      <c r="AX475" s="159"/>
      <c r="AY475" s="159"/>
      <c r="AZ475" s="159"/>
      <c r="BA475" s="159"/>
    </row>
    <row r="476" spans="2:53" ht="17.399999999999999" customHeight="1">
      <c r="B476" s="159"/>
      <c r="C476" s="159"/>
      <c r="D476" s="159"/>
      <c r="E476" s="159"/>
      <c r="F476" s="159"/>
      <c r="G476" s="159"/>
      <c r="H476" s="159"/>
      <c r="I476" s="159"/>
      <c r="J476" s="224"/>
      <c r="K476" s="159"/>
      <c r="L476" s="159"/>
      <c r="M476" s="159"/>
      <c r="O476" s="159"/>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c r="AT476" s="159"/>
      <c r="AU476" s="159"/>
      <c r="AV476" s="159"/>
      <c r="AW476" s="159"/>
      <c r="AX476" s="159"/>
      <c r="AY476" s="159"/>
      <c r="AZ476" s="159"/>
      <c r="BA476" s="159"/>
    </row>
    <row r="477" spans="2:53" ht="17.399999999999999" customHeight="1">
      <c r="B477" s="159"/>
      <c r="C477" s="159"/>
      <c r="D477" s="159"/>
      <c r="E477" s="159"/>
      <c r="F477" s="159"/>
      <c r="G477" s="159"/>
      <c r="H477" s="159"/>
      <c r="I477" s="159"/>
      <c r="J477" s="224"/>
      <c r="K477" s="159"/>
      <c r="L477" s="159"/>
      <c r="M477" s="159"/>
      <c r="O477" s="159"/>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c r="AT477" s="159"/>
      <c r="AU477" s="159"/>
      <c r="AV477" s="159"/>
      <c r="AW477" s="159"/>
      <c r="AX477" s="159"/>
      <c r="AY477" s="159"/>
      <c r="AZ477" s="159"/>
      <c r="BA477" s="159"/>
    </row>
    <row r="478" spans="2:53" ht="17.399999999999999" customHeight="1">
      <c r="B478" s="159"/>
      <c r="C478" s="159"/>
      <c r="D478" s="159"/>
      <c r="E478" s="159"/>
      <c r="F478" s="159"/>
      <c r="G478" s="159"/>
      <c r="H478" s="159"/>
      <c r="I478" s="159"/>
      <c r="J478" s="224"/>
      <c r="K478" s="159"/>
      <c r="L478" s="159"/>
      <c r="M478" s="159"/>
      <c r="O478" s="159"/>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c r="AT478" s="159"/>
      <c r="AU478" s="159"/>
      <c r="AV478" s="159"/>
      <c r="AW478" s="159"/>
      <c r="AX478" s="159"/>
      <c r="AY478" s="159"/>
      <c r="AZ478" s="159"/>
      <c r="BA478" s="159"/>
    </row>
    <row r="479" spans="2:53" ht="17.399999999999999" customHeight="1">
      <c r="B479" s="159"/>
      <c r="C479" s="159"/>
      <c r="D479" s="159"/>
      <c r="E479" s="159"/>
      <c r="F479" s="159"/>
      <c r="G479" s="159"/>
      <c r="H479" s="159"/>
      <c r="I479" s="159"/>
      <c r="J479" s="224"/>
      <c r="K479" s="159"/>
      <c r="L479" s="159"/>
      <c r="M479" s="159"/>
      <c r="O479" s="159"/>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c r="AT479" s="159"/>
      <c r="AU479" s="159"/>
      <c r="AV479" s="159"/>
      <c r="AW479" s="159"/>
      <c r="AX479" s="159"/>
      <c r="AY479" s="159"/>
      <c r="AZ479" s="159"/>
      <c r="BA479" s="159"/>
    </row>
    <row r="480" spans="2:53" ht="17.399999999999999" customHeight="1">
      <c r="B480" s="159"/>
      <c r="C480" s="159"/>
      <c r="D480" s="159"/>
      <c r="E480" s="159"/>
      <c r="F480" s="159"/>
      <c r="G480" s="159"/>
      <c r="H480" s="159"/>
      <c r="I480" s="159"/>
      <c r="J480" s="224"/>
      <c r="K480" s="159"/>
      <c r="L480" s="159"/>
      <c r="M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c r="AT480" s="159"/>
      <c r="AU480" s="159"/>
      <c r="AV480" s="159"/>
      <c r="AW480" s="159"/>
      <c r="AX480" s="159"/>
      <c r="AY480" s="159"/>
      <c r="AZ480" s="159"/>
      <c r="BA480" s="159"/>
    </row>
    <row r="481" spans="2:53" ht="17.399999999999999" customHeight="1">
      <c r="B481" s="159"/>
      <c r="C481" s="159"/>
      <c r="D481" s="159"/>
      <c r="E481" s="159"/>
      <c r="F481" s="159"/>
      <c r="G481" s="159"/>
      <c r="H481" s="159"/>
      <c r="I481" s="159"/>
      <c r="J481" s="224"/>
      <c r="K481" s="159"/>
      <c r="L481" s="159"/>
      <c r="M481" s="159"/>
      <c r="O481" s="159"/>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c r="AR481" s="159"/>
      <c r="AS481" s="159"/>
      <c r="AT481" s="159"/>
      <c r="AU481" s="159"/>
      <c r="AV481" s="159"/>
      <c r="AW481" s="159"/>
      <c r="AX481" s="159"/>
      <c r="AY481" s="159"/>
      <c r="AZ481" s="159"/>
      <c r="BA481" s="159"/>
    </row>
    <row r="482" spans="2:53" ht="17.399999999999999" customHeight="1">
      <c r="B482" s="159"/>
      <c r="C482" s="159"/>
      <c r="D482" s="159"/>
      <c r="E482" s="159"/>
      <c r="F482" s="159"/>
      <c r="G482" s="159"/>
      <c r="H482" s="159"/>
      <c r="I482" s="159"/>
      <c r="J482" s="224"/>
      <c r="K482" s="159"/>
      <c r="L482" s="159"/>
      <c r="M482" s="159"/>
      <c r="O482" s="159"/>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c r="AT482" s="159"/>
      <c r="AU482" s="159"/>
      <c r="AV482" s="159"/>
      <c r="AW482" s="159"/>
      <c r="AX482" s="159"/>
      <c r="AY482" s="159"/>
      <c r="AZ482" s="159"/>
      <c r="BA482" s="159"/>
    </row>
    <row r="483" spans="2:53" ht="17.399999999999999" customHeight="1">
      <c r="B483" s="159"/>
      <c r="C483" s="159"/>
      <c r="D483" s="159"/>
      <c r="E483" s="159"/>
      <c r="F483" s="159"/>
      <c r="G483" s="159"/>
      <c r="H483" s="159"/>
      <c r="I483" s="159"/>
      <c r="J483" s="224"/>
      <c r="K483" s="159"/>
      <c r="L483" s="159"/>
      <c r="M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c r="AT483" s="159"/>
      <c r="AU483" s="159"/>
      <c r="AV483" s="159"/>
      <c r="AW483" s="159"/>
      <c r="AX483" s="159"/>
      <c r="AY483" s="159"/>
      <c r="AZ483" s="159"/>
      <c r="BA483" s="159"/>
    </row>
    <row r="484" spans="2:53" ht="17.399999999999999" customHeight="1">
      <c r="B484" s="159"/>
      <c r="C484" s="159"/>
      <c r="D484" s="159"/>
      <c r="E484" s="159"/>
      <c r="F484" s="159"/>
      <c r="G484" s="159"/>
      <c r="H484" s="159"/>
      <c r="I484" s="159"/>
      <c r="J484" s="224"/>
      <c r="K484" s="159"/>
      <c r="L484" s="159"/>
      <c r="M484" s="159"/>
      <c r="O484" s="159"/>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c r="AT484" s="159"/>
      <c r="AU484" s="159"/>
      <c r="AV484" s="159"/>
      <c r="AW484" s="159"/>
      <c r="AX484" s="159"/>
      <c r="AY484" s="159"/>
      <c r="AZ484" s="159"/>
      <c r="BA484" s="159"/>
    </row>
    <row r="485" spans="2:53" ht="17.399999999999999" customHeight="1">
      <c r="B485" s="159"/>
      <c r="C485" s="159"/>
      <c r="D485" s="159"/>
      <c r="E485" s="159"/>
      <c r="F485" s="159"/>
      <c r="G485" s="159"/>
      <c r="H485" s="159"/>
      <c r="I485" s="159"/>
      <c r="J485" s="224"/>
      <c r="K485" s="159"/>
      <c r="L485" s="159"/>
      <c r="M485" s="159"/>
      <c r="O485" s="159"/>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c r="AT485" s="159"/>
      <c r="AU485" s="159"/>
      <c r="AV485" s="159"/>
      <c r="AW485" s="159"/>
      <c r="AX485" s="159"/>
      <c r="AY485" s="159"/>
      <c r="AZ485" s="159"/>
      <c r="BA485" s="159"/>
    </row>
    <row r="486" spans="2:53" ht="17.399999999999999" customHeight="1">
      <c r="B486" s="159"/>
      <c r="C486" s="159"/>
      <c r="D486" s="159"/>
      <c r="E486" s="159"/>
      <c r="F486" s="159"/>
      <c r="G486" s="159"/>
      <c r="H486" s="159"/>
      <c r="I486" s="159"/>
      <c r="J486" s="224"/>
      <c r="K486" s="159"/>
      <c r="L486" s="159"/>
      <c r="M486" s="159"/>
      <c r="O486" s="159"/>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c r="AT486" s="159"/>
      <c r="AU486" s="159"/>
      <c r="AV486" s="159"/>
      <c r="AW486" s="159"/>
      <c r="AX486" s="159"/>
      <c r="AY486" s="159"/>
      <c r="AZ486" s="159"/>
      <c r="BA486" s="159"/>
    </row>
    <row r="487" spans="2:53" ht="17.399999999999999" customHeight="1">
      <c r="B487" s="159"/>
      <c r="C487" s="159"/>
      <c r="D487" s="159"/>
      <c r="E487" s="159"/>
      <c r="F487" s="159"/>
      <c r="G487" s="159"/>
      <c r="H487" s="159"/>
      <c r="I487" s="159"/>
      <c r="J487" s="224"/>
      <c r="K487" s="159"/>
      <c r="L487" s="159"/>
      <c r="M487" s="159"/>
      <c r="O487" s="159"/>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c r="AT487" s="159"/>
      <c r="AU487" s="159"/>
      <c r="AV487" s="159"/>
      <c r="AW487" s="159"/>
      <c r="AX487" s="159"/>
      <c r="AY487" s="159"/>
      <c r="AZ487" s="159"/>
      <c r="BA487" s="159"/>
    </row>
    <row r="488" spans="2:53" ht="17.399999999999999" customHeight="1">
      <c r="B488" s="159"/>
      <c r="C488" s="159"/>
      <c r="D488" s="159"/>
      <c r="E488" s="159"/>
      <c r="F488" s="159"/>
      <c r="G488" s="159"/>
      <c r="H488" s="159"/>
      <c r="I488" s="159"/>
      <c r="J488" s="224"/>
      <c r="K488" s="159"/>
      <c r="L488" s="159"/>
      <c r="M488" s="159"/>
      <c r="O488" s="159"/>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c r="AT488" s="159"/>
      <c r="AU488" s="159"/>
      <c r="AV488" s="159"/>
      <c r="AW488" s="159"/>
      <c r="AX488" s="159"/>
      <c r="AY488" s="159"/>
      <c r="AZ488" s="159"/>
      <c r="BA488" s="159"/>
    </row>
    <row r="489" spans="2:53" ht="17.399999999999999" customHeight="1">
      <c r="B489" s="159"/>
      <c r="C489" s="159"/>
      <c r="D489" s="159"/>
      <c r="E489" s="159"/>
      <c r="F489" s="159"/>
      <c r="G489" s="159"/>
      <c r="H489" s="159"/>
      <c r="I489" s="159"/>
      <c r="J489" s="224"/>
      <c r="K489" s="159"/>
      <c r="L489" s="159"/>
      <c r="M489" s="159"/>
      <c r="O489" s="159"/>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c r="AT489" s="159"/>
      <c r="AU489" s="159"/>
      <c r="AV489" s="159"/>
      <c r="AW489" s="159"/>
      <c r="AX489" s="159"/>
      <c r="AY489" s="159"/>
      <c r="AZ489" s="159"/>
      <c r="BA489" s="159"/>
    </row>
    <row r="490" spans="2:53" ht="17.399999999999999" customHeight="1">
      <c r="B490" s="159"/>
      <c r="C490" s="159"/>
      <c r="D490" s="159"/>
      <c r="E490" s="159"/>
      <c r="F490" s="159"/>
      <c r="G490" s="159"/>
      <c r="H490" s="159"/>
      <c r="I490" s="159"/>
      <c r="J490" s="224"/>
      <c r="K490" s="159"/>
      <c r="L490" s="159"/>
      <c r="M490" s="159"/>
      <c r="O490" s="159"/>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c r="AT490" s="159"/>
      <c r="AU490" s="159"/>
      <c r="AV490" s="159"/>
      <c r="AW490" s="159"/>
      <c r="AX490" s="159"/>
      <c r="AY490" s="159"/>
      <c r="AZ490" s="159"/>
      <c r="BA490" s="159"/>
    </row>
    <row r="491" spans="2:53" ht="17.399999999999999" customHeight="1">
      <c r="B491" s="159"/>
      <c r="C491" s="159"/>
      <c r="D491" s="159"/>
      <c r="E491" s="159"/>
      <c r="F491" s="159"/>
      <c r="G491" s="159"/>
      <c r="H491" s="159"/>
      <c r="I491" s="159"/>
      <c r="J491" s="224"/>
      <c r="K491" s="159"/>
      <c r="L491" s="159"/>
      <c r="M491" s="159"/>
      <c r="O491" s="159"/>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c r="AT491" s="159"/>
      <c r="AU491" s="159"/>
      <c r="AV491" s="159"/>
      <c r="AW491" s="159"/>
      <c r="AX491" s="159"/>
      <c r="AY491" s="159"/>
      <c r="AZ491" s="159"/>
      <c r="BA491" s="159"/>
    </row>
    <row r="492" spans="2:53" ht="17.399999999999999" customHeight="1">
      <c r="B492" s="159"/>
      <c r="C492" s="159"/>
      <c r="D492" s="159"/>
      <c r="E492" s="159"/>
      <c r="F492" s="159"/>
      <c r="G492" s="159"/>
      <c r="H492" s="159"/>
      <c r="I492" s="159"/>
      <c r="J492" s="224"/>
      <c r="K492" s="159"/>
      <c r="L492" s="159"/>
      <c r="M492" s="159"/>
      <c r="O492" s="159"/>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c r="AT492" s="159"/>
      <c r="AU492" s="159"/>
      <c r="AV492" s="159"/>
      <c r="AW492" s="159"/>
      <c r="AX492" s="159"/>
      <c r="AY492" s="159"/>
      <c r="AZ492" s="159"/>
      <c r="BA492" s="159"/>
    </row>
    <row r="493" spans="2:53" ht="17.399999999999999" customHeight="1">
      <c r="B493" s="159"/>
      <c r="C493" s="159"/>
      <c r="D493" s="159"/>
      <c r="E493" s="159"/>
      <c r="F493" s="159"/>
      <c r="G493" s="159"/>
      <c r="H493" s="159"/>
      <c r="I493" s="159"/>
      <c r="J493" s="224"/>
      <c r="K493" s="159"/>
      <c r="L493" s="159"/>
      <c r="M493" s="159"/>
      <c r="O493" s="159"/>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c r="AT493" s="159"/>
      <c r="AU493" s="159"/>
      <c r="AV493" s="159"/>
      <c r="AW493" s="159"/>
      <c r="AX493" s="159"/>
      <c r="AY493" s="159"/>
      <c r="AZ493" s="159"/>
      <c r="BA493" s="159"/>
    </row>
    <row r="494" spans="2:53" ht="17.399999999999999" customHeight="1">
      <c r="B494" s="159"/>
      <c r="C494" s="159"/>
      <c r="D494" s="159"/>
      <c r="E494" s="159"/>
      <c r="F494" s="159"/>
      <c r="G494" s="159"/>
      <c r="H494" s="159"/>
      <c r="I494" s="159"/>
      <c r="J494" s="224"/>
      <c r="K494" s="159"/>
      <c r="L494" s="159"/>
      <c r="M494" s="159"/>
      <c r="O494" s="159"/>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c r="AR494" s="159"/>
      <c r="AS494" s="159"/>
      <c r="AT494" s="159"/>
      <c r="AU494" s="159"/>
      <c r="AV494" s="159"/>
      <c r="AW494" s="159"/>
      <c r="AX494" s="159"/>
      <c r="AY494" s="159"/>
      <c r="AZ494" s="159"/>
      <c r="BA494" s="159"/>
    </row>
    <row r="495" spans="2:53" ht="17.399999999999999" customHeight="1">
      <c r="B495" s="159"/>
      <c r="C495" s="159"/>
      <c r="D495" s="159"/>
      <c r="E495" s="159"/>
      <c r="F495" s="159"/>
      <c r="G495" s="159"/>
      <c r="H495" s="159"/>
      <c r="I495" s="159"/>
      <c r="J495" s="224"/>
      <c r="K495" s="159"/>
      <c r="L495" s="159"/>
      <c r="M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c r="AT495" s="159"/>
      <c r="AU495" s="159"/>
      <c r="AV495" s="159"/>
      <c r="AW495" s="159"/>
      <c r="AX495" s="159"/>
      <c r="AY495" s="159"/>
      <c r="AZ495" s="159"/>
      <c r="BA495" s="159"/>
    </row>
    <row r="496" spans="2:53" ht="17.399999999999999" customHeight="1">
      <c r="B496" s="159"/>
      <c r="C496" s="159"/>
      <c r="D496" s="159"/>
      <c r="E496" s="159"/>
      <c r="F496" s="159"/>
      <c r="G496" s="159"/>
      <c r="H496" s="159"/>
      <c r="I496" s="159"/>
      <c r="J496" s="224"/>
      <c r="K496" s="159"/>
      <c r="L496" s="159"/>
      <c r="M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c r="AT496" s="159"/>
      <c r="AU496" s="159"/>
      <c r="AV496" s="159"/>
      <c r="AW496" s="159"/>
      <c r="AX496" s="159"/>
      <c r="AY496" s="159"/>
      <c r="AZ496" s="159"/>
      <c r="BA496" s="159"/>
    </row>
    <row r="497" spans="2:53" ht="17.399999999999999" customHeight="1">
      <c r="B497" s="159"/>
      <c r="C497" s="159"/>
      <c r="D497" s="159"/>
      <c r="E497" s="159"/>
      <c r="F497" s="159"/>
      <c r="G497" s="159"/>
      <c r="H497" s="159"/>
      <c r="I497" s="159"/>
      <c r="J497" s="224"/>
      <c r="K497" s="159"/>
      <c r="L497" s="159"/>
      <c r="M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c r="AT497" s="159"/>
      <c r="AU497" s="159"/>
      <c r="AV497" s="159"/>
      <c r="AW497" s="159"/>
      <c r="AX497" s="159"/>
      <c r="AY497" s="159"/>
      <c r="AZ497" s="159"/>
      <c r="BA497" s="159"/>
    </row>
    <row r="498" spans="2:53" ht="17.399999999999999" customHeight="1">
      <c r="B498" s="159"/>
      <c r="C498" s="159"/>
      <c r="D498" s="159"/>
      <c r="E498" s="159"/>
      <c r="F498" s="159"/>
      <c r="G498" s="159"/>
      <c r="H498" s="159"/>
      <c r="I498" s="159"/>
      <c r="J498" s="224"/>
      <c r="K498" s="159"/>
      <c r="L498" s="159"/>
      <c r="M498" s="159"/>
      <c r="O498" s="159"/>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c r="AT498" s="159"/>
      <c r="AU498" s="159"/>
      <c r="AV498" s="159"/>
      <c r="AW498" s="159"/>
      <c r="AX498" s="159"/>
      <c r="AY498" s="159"/>
      <c r="AZ498" s="159"/>
      <c r="BA498" s="159"/>
    </row>
    <row r="499" spans="2:53" ht="17.399999999999999" customHeight="1">
      <c r="B499" s="159"/>
      <c r="C499" s="159"/>
      <c r="D499" s="159"/>
      <c r="E499" s="159"/>
      <c r="F499" s="159"/>
      <c r="G499" s="159"/>
      <c r="H499" s="159"/>
      <c r="I499" s="159"/>
      <c r="J499" s="224"/>
      <c r="K499" s="159"/>
      <c r="L499" s="159"/>
      <c r="M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c r="AT499" s="159"/>
      <c r="AU499" s="159"/>
      <c r="AV499" s="159"/>
      <c r="AW499" s="159"/>
      <c r="AX499" s="159"/>
      <c r="AY499" s="159"/>
      <c r="AZ499" s="159"/>
      <c r="BA499" s="159"/>
    </row>
    <row r="500" spans="2:53" ht="17.399999999999999" customHeight="1">
      <c r="B500" s="159"/>
      <c r="C500" s="159"/>
      <c r="D500" s="159"/>
      <c r="E500" s="159"/>
      <c r="F500" s="159"/>
      <c r="G500" s="159"/>
      <c r="H500" s="159"/>
      <c r="I500" s="159"/>
      <c r="J500" s="224"/>
      <c r="K500" s="159"/>
      <c r="L500" s="159"/>
      <c r="M500" s="159"/>
      <c r="O500" s="159"/>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c r="AP500" s="159"/>
      <c r="AQ500" s="159"/>
      <c r="AR500" s="159"/>
      <c r="AS500" s="159"/>
      <c r="AT500" s="159"/>
      <c r="AU500" s="159"/>
      <c r="AV500" s="159"/>
      <c r="AW500" s="159"/>
      <c r="AX500" s="159"/>
      <c r="AY500" s="159"/>
      <c r="AZ500" s="159"/>
      <c r="BA500" s="159"/>
    </row>
    <row r="501" spans="2:53" ht="17.399999999999999" customHeight="1">
      <c r="B501" s="159"/>
      <c r="C501" s="159"/>
      <c r="D501" s="159"/>
      <c r="E501" s="159"/>
      <c r="F501" s="159"/>
      <c r="G501" s="159"/>
      <c r="H501" s="159"/>
      <c r="I501" s="159"/>
      <c r="J501" s="224"/>
      <c r="K501" s="159"/>
      <c r="L501" s="159"/>
      <c r="M501" s="159"/>
      <c r="O501" s="159"/>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c r="AR501" s="159"/>
      <c r="AS501" s="159"/>
      <c r="AT501" s="159"/>
      <c r="AU501" s="159"/>
      <c r="AV501" s="159"/>
      <c r="AW501" s="159"/>
      <c r="AX501" s="159"/>
      <c r="AY501" s="159"/>
      <c r="AZ501" s="159"/>
      <c r="BA501" s="159"/>
    </row>
    <row r="502" spans="2:53" ht="17.399999999999999" customHeight="1">
      <c r="B502" s="159"/>
      <c r="C502" s="159"/>
      <c r="D502" s="159"/>
      <c r="E502" s="159"/>
      <c r="F502" s="159"/>
      <c r="G502" s="159"/>
      <c r="H502" s="159"/>
      <c r="I502" s="159"/>
      <c r="J502" s="224"/>
      <c r="K502" s="159"/>
      <c r="L502" s="159"/>
      <c r="M502" s="159"/>
      <c r="O502" s="159"/>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c r="AR502" s="159"/>
      <c r="AS502" s="159"/>
      <c r="AT502" s="159"/>
      <c r="AU502" s="159"/>
      <c r="AV502" s="159"/>
      <c r="AW502" s="159"/>
      <c r="AX502" s="159"/>
      <c r="AY502" s="159"/>
      <c r="AZ502" s="159"/>
      <c r="BA502" s="159"/>
    </row>
    <row r="503" spans="2:53" ht="17.399999999999999" customHeight="1">
      <c r="B503" s="159"/>
      <c r="C503" s="159"/>
      <c r="D503" s="159"/>
      <c r="E503" s="159"/>
      <c r="F503" s="159"/>
      <c r="G503" s="159"/>
      <c r="H503" s="159"/>
      <c r="I503" s="159"/>
      <c r="J503" s="224"/>
      <c r="K503" s="159"/>
      <c r="L503" s="159"/>
      <c r="M503" s="159"/>
      <c r="O503" s="159"/>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c r="AR503" s="159"/>
      <c r="AS503" s="159"/>
      <c r="AT503" s="159"/>
      <c r="AU503" s="159"/>
      <c r="AV503" s="159"/>
      <c r="AW503" s="159"/>
      <c r="AX503" s="159"/>
      <c r="AY503" s="159"/>
      <c r="AZ503" s="159"/>
      <c r="BA503" s="159"/>
    </row>
    <row r="504" spans="2:53" ht="17.399999999999999" customHeight="1">
      <c r="B504" s="159"/>
      <c r="C504" s="159"/>
      <c r="D504" s="159"/>
      <c r="E504" s="159"/>
      <c r="F504" s="159"/>
      <c r="G504" s="159"/>
      <c r="H504" s="159"/>
      <c r="I504" s="159"/>
      <c r="J504" s="224"/>
      <c r="K504" s="159"/>
      <c r="L504" s="159"/>
      <c r="M504" s="159"/>
      <c r="O504" s="159"/>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c r="AR504" s="159"/>
      <c r="AS504" s="159"/>
      <c r="AT504" s="159"/>
      <c r="AU504" s="159"/>
      <c r="AV504" s="159"/>
      <c r="AW504" s="159"/>
      <c r="AX504" s="159"/>
      <c r="AY504" s="159"/>
      <c r="AZ504" s="159"/>
      <c r="BA504" s="159"/>
    </row>
    <row r="505" spans="2:53" ht="17.399999999999999" customHeight="1">
      <c r="B505" s="159"/>
      <c r="C505" s="159"/>
      <c r="D505" s="159"/>
      <c r="E505" s="159"/>
      <c r="F505" s="159"/>
      <c r="G505" s="159"/>
      <c r="H505" s="159"/>
      <c r="I505" s="159"/>
      <c r="J505" s="224"/>
      <c r="K505" s="159"/>
      <c r="L505" s="159"/>
      <c r="M505" s="159"/>
      <c r="O505" s="159"/>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c r="AR505" s="159"/>
      <c r="AS505" s="159"/>
      <c r="AT505" s="159"/>
      <c r="AU505" s="159"/>
      <c r="AV505" s="159"/>
      <c r="AW505" s="159"/>
      <c r="AX505" s="159"/>
      <c r="AY505" s="159"/>
      <c r="AZ505" s="159"/>
      <c r="BA505" s="159"/>
    </row>
    <row r="506" spans="2:53" ht="17.399999999999999" customHeight="1">
      <c r="B506" s="159"/>
      <c r="C506" s="159"/>
      <c r="D506" s="159"/>
      <c r="E506" s="159"/>
      <c r="F506" s="159"/>
      <c r="G506" s="159"/>
      <c r="H506" s="159"/>
      <c r="I506" s="159"/>
      <c r="J506" s="224"/>
      <c r="K506" s="159"/>
      <c r="L506" s="159"/>
      <c r="M506" s="159"/>
      <c r="O506" s="159"/>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c r="AT506" s="159"/>
      <c r="AU506" s="159"/>
      <c r="AV506" s="159"/>
      <c r="AW506" s="159"/>
      <c r="AX506" s="159"/>
      <c r="AY506" s="159"/>
      <c r="AZ506" s="159"/>
      <c r="BA506" s="159"/>
    </row>
    <row r="507" spans="2:53" ht="17.399999999999999" customHeight="1">
      <c r="B507" s="159"/>
      <c r="C507" s="159"/>
      <c r="D507" s="159"/>
      <c r="E507" s="159"/>
      <c r="F507" s="159"/>
      <c r="G507" s="159"/>
      <c r="H507" s="159"/>
      <c r="I507" s="159"/>
      <c r="J507" s="224"/>
      <c r="K507" s="159"/>
      <c r="L507" s="159"/>
      <c r="M507" s="159"/>
      <c r="O507" s="159"/>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c r="AR507" s="159"/>
      <c r="AS507" s="159"/>
      <c r="AT507" s="159"/>
      <c r="AU507" s="159"/>
      <c r="AV507" s="159"/>
      <c r="AW507" s="159"/>
      <c r="AX507" s="159"/>
      <c r="AY507" s="159"/>
      <c r="AZ507" s="159"/>
      <c r="BA507" s="159"/>
    </row>
    <row r="508" spans="2:53" ht="17.399999999999999" customHeight="1">
      <c r="B508" s="159"/>
      <c r="C508" s="159"/>
      <c r="D508" s="159"/>
      <c r="E508" s="159"/>
      <c r="F508" s="159"/>
      <c r="G508" s="159"/>
      <c r="H508" s="159"/>
      <c r="I508" s="159"/>
      <c r="J508" s="224"/>
      <c r="K508" s="159"/>
      <c r="L508" s="159"/>
      <c r="M508" s="159"/>
      <c r="O508" s="159"/>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c r="AR508" s="159"/>
      <c r="AS508" s="159"/>
      <c r="AT508" s="159"/>
      <c r="AU508" s="159"/>
      <c r="AV508" s="159"/>
      <c r="AW508" s="159"/>
      <c r="AX508" s="159"/>
      <c r="AY508" s="159"/>
      <c r="AZ508" s="159"/>
      <c r="BA508" s="159"/>
    </row>
    <row r="509" spans="2:53" ht="17.399999999999999" customHeight="1">
      <c r="B509" s="159"/>
      <c r="C509" s="159"/>
      <c r="D509" s="159"/>
      <c r="E509" s="159"/>
      <c r="F509" s="159"/>
      <c r="G509" s="159"/>
      <c r="H509" s="159"/>
      <c r="I509" s="159"/>
      <c r="J509" s="224"/>
      <c r="K509" s="159"/>
      <c r="L509" s="159"/>
      <c r="M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c r="AR509" s="159"/>
      <c r="AS509" s="159"/>
      <c r="AT509" s="159"/>
      <c r="AU509" s="159"/>
      <c r="AV509" s="159"/>
      <c r="AW509" s="159"/>
      <c r="AX509" s="159"/>
      <c r="AY509" s="159"/>
      <c r="AZ509" s="159"/>
      <c r="BA509" s="159"/>
    </row>
    <row r="510" spans="2:53" ht="17.399999999999999" customHeight="1">
      <c r="B510" s="159"/>
      <c r="C510" s="159"/>
      <c r="D510" s="159"/>
      <c r="E510" s="159"/>
      <c r="F510" s="159"/>
      <c r="G510" s="159"/>
      <c r="H510" s="159"/>
      <c r="I510" s="159"/>
      <c r="J510" s="224"/>
      <c r="K510" s="159"/>
      <c r="L510" s="159"/>
      <c r="M510" s="159"/>
      <c r="O510" s="159"/>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c r="AR510" s="159"/>
      <c r="AS510" s="159"/>
      <c r="AT510" s="159"/>
      <c r="AU510" s="159"/>
      <c r="AV510" s="159"/>
      <c r="AW510" s="159"/>
      <c r="AX510" s="159"/>
      <c r="AY510" s="159"/>
      <c r="AZ510" s="159"/>
      <c r="BA510" s="159"/>
    </row>
    <row r="511" spans="2:53" ht="17.399999999999999" customHeight="1">
      <c r="B511" s="159"/>
      <c r="C511" s="159"/>
      <c r="D511" s="159"/>
      <c r="E511" s="159"/>
      <c r="F511" s="159"/>
      <c r="G511" s="159"/>
      <c r="H511" s="159"/>
      <c r="I511" s="159"/>
      <c r="J511" s="224"/>
      <c r="K511" s="159"/>
      <c r="L511" s="159"/>
      <c r="M511" s="159"/>
      <c r="O511" s="159"/>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c r="AT511" s="159"/>
      <c r="AU511" s="159"/>
      <c r="AV511" s="159"/>
      <c r="AW511" s="159"/>
      <c r="AX511" s="159"/>
      <c r="AY511" s="159"/>
      <c r="AZ511" s="159"/>
      <c r="BA511" s="159"/>
    </row>
    <row r="512" spans="2:53" ht="17.399999999999999" customHeight="1">
      <c r="B512" s="159"/>
      <c r="C512" s="159"/>
      <c r="D512" s="159"/>
      <c r="E512" s="159"/>
      <c r="F512" s="159"/>
      <c r="G512" s="159"/>
      <c r="H512" s="159"/>
      <c r="I512" s="159"/>
      <c r="J512" s="224"/>
      <c r="K512" s="159"/>
      <c r="L512" s="159"/>
      <c r="M512" s="159"/>
      <c r="O512" s="159"/>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c r="AT512" s="159"/>
      <c r="AU512" s="159"/>
      <c r="AV512" s="159"/>
      <c r="AW512" s="159"/>
      <c r="AX512" s="159"/>
      <c r="AY512" s="159"/>
      <c r="AZ512" s="159"/>
      <c r="BA512" s="159"/>
    </row>
    <row r="513" spans="2:53" ht="17.399999999999999" customHeight="1">
      <c r="B513" s="159"/>
      <c r="C513" s="159"/>
      <c r="D513" s="159"/>
      <c r="E513" s="159"/>
      <c r="F513" s="159"/>
      <c r="G513" s="159"/>
      <c r="H513" s="159"/>
      <c r="I513" s="159"/>
      <c r="J513" s="224"/>
      <c r="K513" s="159"/>
      <c r="L513" s="159"/>
      <c r="M513" s="159"/>
      <c r="O513" s="159"/>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c r="AT513" s="159"/>
      <c r="AU513" s="159"/>
      <c r="AV513" s="159"/>
      <c r="AW513" s="159"/>
      <c r="AX513" s="159"/>
      <c r="AY513" s="159"/>
      <c r="AZ513" s="159"/>
      <c r="BA513" s="159"/>
    </row>
    <row r="514" spans="2:53" ht="17.399999999999999" customHeight="1">
      <c r="B514" s="159"/>
      <c r="C514" s="159"/>
      <c r="D514" s="159"/>
      <c r="E514" s="159"/>
      <c r="F514" s="159"/>
      <c r="G514" s="159"/>
      <c r="H514" s="159"/>
      <c r="I514" s="159"/>
      <c r="J514" s="224"/>
      <c r="K514" s="159"/>
      <c r="L514" s="159"/>
      <c r="M514" s="159"/>
      <c r="O514" s="159"/>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c r="AR514" s="159"/>
      <c r="AS514" s="159"/>
      <c r="AT514" s="159"/>
      <c r="AU514" s="159"/>
      <c r="AV514" s="159"/>
      <c r="AW514" s="159"/>
      <c r="AX514" s="159"/>
      <c r="AY514" s="159"/>
      <c r="AZ514" s="159"/>
      <c r="BA514" s="159"/>
    </row>
    <row r="515" spans="2:53" ht="17.399999999999999" customHeight="1">
      <c r="B515" s="159"/>
      <c r="C515" s="159"/>
      <c r="D515" s="159"/>
      <c r="E515" s="159"/>
      <c r="F515" s="159"/>
      <c r="G515" s="159"/>
      <c r="H515" s="159"/>
      <c r="I515" s="159"/>
      <c r="J515" s="224"/>
      <c r="K515" s="159"/>
      <c r="L515" s="159"/>
      <c r="M515" s="159"/>
      <c r="O515" s="159"/>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c r="AR515" s="159"/>
      <c r="AS515" s="159"/>
      <c r="AT515" s="159"/>
      <c r="AU515" s="159"/>
      <c r="AV515" s="159"/>
      <c r="AW515" s="159"/>
      <c r="AX515" s="159"/>
      <c r="AY515" s="159"/>
      <c r="AZ515" s="159"/>
      <c r="BA515" s="159"/>
    </row>
    <row r="516" spans="2:53" ht="17.399999999999999" customHeight="1">
      <c r="B516" s="159"/>
      <c r="C516" s="159"/>
      <c r="D516" s="159"/>
      <c r="E516" s="159"/>
      <c r="F516" s="159"/>
      <c r="G516" s="159"/>
      <c r="H516" s="159"/>
      <c r="I516" s="159"/>
      <c r="J516" s="224"/>
      <c r="K516" s="159"/>
      <c r="L516" s="159"/>
      <c r="M516" s="159"/>
      <c r="O516" s="159"/>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c r="AT516" s="159"/>
      <c r="AU516" s="159"/>
      <c r="AV516" s="159"/>
      <c r="AW516" s="159"/>
      <c r="AX516" s="159"/>
      <c r="AY516" s="159"/>
      <c r="AZ516" s="159"/>
      <c r="BA516" s="159"/>
    </row>
    <row r="517" spans="2:53" ht="17.399999999999999" customHeight="1">
      <c r="B517" s="159"/>
      <c r="C517" s="159"/>
      <c r="D517" s="159"/>
      <c r="E517" s="159"/>
      <c r="F517" s="159"/>
      <c r="G517" s="159"/>
      <c r="H517" s="159"/>
      <c r="I517" s="159"/>
      <c r="J517" s="224"/>
      <c r="K517" s="159"/>
      <c r="L517" s="159"/>
      <c r="M517" s="159"/>
      <c r="O517" s="159"/>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c r="AR517" s="159"/>
      <c r="AS517" s="159"/>
      <c r="AT517" s="159"/>
      <c r="AU517" s="159"/>
      <c r="AV517" s="159"/>
      <c r="AW517" s="159"/>
      <c r="AX517" s="159"/>
      <c r="AY517" s="159"/>
      <c r="AZ517" s="159"/>
      <c r="BA517" s="159"/>
    </row>
    <row r="518" spans="2:53" ht="17.399999999999999" customHeight="1">
      <c r="B518" s="159"/>
      <c r="C518" s="159"/>
      <c r="D518" s="159"/>
      <c r="E518" s="159"/>
      <c r="F518" s="159"/>
      <c r="G518" s="159"/>
      <c r="H518" s="159"/>
      <c r="I518" s="159"/>
      <c r="J518" s="224"/>
      <c r="K518" s="159"/>
      <c r="L518" s="159"/>
      <c r="M518" s="159"/>
      <c r="O518" s="159"/>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c r="AR518" s="159"/>
      <c r="AS518" s="159"/>
      <c r="AT518" s="159"/>
      <c r="AU518" s="159"/>
      <c r="AV518" s="159"/>
      <c r="AW518" s="159"/>
      <c r="AX518" s="159"/>
      <c r="AY518" s="159"/>
      <c r="AZ518" s="159"/>
      <c r="BA518" s="159"/>
    </row>
    <row r="519" spans="2:53" ht="17.399999999999999" customHeight="1">
      <c r="B519" s="159"/>
      <c r="C519" s="159"/>
      <c r="D519" s="159"/>
      <c r="E519" s="159"/>
      <c r="F519" s="159"/>
      <c r="G519" s="159"/>
      <c r="H519" s="159"/>
      <c r="I519" s="159"/>
      <c r="J519" s="224"/>
      <c r="K519" s="159"/>
      <c r="L519" s="159"/>
      <c r="M519" s="159"/>
      <c r="O519" s="159"/>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c r="AR519" s="159"/>
      <c r="AS519" s="159"/>
      <c r="AT519" s="159"/>
      <c r="AU519" s="159"/>
      <c r="AV519" s="159"/>
      <c r="AW519" s="159"/>
      <c r="AX519" s="159"/>
      <c r="AY519" s="159"/>
      <c r="AZ519" s="159"/>
      <c r="BA519" s="159"/>
    </row>
    <row r="520" spans="2:53" ht="17.399999999999999" customHeight="1">
      <c r="B520" s="159"/>
      <c r="C520" s="159"/>
      <c r="D520" s="159"/>
      <c r="E520" s="159"/>
      <c r="F520" s="159"/>
      <c r="G520" s="159"/>
      <c r="H520" s="159"/>
      <c r="I520" s="159"/>
      <c r="J520" s="224"/>
      <c r="K520" s="159"/>
      <c r="L520" s="159"/>
      <c r="M520" s="159"/>
      <c r="O520" s="159"/>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c r="AR520" s="159"/>
      <c r="AS520" s="159"/>
      <c r="AT520" s="159"/>
      <c r="AU520" s="159"/>
      <c r="AV520" s="159"/>
      <c r="AW520" s="159"/>
      <c r="AX520" s="159"/>
      <c r="AY520" s="159"/>
      <c r="AZ520" s="159"/>
      <c r="BA520" s="159"/>
    </row>
    <row r="521" spans="2:53" ht="17.399999999999999" customHeight="1">
      <c r="B521" s="159"/>
      <c r="C521" s="159"/>
      <c r="D521" s="159"/>
      <c r="E521" s="159"/>
      <c r="F521" s="159"/>
      <c r="G521" s="159"/>
      <c r="H521" s="159"/>
      <c r="I521" s="159"/>
      <c r="J521" s="224"/>
      <c r="K521" s="159"/>
      <c r="L521" s="159"/>
      <c r="M521" s="159"/>
      <c r="O521" s="159"/>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c r="AR521" s="159"/>
      <c r="AS521" s="159"/>
      <c r="AT521" s="159"/>
      <c r="AU521" s="159"/>
      <c r="AV521" s="159"/>
      <c r="AW521" s="159"/>
      <c r="AX521" s="159"/>
      <c r="AY521" s="159"/>
      <c r="AZ521" s="159"/>
      <c r="BA521" s="159"/>
    </row>
    <row r="522" spans="2:53" ht="17.399999999999999" customHeight="1">
      <c r="B522" s="159"/>
      <c r="C522" s="159"/>
      <c r="D522" s="159"/>
      <c r="E522" s="159"/>
      <c r="F522" s="159"/>
      <c r="G522" s="159"/>
      <c r="H522" s="159"/>
      <c r="I522" s="159"/>
      <c r="J522" s="224"/>
      <c r="K522" s="159"/>
      <c r="L522" s="159"/>
      <c r="M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c r="AT522" s="159"/>
      <c r="AU522" s="159"/>
      <c r="AV522" s="159"/>
      <c r="AW522" s="159"/>
      <c r="AX522" s="159"/>
      <c r="AY522" s="159"/>
      <c r="AZ522" s="159"/>
      <c r="BA522" s="159"/>
    </row>
    <row r="523" spans="2:53" ht="17.399999999999999" customHeight="1">
      <c r="B523" s="159"/>
      <c r="C523" s="159"/>
      <c r="D523" s="159"/>
      <c r="E523" s="159"/>
      <c r="F523" s="159"/>
      <c r="G523" s="159"/>
      <c r="H523" s="159"/>
      <c r="I523" s="159"/>
      <c r="J523" s="224"/>
      <c r="K523" s="159"/>
      <c r="L523" s="159"/>
      <c r="M523" s="159"/>
      <c r="O523" s="159"/>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c r="AP523" s="159"/>
      <c r="AQ523" s="159"/>
      <c r="AR523" s="159"/>
      <c r="AS523" s="159"/>
      <c r="AT523" s="159"/>
      <c r="AU523" s="159"/>
      <c r="AV523" s="159"/>
      <c r="AW523" s="159"/>
      <c r="AX523" s="159"/>
      <c r="AY523" s="159"/>
      <c r="AZ523" s="159"/>
      <c r="BA523" s="159"/>
    </row>
    <row r="524" spans="2:53" ht="17.399999999999999" customHeight="1">
      <c r="B524" s="159"/>
      <c r="C524" s="159"/>
      <c r="D524" s="159"/>
      <c r="E524" s="159"/>
      <c r="F524" s="159"/>
      <c r="G524" s="159"/>
      <c r="H524" s="159"/>
      <c r="I524" s="159"/>
      <c r="J524" s="224"/>
      <c r="K524" s="159"/>
      <c r="L524" s="159"/>
      <c r="M524" s="159"/>
      <c r="O524" s="159"/>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c r="AR524" s="159"/>
      <c r="AS524" s="159"/>
      <c r="AT524" s="159"/>
      <c r="AU524" s="159"/>
      <c r="AV524" s="159"/>
      <c r="AW524" s="159"/>
      <c r="AX524" s="159"/>
      <c r="AY524" s="159"/>
      <c r="AZ524" s="159"/>
      <c r="BA524" s="159"/>
    </row>
    <row r="525" spans="2:53" ht="17.399999999999999" customHeight="1">
      <c r="B525" s="159"/>
      <c r="C525" s="159"/>
      <c r="D525" s="159"/>
      <c r="E525" s="159"/>
      <c r="F525" s="159"/>
      <c r="G525" s="159"/>
      <c r="H525" s="159"/>
      <c r="I525" s="159"/>
      <c r="J525" s="224"/>
      <c r="K525" s="159"/>
      <c r="L525" s="159"/>
      <c r="M525" s="159"/>
      <c r="O525" s="159"/>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c r="AR525" s="159"/>
      <c r="AS525" s="159"/>
      <c r="AT525" s="159"/>
      <c r="AU525" s="159"/>
      <c r="AV525" s="159"/>
      <c r="AW525" s="159"/>
      <c r="AX525" s="159"/>
      <c r="AY525" s="159"/>
      <c r="AZ525" s="159"/>
      <c r="BA525" s="159"/>
    </row>
    <row r="526" spans="2:53" ht="17.399999999999999" customHeight="1">
      <c r="B526" s="159"/>
      <c r="C526" s="159"/>
      <c r="D526" s="159"/>
      <c r="E526" s="159"/>
      <c r="F526" s="159"/>
      <c r="G526" s="159"/>
      <c r="H526" s="159"/>
      <c r="I526" s="159"/>
      <c r="J526" s="224"/>
      <c r="K526" s="159"/>
      <c r="L526" s="159"/>
      <c r="M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c r="AR526" s="159"/>
      <c r="AS526" s="159"/>
      <c r="AT526" s="159"/>
      <c r="AU526" s="159"/>
      <c r="AV526" s="159"/>
      <c r="AW526" s="159"/>
      <c r="AX526" s="159"/>
      <c r="AY526" s="159"/>
      <c r="AZ526" s="159"/>
      <c r="BA526" s="159"/>
    </row>
    <row r="527" spans="2:53" ht="17.399999999999999" customHeight="1">
      <c r="B527" s="159"/>
      <c r="C527" s="159"/>
      <c r="D527" s="159"/>
      <c r="E527" s="159"/>
      <c r="F527" s="159"/>
      <c r="G527" s="159"/>
      <c r="H527" s="159"/>
      <c r="I527" s="159"/>
      <c r="J527" s="224"/>
      <c r="K527" s="159"/>
      <c r="L527" s="159"/>
      <c r="M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c r="AR527" s="159"/>
      <c r="AS527" s="159"/>
      <c r="AT527" s="159"/>
      <c r="AU527" s="159"/>
      <c r="AV527" s="159"/>
      <c r="AW527" s="159"/>
      <c r="AX527" s="159"/>
      <c r="AY527" s="159"/>
      <c r="AZ527" s="159"/>
      <c r="BA527" s="159"/>
    </row>
    <row r="528" spans="2:53" ht="17.399999999999999" customHeight="1">
      <c r="B528" s="159"/>
      <c r="C528" s="159"/>
      <c r="D528" s="159"/>
      <c r="E528" s="159"/>
      <c r="F528" s="159"/>
      <c r="G528" s="159"/>
      <c r="H528" s="159"/>
      <c r="I528" s="159"/>
      <c r="J528" s="224"/>
      <c r="K528" s="159"/>
      <c r="L528" s="159"/>
      <c r="M528" s="159"/>
      <c r="O528" s="159"/>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c r="AP528" s="159"/>
      <c r="AQ528" s="159"/>
      <c r="AR528" s="159"/>
      <c r="AS528" s="159"/>
      <c r="AT528" s="159"/>
      <c r="AU528" s="159"/>
      <c r="AV528" s="159"/>
      <c r="AW528" s="159"/>
      <c r="AX528" s="159"/>
      <c r="AY528" s="159"/>
      <c r="AZ528" s="159"/>
      <c r="BA528" s="159"/>
    </row>
    <row r="529" spans="2:53" ht="17.399999999999999" customHeight="1">
      <c r="B529" s="159"/>
      <c r="C529" s="159"/>
      <c r="D529" s="159"/>
      <c r="E529" s="159"/>
      <c r="F529" s="159"/>
      <c r="G529" s="159"/>
      <c r="H529" s="159"/>
      <c r="I529" s="159"/>
      <c r="J529" s="224"/>
      <c r="K529" s="159"/>
      <c r="L529" s="159"/>
      <c r="M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c r="AR529" s="159"/>
      <c r="AS529" s="159"/>
      <c r="AT529" s="159"/>
      <c r="AU529" s="159"/>
      <c r="AV529" s="159"/>
      <c r="AW529" s="159"/>
      <c r="AX529" s="159"/>
      <c r="AY529" s="159"/>
      <c r="AZ529" s="159"/>
      <c r="BA529" s="159"/>
    </row>
    <row r="530" spans="2:53" ht="17.399999999999999" customHeight="1">
      <c r="B530" s="159"/>
      <c r="C530" s="159"/>
      <c r="D530" s="159"/>
      <c r="E530" s="159"/>
      <c r="F530" s="159"/>
      <c r="G530" s="159"/>
      <c r="H530" s="159"/>
      <c r="I530" s="159"/>
      <c r="J530" s="224"/>
      <c r="K530" s="159"/>
      <c r="L530" s="159"/>
      <c r="M530" s="159"/>
      <c r="O530" s="159"/>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c r="AR530" s="159"/>
      <c r="AS530" s="159"/>
      <c r="AT530" s="159"/>
      <c r="AU530" s="159"/>
      <c r="AV530" s="159"/>
      <c r="AW530" s="159"/>
      <c r="AX530" s="159"/>
      <c r="AY530" s="159"/>
      <c r="AZ530" s="159"/>
      <c r="BA530" s="159"/>
    </row>
    <row r="531" spans="2:53" ht="17.399999999999999" customHeight="1">
      <c r="B531" s="159"/>
      <c r="C531" s="159"/>
      <c r="D531" s="159"/>
      <c r="E531" s="159"/>
      <c r="F531" s="159"/>
      <c r="G531" s="159"/>
      <c r="H531" s="159"/>
      <c r="I531" s="159"/>
      <c r="J531" s="224"/>
      <c r="K531" s="159"/>
      <c r="L531" s="159"/>
      <c r="M531" s="159"/>
      <c r="O531" s="159"/>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c r="AT531" s="159"/>
      <c r="AU531" s="159"/>
      <c r="AV531" s="159"/>
      <c r="AW531" s="159"/>
      <c r="AX531" s="159"/>
      <c r="AY531" s="159"/>
      <c r="AZ531" s="159"/>
      <c r="BA531" s="159"/>
    </row>
    <row r="532" spans="2:53" ht="17.399999999999999" customHeight="1">
      <c r="B532" s="159"/>
      <c r="C532" s="159"/>
      <c r="D532" s="159"/>
      <c r="E532" s="159"/>
      <c r="F532" s="159"/>
      <c r="G532" s="159"/>
      <c r="H532" s="159"/>
      <c r="I532" s="159"/>
      <c r="J532" s="224"/>
      <c r="K532" s="159"/>
      <c r="L532" s="159"/>
      <c r="M532" s="159"/>
      <c r="O532" s="159"/>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c r="AT532" s="159"/>
      <c r="AU532" s="159"/>
      <c r="AV532" s="159"/>
      <c r="AW532" s="159"/>
      <c r="AX532" s="159"/>
      <c r="AY532" s="159"/>
      <c r="AZ532" s="159"/>
      <c r="BA532" s="159"/>
    </row>
    <row r="533" spans="2:53" ht="17.399999999999999" customHeight="1">
      <c r="B533" s="159"/>
      <c r="C533" s="159"/>
      <c r="D533" s="159"/>
      <c r="E533" s="159"/>
      <c r="F533" s="159"/>
      <c r="G533" s="159"/>
      <c r="H533" s="159"/>
      <c r="I533" s="159"/>
      <c r="J533" s="224"/>
      <c r="K533" s="159"/>
      <c r="L533" s="159"/>
      <c r="M533" s="159"/>
      <c r="O533" s="159"/>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c r="AT533" s="159"/>
      <c r="AU533" s="159"/>
      <c r="AV533" s="159"/>
      <c r="AW533" s="159"/>
      <c r="AX533" s="159"/>
      <c r="AY533" s="159"/>
      <c r="AZ533" s="159"/>
      <c r="BA533" s="159"/>
    </row>
    <row r="534" spans="2:53" ht="17.399999999999999" customHeight="1">
      <c r="B534" s="159"/>
      <c r="C534" s="159"/>
      <c r="D534" s="159"/>
      <c r="E534" s="159"/>
      <c r="F534" s="159"/>
      <c r="G534" s="159"/>
      <c r="H534" s="159"/>
      <c r="I534" s="159"/>
      <c r="J534" s="224"/>
      <c r="K534" s="159"/>
      <c r="L534" s="159"/>
      <c r="M534" s="159"/>
      <c r="O534" s="159"/>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c r="AT534" s="159"/>
      <c r="AU534" s="159"/>
      <c r="AV534" s="159"/>
      <c r="AW534" s="159"/>
      <c r="AX534" s="159"/>
      <c r="AY534" s="159"/>
      <c r="AZ534" s="159"/>
      <c r="BA534" s="159"/>
    </row>
    <row r="535" spans="2:53" ht="17.399999999999999" customHeight="1">
      <c r="B535" s="159"/>
      <c r="C535" s="159"/>
      <c r="D535" s="159"/>
      <c r="E535" s="159"/>
      <c r="F535" s="159"/>
      <c r="G535" s="159"/>
      <c r="H535" s="159"/>
      <c r="I535" s="159"/>
      <c r="J535" s="224"/>
      <c r="K535" s="159"/>
      <c r="L535" s="159"/>
      <c r="M535" s="159"/>
      <c r="O535" s="159"/>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c r="AR535" s="159"/>
      <c r="AS535" s="159"/>
      <c r="AT535" s="159"/>
      <c r="AU535" s="159"/>
      <c r="AV535" s="159"/>
      <c r="AW535" s="159"/>
      <c r="AX535" s="159"/>
      <c r="AY535" s="159"/>
      <c r="AZ535" s="159"/>
      <c r="BA535" s="159"/>
    </row>
    <row r="536" spans="2:53" ht="17.399999999999999" customHeight="1">
      <c r="B536" s="159"/>
      <c r="C536" s="159"/>
      <c r="D536" s="159"/>
      <c r="E536" s="159"/>
      <c r="F536" s="159"/>
      <c r="G536" s="159"/>
      <c r="H536" s="159"/>
      <c r="I536" s="159"/>
      <c r="J536" s="224"/>
      <c r="K536" s="159"/>
      <c r="L536" s="159"/>
      <c r="M536" s="159"/>
      <c r="O536" s="159"/>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c r="AR536" s="159"/>
      <c r="AS536" s="159"/>
      <c r="AT536" s="159"/>
      <c r="AU536" s="159"/>
      <c r="AV536" s="159"/>
      <c r="AW536" s="159"/>
      <c r="AX536" s="159"/>
      <c r="AY536" s="159"/>
      <c r="AZ536" s="159"/>
      <c r="BA536" s="159"/>
    </row>
    <row r="537" spans="2:53" ht="17.399999999999999" customHeight="1">
      <c r="B537" s="159"/>
      <c r="C537" s="159"/>
      <c r="D537" s="159"/>
      <c r="E537" s="159"/>
      <c r="F537" s="159"/>
      <c r="G537" s="159"/>
      <c r="H537" s="159"/>
      <c r="I537" s="159"/>
      <c r="J537" s="224"/>
      <c r="K537" s="159"/>
      <c r="L537" s="159"/>
      <c r="M537" s="159"/>
      <c r="O537" s="159"/>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c r="AR537" s="159"/>
      <c r="AS537" s="159"/>
      <c r="AT537" s="159"/>
      <c r="AU537" s="159"/>
      <c r="AV537" s="159"/>
      <c r="AW537" s="159"/>
      <c r="AX537" s="159"/>
      <c r="AY537" s="159"/>
      <c r="AZ537" s="159"/>
      <c r="BA537" s="159"/>
    </row>
    <row r="538" spans="2:53" ht="17.399999999999999" customHeight="1">
      <c r="B538" s="159"/>
      <c r="C538" s="159"/>
      <c r="D538" s="159"/>
      <c r="E538" s="159"/>
      <c r="F538" s="159"/>
      <c r="G538" s="159"/>
      <c r="H538" s="159"/>
      <c r="I538" s="159"/>
      <c r="J538" s="224"/>
      <c r="K538" s="159"/>
      <c r="L538" s="159"/>
      <c r="M538" s="159"/>
      <c r="O538" s="159"/>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c r="AR538" s="159"/>
      <c r="AS538" s="159"/>
      <c r="AT538" s="159"/>
      <c r="AU538" s="159"/>
      <c r="AV538" s="159"/>
      <c r="AW538" s="159"/>
      <c r="AX538" s="159"/>
      <c r="AY538" s="159"/>
      <c r="AZ538" s="159"/>
      <c r="BA538" s="159"/>
    </row>
    <row r="539" spans="2:53" ht="17.399999999999999" customHeight="1">
      <c r="B539" s="159"/>
      <c r="C539" s="159"/>
      <c r="D539" s="159"/>
      <c r="E539" s="159"/>
      <c r="F539" s="159"/>
      <c r="G539" s="159"/>
      <c r="H539" s="159"/>
      <c r="I539" s="159"/>
      <c r="J539" s="224"/>
      <c r="K539" s="159"/>
      <c r="L539" s="159"/>
      <c r="M539" s="159"/>
      <c r="O539" s="159"/>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c r="AR539" s="159"/>
      <c r="AS539" s="159"/>
      <c r="AT539" s="159"/>
      <c r="AU539" s="159"/>
      <c r="AV539" s="159"/>
      <c r="AW539" s="159"/>
      <c r="AX539" s="159"/>
      <c r="AY539" s="159"/>
      <c r="AZ539" s="159"/>
      <c r="BA539" s="159"/>
    </row>
    <row r="540" spans="2:53" ht="17.399999999999999" customHeight="1">
      <c r="B540" s="159"/>
      <c r="C540" s="159"/>
      <c r="D540" s="159"/>
      <c r="E540" s="159"/>
      <c r="F540" s="159"/>
      <c r="G540" s="159"/>
      <c r="H540" s="159"/>
      <c r="I540" s="159"/>
      <c r="J540" s="224"/>
      <c r="K540" s="159"/>
      <c r="L540" s="159"/>
      <c r="M540" s="159"/>
      <c r="O540" s="159"/>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c r="AR540" s="159"/>
      <c r="AS540" s="159"/>
      <c r="AT540" s="159"/>
      <c r="AU540" s="159"/>
      <c r="AV540" s="159"/>
      <c r="AW540" s="159"/>
      <c r="AX540" s="159"/>
      <c r="AY540" s="159"/>
      <c r="AZ540" s="159"/>
      <c r="BA540" s="159"/>
    </row>
    <row r="541" spans="2:53" ht="17.399999999999999" customHeight="1">
      <c r="B541" s="159"/>
      <c r="C541" s="159"/>
      <c r="D541" s="159"/>
      <c r="E541" s="159"/>
      <c r="F541" s="159"/>
      <c r="G541" s="159"/>
      <c r="H541" s="159"/>
      <c r="I541" s="159"/>
      <c r="J541" s="224"/>
      <c r="K541" s="159"/>
      <c r="L541" s="159"/>
      <c r="M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c r="AR541" s="159"/>
      <c r="AS541" s="159"/>
      <c r="AT541" s="159"/>
      <c r="AU541" s="159"/>
      <c r="AV541" s="159"/>
      <c r="AW541" s="159"/>
      <c r="AX541" s="159"/>
      <c r="AY541" s="159"/>
      <c r="AZ541" s="159"/>
      <c r="BA541" s="159"/>
    </row>
    <row r="542" spans="2:53" ht="17.399999999999999" customHeight="1">
      <c r="B542" s="159"/>
      <c r="C542" s="159"/>
      <c r="D542" s="159"/>
      <c r="E542" s="159"/>
      <c r="F542" s="159"/>
      <c r="G542" s="159"/>
      <c r="H542" s="159"/>
      <c r="I542" s="159"/>
      <c r="J542" s="224"/>
      <c r="K542" s="159"/>
      <c r="L542" s="159"/>
      <c r="M542" s="159"/>
      <c r="O542" s="159"/>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c r="AP542" s="159"/>
      <c r="AQ542" s="159"/>
      <c r="AR542" s="159"/>
      <c r="AS542" s="159"/>
      <c r="AT542" s="159"/>
      <c r="AU542" s="159"/>
      <c r="AV542" s="159"/>
      <c r="AW542" s="159"/>
      <c r="AX542" s="159"/>
      <c r="AY542" s="159"/>
      <c r="AZ542" s="159"/>
      <c r="BA542" s="159"/>
    </row>
    <row r="543" spans="2:53" ht="17.399999999999999" customHeight="1">
      <c r="B543" s="159"/>
      <c r="C543" s="159"/>
      <c r="D543" s="159"/>
      <c r="E543" s="159"/>
      <c r="F543" s="159"/>
      <c r="G543" s="159"/>
      <c r="H543" s="159"/>
      <c r="I543" s="159"/>
      <c r="J543" s="224"/>
      <c r="K543" s="159"/>
      <c r="L543" s="159"/>
      <c r="M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c r="AT543" s="159"/>
      <c r="AU543" s="159"/>
      <c r="AV543" s="159"/>
      <c r="AW543" s="159"/>
      <c r="AX543" s="159"/>
      <c r="AY543" s="159"/>
      <c r="AZ543" s="159"/>
      <c r="BA543" s="159"/>
    </row>
    <row r="544" spans="2:53" ht="17.399999999999999" customHeight="1">
      <c r="B544" s="159"/>
      <c r="C544" s="159"/>
      <c r="D544" s="159"/>
      <c r="E544" s="159"/>
      <c r="F544" s="159"/>
      <c r="G544" s="159"/>
      <c r="H544" s="159"/>
      <c r="I544" s="159"/>
      <c r="J544" s="224"/>
      <c r="K544" s="159"/>
      <c r="L544" s="159"/>
      <c r="M544" s="159"/>
      <c r="O544" s="159"/>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c r="AR544" s="159"/>
      <c r="AS544" s="159"/>
      <c r="AT544" s="159"/>
      <c r="AU544" s="159"/>
      <c r="AV544" s="159"/>
      <c r="AW544" s="159"/>
      <c r="AX544" s="159"/>
      <c r="AY544" s="159"/>
      <c r="AZ544" s="159"/>
      <c r="BA544" s="159"/>
    </row>
    <row r="545" spans="2:53" ht="17.399999999999999" customHeight="1">
      <c r="B545" s="159"/>
      <c r="C545" s="159"/>
      <c r="D545" s="159"/>
      <c r="E545" s="159"/>
      <c r="F545" s="159"/>
      <c r="G545" s="159"/>
      <c r="H545" s="159"/>
      <c r="I545" s="159"/>
      <c r="J545" s="224"/>
      <c r="K545" s="159"/>
      <c r="L545" s="159"/>
      <c r="M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c r="AT545" s="159"/>
      <c r="AU545" s="159"/>
      <c r="AV545" s="159"/>
      <c r="AW545" s="159"/>
      <c r="AX545" s="159"/>
      <c r="AY545" s="159"/>
      <c r="AZ545" s="159"/>
      <c r="BA545" s="159"/>
    </row>
    <row r="546" spans="2:53" ht="17.399999999999999" customHeight="1">
      <c r="B546" s="159"/>
      <c r="C546" s="159"/>
      <c r="D546" s="159"/>
      <c r="E546" s="159"/>
      <c r="F546" s="159"/>
      <c r="G546" s="159"/>
      <c r="H546" s="159"/>
      <c r="I546" s="159"/>
      <c r="J546" s="224"/>
      <c r="K546" s="159"/>
      <c r="L546" s="159"/>
      <c r="M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c r="AR546" s="159"/>
      <c r="AS546" s="159"/>
      <c r="AT546" s="159"/>
      <c r="AU546" s="159"/>
      <c r="AV546" s="159"/>
      <c r="AW546" s="159"/>
      <c r="AX546" s="159"/>
      <c r="AY546" s="159"/>
      <c r="AZ546" s="159"/>
      <c r="BA546" s="159"/>
    </row>
    <row r="547" spans="2:53" ht="17.399999999999999" customHeight="1">
      <c r="B547" s="159"/>
      <c r="C547" s="159"/>
      <c r="D547" s="159"/>
      <c r="E547" s="159"/>
      <c r="F547" s="159"/>
      <c r="G547" s="159"/>
      <c r="H547" s="159"/>
      <c r="I547" s="159"/>
      <c r="J547" s="224"/>
      <c r="K547" s="159"/>
      <c r="L547" s="159"/>
      <c r="M547" s="159"/>
      <c r="O547" s="159"/>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c r="AR547" s="159"/>
      <c r="AS547" s="159"/>
      <c r="AT547" s="159"/>
      <c r="AU547" s="159"/>
      <c r="AV547" s="159"/>
      <c r="AW547" s="159"/>
      <c r="AX547" s="159"/>
      <c r="AY547" s="159"/>
      <c r="AZ547" s="159"/>
      <c r="BA547" s="159"/>
    </row>
    <row r="548" spans="2:53" ht="17.399999999999999" customHeight="1">
      <c r="B548" s="159"/>
      <c r="C548" s="159"/>
      <c r="D548" s="159"/>
      <c r="E548" s="159"/>
      <c r="F548" s="159"/>
      <c r="G548" s="159"/>
      <c r="H548" s="159"/>
      <c r="I548" s="159"/>
      <c r="J548" s="224"/>
      <c r="K548" s="159"/>
      <c r="L548" s="159"/>
      <c r="M548" s="159"/>
      <c r="O548" s="159"/>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c r="AR548" s="159"/>
      <c r="AS548" s="159"/>
      <c r="AT548" s="159"/>
      <c r="AU548" s="159"/>
      <c r="AV548" s="159"/>
      <c r="AW548" s="159"/>
      <c r="AX548" s="159"/>
      <c r="AY548" s="159"/>
      <c r="AZ548" s="159"/>
      <c r="BA548" s="159"/>
    </row>
    <row r="549" spans="2:53" ht="17.399999999999999" customHeight="1">
      <c r="B549" s="159"/>
      <c r="C549" s="159"/>
      <c r="D549" s="159"/>
      <c r="E549" s="159"/>
      <c r="F549" s="159"/>
      <c r="G549" s="159"/>
      <c r="H549" s="159"/>
      <c r="I549" s="159"/>
      <c r="J549" s="224"/>
      <c r="K549" s="159"/>
      <c r="L549" s="159"/>
      <c r="M549" s="159"/>
      <c r="O549" s="159"/>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c r="AR549" s="159"/>
      <c r="AS549" s="159"/>
      <c r="AT549" s="159"/>
      <c r="AU549" s="159"/>
      <c r="AV549" s="159"/>
      <c r="AW549" s="159"/>
      <c r="AX549" s="159"/>
      <c r="AY549" s="159"/>
      <c r="AZ549" s="159"/>
      <c r="BA549" s="159"/>
    </row>
    <row r="550" spans="2:53" ht="17.399999999999999" customHeight="1">
      <c r="B550" s="159"/>
      <c r="C550" s="159"/>
      <c r="D550" s="159"/>
      <c r="E550" s="159"/>
      <c r="F550" s="159"/>
      <c r="G550" s="159"/>
      <c r="H550" s="159"/>
      <c r="I550" s="159"/>
      <c r="J550" s="224"/>
      <c r="K550" s="159"/>
      <c r="L550" s="159"/>
      <c r="M550" s="159"/>
      <c r="O550" s="159"/>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c r="AR550" s="159"/>
      <c r="AS550" s="159"/>
      <c r="AT550" s="159"/>
      <c r="AU550" s="159"/>
      <c r="AV550" s="159"/>
      <c r="AW550" s="159"/>
      <c r="AX550" s="159"/>
      <c r="AY550" s="159"/>
      <c r="AZ550" s="159"/>
      <c r="BA550" s="159"/>
    </row>
    <row r="551" spans="2:53" ht="17.399999999999999" customHeight="1">
      <c r="B551" s="159"/>
      <c r="C551" s="159"/>
      <c r="D551" s="159"/>
      <c r="E551" s="159"/>
      <c r="F551" s="159"/>
      <c r="G551" s="159"/>
      <c r="H551" s="159"/>
      <c r="I551" s="159"/>
      <c r="J551" s="224"/>
      <c r="K551" s="159"/>
      <c r="L551" s="159"/>
      <c r="M551" s="159"/>
      <c r="O551" s="159"/>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c r="AR551" s="159"/>
      <c r="AS551" s="159"/>
      <c r="AT551" s="159"/>
      <c r="AU551" s="159"/>
      <c r="AV551" s="159"/>
      <c r="AW551" s="159"/>
      <c r="AX551" s="159"/>
      <c r="AY551" s="159"/>
      <c r="AZ551" s="159"/>
      <c r="BA551" s="159"/>
    </row>
    <row r="552" spans="2:53" ht="17.399999999999999" customHeight="1">
      <c r="B552" s="159"/>
      <c r="C552" s="159"/>
      <c r="D552" s="159"/>
      <c r="E552" s="159"/>
      <c r="F552" s="159"/>
      <c r="G552" s="159"/>
      <c r="H552" s="159"/>
      <c r="I552" s="159"/>
      <c r="J552" s="224"/>
      <c r="K552" s="159"/>
      <c r="L552" s="159"/>
      <c r="M552" s="15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c r="AR552" s="159"/>
      <c r="AS552" s="159"/>
      <c r="AT552" s="159"/>
      <c r="AU552" s="159"/>
      <c r="AV552" s="159"/>
      <c r="AW552" s="159"/>
      <c r="AX552" s="159"/>
      <c r="AY552" s="159"/>
      <c r="AZ552" s="159"/>
      <c r="BA552" s="159"/>
    </row>
    <row r="553" spans="2:53" ht="17.399999999999999" customHeight="1">
      <c r="B553" s="159"/>
      <c r="C553" s="159"/>
      <c r="D553" s="159"/>
      <c r="E553" s="159"/>
      <c r="F553" s="159"/>
      <c r="G553" s="159"/>
      <c r="H553" s="159"/>
      <c r="I553" s="159"/>
      <c r="J553" s="224"/>
      <c r="K553" s="159"/>
      <c r="L553" s="159"/>
      <c r="M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c r="AR553" s="159"/>
      <c r="AS553" s="159"/>
      <c r="AT553" s="159"/>
      <c r="AU553" s="159"/>
      <c r="AV553" s="159"/>
      <c r="AW553" s="159"/>
      <c r="AX553" s="159"/>
      <c r="AY553" s="159"/>
      <c r="AZ553" s="159"/>
      <c r="BA553" s="159"/>
    </row>
    <row r="554" spans="2:53" ht="17.399999999999999" customHeight="1">
      <c r="B554" s="159"/>
      <c r="C554" s="159"/>
      <c r="D554" s="159"/>
      <c r="E554" s="159"/>
      <c r="F554" s="159"/>
      <c r="G554" s="159"/>
      <c r="H554" s="159"/>
      <c r="I554" s="159"/>
      <c r="J554" s="224"/>
      <c r="K554" s="159"/>
      <c r="L554" s="159"/>
      <c r="M554" s="159"/>
      <c r="O554" s="159"/>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c r="AR554" s="159"/>
      <c r="AS554" s="159"/>
      <c r="AT554" s="159"/>
      <c r="AU554" s="159"/>
      <c r="AV554" s="159"/>
      <c r="AW554" s="159"/>
      <c r="AX554" s="159"/>
      <c r="AY554" s="159"/>
      <c r="AZ554" s="159"/>
      <c r="BA554" s="159"/>
    </row>
    <row r="555" spans="2:53" ht="17.399999999999999" customHeight="1">
      <c r="B555" s="159"/>
      <c r="C555" s="159"/>
      <c r="D555" s="159"/>
      <c r="E555" s="159"/>
      <c r="F555" s="159"/>
      <c r="G555" s="159"/>
      <c r="H555" s="159"/>
      <c r="I555" s="159"/>
      <c r="J555" s="224"/>
      <c r="K555" s="159"/>
      <c r="L555" s="159"/>
      <c r="M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c r="AR555" s="159"/>
      <c r="AS555" s="159"/>
      <c r="AT555" s="159"/>
      <c r="AU555" s="159"/>
      <c r="AV555" s="159"/>
      <c r="AW555" s="159"/>
      <c r="AX555" s="159"/>
      <c r="AY555" s="159"/>
      <c r="AZ555" s="159"/>
      <c r="BA555" s="159"/>
    </row>
    <row r="556" spans="2:53" ht="17.399999999999999" customHeight="1">
      <c r="B556" s="159"/>
      <c r="C556" s="159"/>
      <c r="D556" s="159"/>
      <c r="E556" s="159"/>
      <c r="F556" s="159"/>
      <c r="G556" s="159"/>
      <c r="H556" s="159"/>
      <c r="I556" s="159"/>
      <c r="J556" s="224"/>
      <c r="K556" s="159"/>
      <c r="L556" s="159"/>
      <c r="M556" s="159"/>
      <c r="O556" s="159"/>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c r="AR556" s="159"/>
      <c r="AS556" s="159"/>
      <c r="AT556" s="159"/>
      <c r="AU556" s="159"/>
      <c r="AV556" s="159"/>
      <c r="AW556" s="159"/>
      <c r="AX556" s="159"/>
      <c r="AY556" s="159"/>
      <c r="AZ556" s="159"/>
      <c r="BA556" s="159"/>
    </row>
    <row r="557" spans="2:53" ht="17.399999999999999" customHeight="1">
      <c r="B557" s="159"/>
      <c r="C557" s="159"/>
      <c r="D557" s="159"/>
      <c r="E557" s="159"/>
      <c r="F557" s="159"/>
      <c r="G557" s="159"/>
      <c r="H557" s="159"/>
      <c r="I557" s="159"/>
      <c r="J557" s="224"/>
      <c r="K557" s="159"/>
      <c r="L557" s="159"/>
      <c r="M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c r="AT557" s="159"/>
      <c r="AU557" s="159"/>
      <c r="AV557" s="159"/>
      <c r="AW557" s="159"/>
      <c r="AX557" s="159"/>
      <c r="AY557" s="159"/>
      <c r="AZ557" s="159"/>
      <c r="BA557" s="159"/>
    </row>
    <row r="558" spans="2:53" ht="17.399999999999999" customHeight="1">
      <c r="B558" s="159"/>
      <c r="C558" s="159"/>
      <c r="D558" s="159"/>
      <c r="E558" s="159"/>
      <c r="F558" s="159"/>
      <c r="G558" s="159"/>
      <c r="H558" s="159"/>
      <c r="I558" s="159"/>
      <c r="J558" s="224"/>
      <c r="K558" s="159"/>
      <c r="L558" s="159"/>
      <c r="M558" s="159"/>
      <c r="O558" s="159"/>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c r="AR558" s="159"/>
      <c r="AS558" s="159"/>
      <c r="AT558" s="159"/>
      <c r="AU558" s="159"/>
      <c r="AV558" s="159"/>
      <c r="AW558" s="159"/>
      <c r="AX558" s="159"/>
      <c r="AY558" s="159"/>
      <c r="AZ558" s="159"/>
      <c r="BA558" s="159"/>
    </row>
    <row r="559" spans="2:53" ht="17.399999999999999" customHeight="1">
      <c r="B559" s="159"/>
      <c r="C559" s="159"/>
      <c r="D559" s="159"/>
      <c r="E559" s="159"/>
      <c r="F559" s="159"/>
      <c r="G559" s="159"/>
      <c r="H559" s="159"/>
      <c r="I559" s="159"/>
      <c r="J559" s="224"/>
      <c r="K559" s="159"/>
      <c r="L559" s="159"/>
      <c r="M559" s="159"/>
      <c r="O559" s="159"/>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c r="AR559" s="159"/>
      <c r="AS559" s="159"/>
      <c r="AT559" s="159"/>
      <c r="AU559" s="159"/>
      <c r="AV559" s="159"/>
      <c r="AW559" s="159"/>
      <c r="AX559" s="159"/>
      <c r="AY559" s="159"/>
      <c r="AZ559" s="159"/>
      <c r="BA559" s="159"/>
    </row>
    <row r="560" spans="2:53" ht="17.399999999999999" customHeight="1">
      <c r="B560" s="159"/>
      <c r="C560" s="159"/>
      <c r="D560" s="159"/>
      <c r="E560" s="159"/>
      <c r="F560" s="159"/>
      <c r="G560" s="159"/>
      <c r="H560" s="159"/>
      <c r="I560" s="159"/>
      <c r="J560" s="224"/>
      <c r="K560" s="159"/>
      <c r="L560" s="159"/>
      <c r="M560" s="159"/>
      <c r="O560" s="159"/>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c r="AR560" s="159"/>
      <c r="AS560" s="159"/>
      <c r="AT560" s="159"/>
      <c r="AU560" s="159"/>
      <c r="AV560" s="159"/>
      <c r="AW560" s="159"/>
      <c r="AX560" s="159"/>
      <c r="AY560" s="159"/>
      <c r="AZ560" s="159"/>
      <c r="BA560" s="159"/>
    </row>
    <row r="561" spans="2:53" ht="17.399999999999999" customHeight="1">
      <c r="B561" s="159"/>
      <c r="C561" s="159"/>
      <c r="D561" s="159"/>
      <c r="E561" s="159"/>
      <c r="F561" s="159"/>
      <c r="G561" s="159"/>
      <c r="H561" s="159"/>
      <c r="I561" s="159"/>
      <c r="J561" s="224"/>
      <c r="K561" s="159"/>
      <c r="L561" s="159"/>
      <c r="M561" s="159"/>
      <c r="O561" s="159"/>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c r="AR561" s="159"/>
      <c r="AS561" s="159"/>
      <c r="AT561" s="159"/>
      <c r="AU561" s="159"/>
      <c r="AV561" s="159"/>
      <c r="AW561" s="159"/>
      <c r="AX561" s="159"/>
      <c r="AY561" s="159"/>
      <c r="AZ561" s="159"/>
      <c r="BA561" s="159"/>
    </row>
    <row r="562" spans="2:53" ht="17.399999999999999" customHeight="1">
      <c r="B562" s="159"/>
      <c r="C562" s="159"/>
      <c r="D562" s="159"/>
      <c r="E562" s="159"/>
      <c r="F562" s="159"/>
      <c r="G562" s="159"/>
      <c r="H562" s="159"/>
      <c r="I562" s="159"/>
      <c r="J562" s="224"/>
      <c r="K562" s="159"/>
      <c r="L562" s="159"/>
      <c r="M562" s="159"/>
      <c r="O562" s="159"/>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c r="AR562" s="159"/>
      <c r="AS562" s="159"/>
      <c r="AT562" s="159"/>
      <c r="AU562" s="159"/>
      <c r="AV562" s="159"/>
      <c r="AW562" s="159"/>
      <c r="AX562" s="159"/>
      <c r="AY562" s="159"/>
      <c r="AZ562" s="159"/>
      <c r="BA562" s="159"/>
    </row>
    <row r="563" spans="2:53" ht="17.399999999999999" customHeight="1">
      <c r="B563" s="159"/>
      <c r="C563" s="159"/>
      <c r="D563" s="159"/>
      <c r="E563" s="159"/>
      <c r="F563" s="159"/>
      <c r="G563" s="159"/>
      <c r="H563" s="159"/>
      <c r="I563" s="159"/>
      <c r="J563" s="224"/>
      <c r="K563" s="159"/>
      <c r="L563" s="159"/>
      <c r="M563" s="159"/>
      <c r="O563" s="159"/>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c r="AR563" s="159"/>
      <c r="AS563" s="159"/>
      <c r="AT563" s="159"/>
      <c r="AU563" s="159"/>
      <c r="AV563" s="159"/>
      <c r="AW563" s="159"/>
      <c r="AX563" s="159"/>
      <c r="AY563" s="159"/>
      <c r="AZ563" s="159"/>
      <c r="BA563" s="159"/>
    </row>
    <row r="564" spans="2:53" ht="17.399999999999999" customHeight="1">
      <c r="B564" s="159"/>
      <c r="C564" s="159"/>
      <c r="D564" s="159"/>
      <c r="E564" s="159"/>
      <c r="F564" s="159"/>
      <c r="G564" s="159"/>
      <c r="H564" s="159"/>
      <c r="I564" s="159"/>
      <c r="J564" s="224"/>
      <c r="K564" s="159"/>
      <c r="L564" s="159"/>
      <c r="M564" s="159"/>
      <c r="O564" s="159"/>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c r="AR564" s="159"/>
      <c r="AS564" s="159"/>
      <c r="AT564" s="159"/>
      <c r="AU564" s="159"/>
      <c r="AV564" s="159"/>
      <c r="AW564" s="159"/>
      <c r="AX564" s="159"/>
      <c r="AY564" s="159"/>
      <c r="AZ564" s="159"/>
      <c r="BA564" s="159"/>
    </row>
    <row r="565" spans="2:53" ht="17.399999999999999" customHeight="1">
      <c r="B565" s="159"/>
      <c r="C565" s="159"/>
      <c r="D565" s="159"/>
      <c r="E565" s="159"/>
      <c r="F565" s="159"/>
      <c r="G565" s="159"/>
      <c r="H565" s="159"/>
      <c r="I565" s="159"/>
      <c r="J565" s="224"/>
      <c r="K565" s="159"/>
      <c r="L565" s="159"/>
      <c r="M565" s="159"/>
      <c r="O565" s="159"/>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c r="AP565" s="159"/>
      <c r="AQ565" s="159"/>
      <c r="AR565" s="159"/>
      <c r="AS565" s="159"/>
      <c r="AT565" s="159"/>
      <c r="AU565" s="159"/>
      <c r="AV565" s="159"/>
      <c r="AW565" s="159"/>
      <c r="AX565" s="159"/>
      <c r="AY565" s="159"/>
      <c r="AZ565" s="159"/>
      <c r="BA565" s="159"/>
    </row>
    <row r="566" spans="2:53" ht="17.399999999999999" customHeight="1">
      <c r="B566" s="159"/>
      <c r="C566" s="159"/>
      <c r="D566" s="159"/>
      <c r="E566" s="159"/>
      <c r="F566" s="159"/>
      <c r="G566" s="159"/>
      <c r="H566" s="159"/>
      <c r="I566" s="159"/>
      <c r="J566" s="224"/>
      <c r="K566" s="159"/>
      <c r="L566" s="159"/>
      <c r="M566" s="159"/>
      <c r="O566" s="159"/>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c r="AR566" s="159"/>
      <c r="AS566" s="159"/>
      <c r="AT566" s="159"/>
      <c r="AU566" s="159"/>
      <c r="AV566" s="159"/>
      <c r="AW566" s="159"/>
      <c r="AX566" s="159"/>
      <c r="AY566" s="159"/>
      <c r="AZ566" s="159"/>
      <c r="BA566" s="159"/>
    </row>
    <row r="567" spans="2:53" ht="17.399999999999999" customHeight="1">
      <c r="B567" s="159"/>
      <c r="C567" s="159"/>
      <c r="D567" s="159"/>
      <c r="E567" s="159"/>
      <c r="F567" s="159"/>
      <c r="G567" s="159"/>
      <c r="H567" s="159"/>
      <c r="I567" s="159"/>
      <c r="J567" s="224"/>
      <c r="K567" s="159"/>
      <c r="L567" s="159"/>
      <c r="M567" s="159"/>
      <c r="O567" s="159"/>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c r="AR567" s="159"/>
      <c r="AS567" s="159"/>
      <c r="AT567" s="159"/>
      <c r="AU567" s="159"/>
      <c r="AV567" s="159"/>
      <c r="AW567" s="159"/>
      <c r="AX567" s="159"/>
      <c r="AY567" s="159"/>
      <c r="AZ567" s="159"/>
      <c r="BA567" s="159"/>
    </row>
    <row r="568" spans="2:53" ht="17.399999999999999" customHeight="1">
      <c r="B568" s="159"/>
      <c r="C568" s="159"/>
      <c r="D568" s="159"/>
      <c r="E568" s="159"/>
      <c r="F568" s="159"/>
      <c r="G568" s="159"/>
      <c r="H568" s="159"/>
      <c r="I568" s="159"/>
      <c r="J568" s="224"/>
      <c r="K568" s="159"/>
      <c r="L568" s="159"/>
      <c r="M568" s="159"/>
      <c r="O568" s="159"/>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c r="AR568" s="159"/>
      <c r="AS568" s="159"/>
      <c r="AT568" s="159"/>
      <c r="AU568" s="159"/>
      <c r="AV568" s="159"/>
      <c r="AW568" s="159"/>
      <c r="AX568" s="159"/>
      <c r="AY568" s="159"/>
      <c r="AZ568" s="159"/>
      <c r="BA568" s="159"/>
    </row>
    <row r="569" spans="2:53" ht="17.399999999999999" customHeight="1">
      <c r="B569" s="159"/>
      <c r="C569" s="159"/>
      <c r="D569" s="159"/>
      <c r="E569" s="159"/>
      <c r="F569" s="159"/>
      <c r="G569" s="159"/>
      <c r="H569" s="159"/>
      <c r="I569" s="159"/>
      <c r="J569" s="224"/>
      <c r="K569" s="159"/>
      <c r="L569" s="159"/>
      <c r="M569" s="159"/>
      <c r="O569" s="159"/>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c r="AR569" s="159"/>
      <c r="AS569" s="159"/>
      <c r="AT569" s="159"/>
      <c r="AU569" s="159"/>
      <c r="AV569" s="159"/>
      <c r="AW569" s="159"/>
      <c r="AX569" s="159"/>
      <c r="AY569" s="159"/>
      <c r="AZ569" s="159"/>
      <c r="BA569" s="159"/>
    </row>
    <row r="570" spans="2:53" ht="17.399999999999999" customHeight="1">
      <c r="B570" s="159"/>
      <c r="C570" s="159"/>
      <c r="D570" s="159"/>
      <c r="E570" s="159"/>
      <c r="F570" s="159"/>
      <c r="G570" s="159"/>
      <c r="H570" s="159"/>
      <c r="I570" s="159"/>
      <c r="J570" s="224"/>
      <c r="K570" s="159"/>
      <c r="L570" s="159"/>
      <c r="M570" s="159"/>
      <c r="O570" s="159"/>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c r="AR570" s="159"/>
      <c r="AS570" s="159"/>
      <c r="AT570" s="159"/>
      <c r="AU570" s="159"/>
      <c r="AV570" s="159"/>
      <c r="AW570" s="159"/>
      <c r="AX570" s="159"/>
      <c r="AY570" s="159"/>
      <c r="AZ570" s="159"/>
      <c r="BA570" s="159"/>
    </row>
    <row r="571" spans="2:53" ht="17.399999999999999" customHeight="1">
      <c r="B571" s="159"/>
      <c r="C571" s="159"/>
      <c r="D571" s="159"/>
      <c r="E571" s="159"/>
      <c r="F571" s="159"/>
      <c r="G571" s="159"/>
      <c r="H571" s="159"/>
      <c r="I571" s="159"/>
      <c r="J571" s="224"/>
      <c r="K571" s="159"/>
      <c r="L571" s="159"/>
      <c r="M571" s="159"/>
      <c r="O571" s="159"/>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c r="AR571" s="159"/>
      <c r="AS571" s="159"/>
      <c r="AT571" s="159"/>
      <c r="AU571" s="159"/>
      <c r="AV571" s="159"/>
      <c r="AW571" s="159"/>
      <c r="AX571" s="159"/>
      <c r="AY571" s="159"/>
      <c r="AZ571" s="159"/>
      <c r="BA571" s="159"/>
    </row>
    <row r="572" spans="2:53" ht="17.399999999999999" customHeight="1">
      <c r="B572" s="159"/>
      <c r="C572" s="159"/>
      <c r="D572" s="159"/>
      <c r="E572" s="159"/>
      <c r="F572" s="159"/>
      <c r="G572" s="159"/>
      <c r="H572" s="159"/>
      <c r="I572" s="159"/>
      <c r="J572" s="224"/>
      <c r="K572" s="159"/>
      <c r="L572" s="159"/>
      <c r="M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c r="AR572" s="159"/>
      <c r="AS572" s="159"/>
      <c r="AT572" s="159"/>
      <c r="AU572" s="159"/>
      <c r="AV572" s="159"/>
      <c r="AW572" s="159"/>
      <c r="AX572" s="159"/>
      <c r="AY572" s="159"/>
      <c r="AZ572" s="159"/>
      <c r="BA572" s="159"/>
    </row>
    <row r="573" spans="2:53" ht="17.399999999999999" customHeight="1">
      <c r="B573" s="159"/>
      <c r="C573" s="159"/>
      <c r="D573" s="159"/>
      <c r="E573" s="159"/>
      <c r="F573" s="159"/>
      <c r="G573" s="159"/>
      <c r="H573" s="159"/>
      <c r="I573" s="159"/>
      <c r="J573" s="224"/>
      <c r="K573" s="159"/>
      <c r="L573" s="159"/>
      <c r="M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c r="AR573" s="159"/>
      <c r="AS573" s="159"/>
      <c r="AT573" s="159"/>
      <c r="AU573" s="159"/>
      <c r="AV573" s="159"/>
      <c r="AW573" s="159"/>
      <c r="AX573" s="159"/>
      <c r="AY573" s="159"/>
      <c r="AZ573" s="159"/>
      <c r="BA573" s="159"/>
    </row>
    <row r="574" spans="2:53" ht="17.399999999999999" customHeight="1">
      <c r="B574" s="159"/>
      <c r="C574" s="159"/>
      <c r="D574" s="159"/>
      <c r="E574" s="159"/>
      <c r="F574" s="159"/>
      <c r="G574" s="159"/>
      <c r="H574" s="159"/>
      <c r="I574" s="159"/>
      <c r="J574" s="224"/>
      <c r="K574" s="159"/>
      <c r="L574" s="159"/>
      <c r="M574" s="159"/>
      <c r="O574" s="159"/>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c r="AR574" s="159"/>
      <c r="AS574" s="159"/>
      <c r="AT574" s="159"/>
      <c r="AU574" s="159"/>
      <c r="AV574" s="159"/>
      <c r="AW574" s="159"/>
      <c r="AX574" s="159"/>
      <c r="AY574" s="159"/>
      <c r="AZ574" s="159"/>
      <c r="BA574" s="159"/>
    </row>
    <row r="575" spans="2:53" ht="17.399999999999999" customHeight="1">
      <c r="B575" s="159"/>
      <c r="C575" s="159"/>
      <c r="D575" s="159"/>
      <c r="E575" s="159"/>
      <c r="F575" s="159"/>
      <c r="G575" s="159"/>
      <c r="H575" s="159"/>
      <c r="I575" s="159"/>
      <c r="J575" s="224"/>
      <c r="K575" s="159"/>
      <c r="L575" s="159"/>
      <c r="M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c r="AR575" s="159"/>
      <c r="AS575" s="159"/>
      <c r="AT575" s="159"/>
      <c r="AU575" s="159"/>
      <c r="AV575" s="159"/>
      <c r="AW575" s="159"/>
      <c r="AX575" s="159"/>
      <c r="AY575" s="159"/>
      <c r="AZ575" s="159"/>
      <c r="BA575" s="159"/>
    </row>
    <row r="576" spans="2:53" ht="17.399999999999999" customHeight="1">
      <c r="B576" s="159"/>
      <c r="C576" s="159"/>
      <c r="D576" s="159"/>
      <c r="E576" s="159"/>
      <c r="F576" s="159"/>
      <c r="G576" s="159"/>
      <c r="H576" s="159"/>
      <c r="I576" s="159"/>
      <c r="J576" s="224"/>
      <c r="K576" s="159"/>
      <c r="L576" s="159"/>
      <c r="M576" s="159"/>
      <c r="O576" s="159"/>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c r="AR576" s="159"/>
      <c r="AS576" s="159"/>
      <c r="AT576" s="159"/>
      <c r="AU576" s="159"/>
      <c r="AV576" s="159"/>
      <c r="AW576" s="159"/>
      <c r="AX576" s="159"/>
      <c r="AY576" s="159"/>
      <c r="AZ576" s="159"/>
      <c r="BA576" s="159"/>
    </row>
    <row r="577" spans="2:53" ht="17.399999999999999" customHeight="1">
      <c r="B577" s="159"/>
      <c r="C577" s="159"/>
      <c r="D577" s="159"/>
      <c r="E577" s="159"/>
      <c r="F577" s="159"/>
      <c r="G577" s="159"/>
      <c r="H577" s="159"/>
      <c r="I577" s="159"/>
      <c r="J577" s="224"/>
      <c r="K577" s="159"/>
      <c r="L577" s="159"/>
      <c r="M577" s="159"/>
      <c r="O577" s="159"/>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c r="AR577" s="159"/>
      <c r="AS577" s="159"/>
      <c r="AT577" s="159"/>
      <c r="AU577" s="159"/>
      <c r="AV577" s="159"/>
      <c r="AW577" s="159"/>
      <c r="AX577" s="159"/>
      <c r="AY577" s="159"/>
      <c r="AZ577" s="159"/>
      <c r="BA577" s="159"/>
    </row>
    <row r="578" spans="2:53" ht="17.399999999999999" customHeight="1">
      <c r="B578" s="159"/>
      <c r="C578" s="159"/>
      <c r="D578" s="159"/>
      <c r="E578" s="159"/>
      <c r="F578" s="159"/>
      <c r="G578" s="159"/>
      <c r="H578" s="159"/>
      <c r="I578" s="159"/>
      <c r="J578" s="224"/>
      <c r="K578" s="159"/>
      <c r="L578" s="159"/>
      <c r="M578" s="159"/>
      <c r="O578" s="159"/>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c r="AP578" s="159"/>
      <c r="AQ578" s="159"/>
      <c r="AR578" s="159"/>
      <c r="AS578" s="159"/>
      <c r="AT578" s="159"/>
      <c r="AU578" s="159"/>
      <c r="AV578" s="159"/>
      <c r="AW578" s="159"/>
      <c r="AX578" s="159"/>
      <c r="AY578" s="159"/>
      <c r="AZ578" s="159"/>
      <c r="BA578" s="159"/>
    </row>
    <row r="579" spans="2:53" ht="17.399999999999999" customHeight="1">
      <c r="B579" s="159"/>
      <c r="C579" s="159"/>
      <c r="D579" s="159"/>
      <c r="E579" s="159"/>
      <c r="F579" s="159"/>
      <c r="G579" s="159"/>
      <c r="H579" s="159"/>
      <c r="I579" s="159"/>
      <c r="J579" s="224"/>
      <c r="K579" s="159"/>
      <c r="L579" s="159"/>
      <c r="M579" s="159"/>
      <c r="O579" s="159"/>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c r="AR579" s="159"/>
      <c r="AS579" s="159"/>
      <c r="AT579" s="159"/>
      <c r="AU579" s="159"/>
      <c r="AV579" s="159"/>
      <c r="AW579" s="159"/>
      <c r="AX579" s="159"/>
      <c r="AY579" s="159"/>
      <c r="AZ579" s="159"/>
      <c r="BA579" s="159"/>
    </row>
    <row r="580" spans="2:53" ht="17.399999999999999" customHeight="1">
      <c r="B580" s="159"/>
      <c r="C580" s="159"/>
      <c r="D580" s="159"/>
      <c r="E580" s="159"/>
      <c r="F580" s="159"/>
      <c r="G580" s="159"/>
      <c r="H580" s="159"/>
      <c r="I580" s="159"/>
      <c r="J580" s="224"/>
      <c r="K580" s="159"/>
      <c r="L580" s="159"/>
      <c r="M580" s="159"/>
      <c r="O580" s="159"/>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c r="AR580" s="159"/>
      <c r="AS580" s="159"/>
      <c r="AT580" s="159"/>
      <c r="AU580" s="159"/>
      <c r="AV580" s="159"/>
      <c r="AW580" s="159"/>
      <c r="AX580" s="159"/>
      <c r="AY580" s="159"/>
      <c r="AZ580" s="159"/>
      <c r="BA580" s="159"/>
    </row>
    <row r="581" spans="2:53" ht="17.399999999999999" customHeight="1">
      <c r="B581" s="159"/>
      <c r="C581" s="159"/>
      <c r="D581" s="159"/>
      <c r="E581" s="159"/>
      <c r="F581" s="159"/>
      <c r="G581" s="159"/>
      <c r="H581" s="159"/>
      <c r="I581" s="159"/>
      <c r="J581" s="224"/>
      <c r="K581" s="159"/>
      <c r="L581" s="159"/>
      <c r="M581" s="159"/>
      <c r="O581" s="159"/>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c r="AR581" s="159"/>
      <c r="AS581" s="159"/>
      <c r="AT581" s="159"/>
      <c r="AU581" s="159"/>
      <c r="AV581" s="159"/>
      <c r="AW581" s="159"/>
      <c r="AX581" s="159"/>
      <c r="AY581" s="159"/>
      <c r="AZ581" s="159"/>
      <c r="BA581" s="159"/>
    </row>
    <row r="582" spans="2:53" ht="17.399999999999999" customHeight="1">
      <c r="B582" s="159"/>
      <c r="C582" s="159"/>
      <c r="D582" s="159"/>
      <c r="E582" s="159"/>
      <c r="F582" s="159"/>
      <c r="G582" s="159"/>
      <c r="H582" s="159"/>
      <c r="I582" s="159"/>
      <c r="J582" s="224"/>
      <c r="K582" s="159"/>
      <c r="L582" s="159"/>
      <c r="M582" s="159"/>
      <c r="O582" s="159"/>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c r="AR582" s="159"/>
      <c r="AS582" s="159"/>
      <c r="AT582" s="159"/>
      <c r="AU582" s="159"/>
      <c r="AV582" s="159"/>
      <c r="AW582" s="159"/>
      <c r="AX582" s="159"/>
      <c r="AY582" s="159"/>
      <c r="AZ582" s="159"/>
      <c r="BA582" s="159"/>
    </row>
    <row r="583" spans="2:53" ht="17.399999999999999" customHeight="1">
      <c r="B583" s="159"/>
      <c r="C583" s="159"/>
      <c r="D583" s="159"/>
      <c r="E583" s="159"/>
      <c r="F583" s="159"/>
      <c r="G583" s="159"/>
      <c r="H583" s="159"/>
      <c r="I583" s="159"/>
      <c r="J583" s="224"/>
      <c r="K583" s="159"/>
      <c r="L583" s="159"/>
      <c r="M583" s="159"/>
      <c r="O583" s="159"/>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c r="AR583" s="159"/>
      <c r="AS583" s="159"/>
      <c r="AT583" s="159"/>
      <c r="AU583" s="159"/>
      <c r="AV583" s="159"/>
      <c r="AW583" s="159"/>
      <c r="AX583" s="159"/>
      <c r="AY583" s="159"/>
      <c r="AZ583" s="159"/>
      <c r="BA583" s="159"/>
    </row>
    <row r="584" spans="2:53" ht="17.399999999999999" customHeight="1">
      <c r="B584" s="159"/>
      <c r="C584" s="159"/>
      <c r="D584" s="159"/>
      <c r="E584" s="159"/>
      <c r="F584" s="159"/>
      <c r="G584" s="159"/>
      <c r="H584" s="159"/>
      <c r="I584" s="159"/>
      <c r="J584" s="224"/>
      <c r="K584" s="159"/>
      <c r="L584" s="159"/>
      <c r="M584" s="159"/>
      <c r="O584" s="159"/>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c r="AP584" s="159"/>
      <c r="AQ584" s="159"/>
      <c r="AR584" s="159"/>
      <c r="AS584" s="159"/>
      <c r="AT584" s="159"/>
      <c r="AU584" s="159"/>
      <c r="AV584" s="159"/>
      <c r="AW584" s="159"/>
      <c r="AX584" s="159"/>
      <c r="AY584" s="159"/>
      <c r="AZ584" s="159"/>
      <c r="BA584" s="159"/>
    </row>
    <row r="585" spans="2:53" ht="17.399999999999999" customHeight="1">
      <c r="B585" s="159"/>
      <c r="C585" s="159"/>
      <c r="D585" s="159"/>
      <c r="E585" s="159"/>
      <c r="F585" s="159"/>
      <c r="G585" s="159"/>
      <c r="H585" s="159"/>
      <c r="I585" s="159"/>
      <c r="J585" s="224"/>
      <c r="K585" s="159"/>
      <c r="L585" s="159"/>
      <c r="M585" s="159"/>
      <c r="O585" s="159"/>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c r="AR585" s="159"/>
      <c r="AS585" s="159"/>
      <c r="AT585" s="159"/>
      <c r="AU585" s="159"/>
      <c r="AV585" s="159"/>
      <c r="AW585" s="159"/>
      <c r="AX585" s="159"/>
      <c r="AY585" s="159"/>
      <c r="AZ585" s="159"/>
      <c r="BA585" s="159"/>
    </row>
    <row r="586" spans="2:53" ht="17.399999999999999" customHeight="1">
      <c r="B586" s="159"/>
      <c r="C586" s="159"/>
      <c r="D586" s="159"/>
      <c r="E586" s="159"/>
      <c r="F586" s="159"/>
      <c r="G586" s="159"/>
      <c r="H586" s="159"/>
      <c r="I586" s="159"/>
      <c r="J586" s="224"/>
      <c r="K586" s="159"/>
      <c r="L586" s="159"/>
      <c r="M586" s="159"/>
      <c r="O586" s="159"/>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c r="AR586" s="159"/>
      <c r="AS586" s="159"/>
      <c r="AT586" s="159"/>
      <c r="AU586" s="159"/>
      <c r="AV586" s="159"/>
      <c r="AW586" s="159"/>
      <c r="AX586" s="159"/>
      <c r="AY586" s="159"/>
      <c r="AZ586" s="159"/>
      <c r="BA586" s="159"/>
    </row>
    <row r="587" spans="2:53" ht="17.399999999999999" customHeight="1">
      <c r="B587" s="159"/>
      <c r="C587" s="159"/>
      <c r="D587" s="159"/>
      <c r="E587" s="159"/>
      <c r="F587" s="159"/>
      <c r="G587" s="159"/>
      <c r="H587" s="159"/>
      <c r="I587" s="159"/>
      <c r="J587" s="224"/>
      <c r="K587" s="159"/>
      <c r="L587" s="159"/>
      <c r="M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c r="AR587" s="159"/>
      <c r="AS587" s="159"/>
      <c r="AT587" s="159"/>
      <c r="AU587" s="159"/>
      <c r="AV587" s="159"/>
      <c r="AW587" s="159"/>
      <c r="AX587" s="159"/>
      <c r="AY587" s="159"/>
      <c r="AZ587" s="159"/>
      <c r="BA587" s="159"/>
    </row>
    <row r="588" spans="2:53" ht="17.399999999999999" customHeight="1">
      <c r="B588" s="159"/>
      <c r="C588" s="159"/>
      <c r="D588" s="159"/>
      <c r="E588" s="159"/>
      <c r="F588" s="159"/>
      <c r="G588" s="159"/>
      <c r="H588" s="159"/>
      <c r="I588" s="159"/>
      <c r="J588" s="224"/>
      <c r="K588" s="159"/>
      <c r="L588" s="159"/>
      <c r="M588" s="159"/>
      <c r="O588" s="159"/>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c r="AT588" s="159"/>
      <c r="AU588" s="159"/>
      <c r="AV588" s="159"/>
      <c r="AW588" s="159"/>
      <c r="AX588" s="159"/>
      <c r="AY588" s="159"/>
      <c r="AZ588" s="159"/>
      <c r="BA588" s="159"/>
    </row>
    <row r="589" spans="2:53" ht="17.399999999999999" customHeight="1">
      <c r="B589" s="159"/>
      <c r="C589" s="159"/>
      <c r="D589" s="159"/>
      <c r="E589" s="159"/>
      <c r="F589" s="159"/>
      <c r="G589" s="159"/>
      <c r="H589" s="159"/>
      <c r="I589" s="159"/>
      <c r="J589" s="224"/>
      <c r="K589" s="159"/>
      <c r="L589" s="159"/>
      <c r="M589" s="159"/>
      <c r="O589" s="159"/>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c r="AR589" s="159"/>
      <c r="AS589" s="159"/>
      <c r="AT589" s="159"/>
      <c r="AU589" s="159"/>
      <c r="AV589" s="159"/>
      <c r="AW589" s="159"/>
      <c r="AX589" s="159"/>
      <c r="AY589" s="159"/>
      <c r="AZ589" s="159"/>
      <c r="BA589" s="159"/>
    </row>
    <row r="590" spans="2:53" ht="17.399999999999999" customHeight="1">
      <c r="B590" s="159"/>
      <c r="C590" s="159"/>
      <c r="D590" s="159"/>
      <c r="E590" s="159"/>
      <c r="F590" s="159"/>
      <c r="G590" s="159"/>
      <c r="H590" s="159"/>
      <c r="I590" s="159"/>
      <c r="J590" s="224"/>
      <c r="K590" s="159"/>
      <c r="L590" s="159"/>
      <c r="M590" s="159"/>
      <c r="O590" s="159"/>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c r="AT590" s="159"/>
      <c r="AU590" s="159"/>
      <c r="AV590" s="159"/>
      <c r="AW590" s="159"/>
      <c r="AX590" s="159"/>
      <c r="AY590" s="159"/>
      <c r="AZ590" s="159"/>
      <c r="BA590" s="159"/>
    </row>
    <row r="591" spans="2:53" ht="17.399999999999999" customHeight="1">
      <c r="B591" s="159"/>
      <c r="C591" s="159"/>
      <c r="D591" s="159"/>
      <c r="E591" s="159"/>
      <c r="F591" s="159"/>
      <c r="G591" s="159"/>
      <c r="H591" s="159"/>
      <c r="I591" s="159"/>
      <c r="J591" s="224"/>
      <c r="K591" s="159"/>
      <c r="L591" s="159"/>
      <c r="M591" s="159"/>
      <c r="O591" s="159"/>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c r="AP591" s="159"/>
      <c r="AQ591" s="159"/>
      <c r="AR591" s="159"/>
      <c r="AS591" s="159"/>
      <c r="AT591" s="159"/>
      <c r="AU591" s="159"/>
      <c r="AV591" s="159"/>
      <c r="AW591" s="159"/>
      <c r="AX591" s="159"/>
      <c r="AY591" s="159"/>
      <c r="AZ591" s="159"/>
      <c r="BA591" s="159"/>
    </row>
    <row r="592" spans="2:53" ht="17.399999999999999" customHeight="1">
      <c r="B592" s="159"/>
      <c r="C592" s="159"/>
      <c r="D592" s="159"/>
      <c r="E592" s="159"/>
      <c r="F592" s="159"/>
      <c r="G592" s="159"/>
      <c r="H592" s="159"/>
      <c r="I592" s="159"/>
      <c r="J592" s="224"/>
      <c r="K592" s="159"/>
      <c r="L592" s="159"/>
      <c r="M592" s="159"/>
      <c r="O592" s="159"/>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c r="AP592" s="159"/>
      <c r="AQ592" s="159"/>
      <c r="AR592" s="159"/>
      <c r="AS592" s="159"/>
      <c r="AT592" s="159"/>
      <c r="AU592" s="159"/>
      <c r="AV592" s="159"/>
      <c r="AW592" s="159"/>
      <c r="AX592" s="159"/>
      <c r="AY592" s="159"/>
      <c r="AZ592" s="159"/>
      <c r="BA592" s="159"/>
    </row>
    <row r="593" spans="2:53" ht="17.399999999999999" customHeight="1">
      <c r="B593" s="159"/>
      <c r="C593" s="159"/>
      <c r="D593" s="159"/>
      <c r="E593" s="159"/>
      <c r="F593" s="159"/>
      <c r="G593" s="159"/>
      <c r="H593" s="159"/>
      <c r="I593" s="159"/>
      <c r="J593" s="224"/>
      <c r="K593" s="159"/>
      <c r="L593" s="159"/>
      <c r="M593" s="159"/>
      <c r="O593" s="159"/>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c r="AP593" s="159"/>
      <c r="AQ593" s="159"/>
      <c r="AR593" s="159"/>
      <c r="AS593" s="159"/>
      <c r="AT593" s="159"/>
      <c r="AU593" s="159"/>
      <c r="AV593" s="159"/>
      <c r="AW593" s="159"/>
      <c r="AX593" s="159"/>
      <c r="AY593" s="159"/>
      <c r="AZ593" s="159"/>
      <c r="BA593" s="159"/>
    </row>
    <row r="594" spans="2:53" ht="17.399999999999999" customHeight="1">
      <c r="B594" s="159"/>
      <c r="C594" s="159"/>
      <c r="D594" s="159"/>
      <c r="E594" s="159"/>
      <c r="F594" s="159"/>
      <c r="G594" s="159"/>
      <c r="H594" s="159"/>
      <c r="I594" s="159"/>
      <c r="J594" s="224"/>
      <c r="K594" s="159"/>
      <c r="L594" s="159"/>
      <c r="M594" s="159"/>
      <c r="O594" s="159"/>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c r="AR594" s="159"/>
      <c r="AS594" s="159"/>
      <c r="AT594" s="159"/>
      <c r="AU594" s="159"/>
      <c r="AV594" s="159"/>
      <c r="AW594" s="159"/>
      <c r="AX594" s="159"/>
      <c r="AY594" s="159"/>
      <c r="AZ594" s="159"/>
      <c r="BA594" s="159"/>
    </row>
    <row r="595" spans="2:53" ht="17.399999999999999" customHeight="1">
      <c r="B595" s="159"/>
      <c r="C595" s="159"/>
      <c r="D595" s="159"/>
      <c r="E595" s="159"/>
      <c r="F595" s="159"/>
      <c r="G595" s="159"/>
      <c r="H595" s="159"/>
      <c r="I595" s="159"/>
      <c r="J595" s="224"/>
      <c r="K595" s="159"/>
      <c r="L595" s="159"/>
      <c r="M595" s="159"/>
      <c r="O595" s="159"/>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c r="AP595" s="159"/>
      <c r="AQ595" s="159"/>
      <c r="AR595" s="159"/>
      <c r="AS595" s="159"/>
      <c r="AT595" s="159"/>
      <c r="AU595" s="159"/>
      <c r="AV595" s="159"/>
      <c r="AW595" s="159"/>
      <c r="AX595" s="159"/>
      <c r="AY595" s="159"/>
      <c r="AZ595" s="159"/>
      <c r="BA595" s="159"/>
    </row>
    <row r="596" spans="2:53" ht="17.399999999999999" customHeight="1">
      <c r="B596" s="159"/>
      <c r="C596" s="159"/>
      <c r="D596" s="159"/>
      <c r="E596" s="159"/>
      <c r="F596" s="159"/>
      <c r="G596" s="159"/>
      <c r="H596" s="159"/>
      <c r="I596" s="159"/>
      <c r="J596" s="224"/>
      <c r="K596" s="159"/>
      <c r="L596" s="159"/>
      <c r="M596" s="159"/>
      <c r="O596" s="159"/>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c r="AP596" s="159"/>
      <c r="AQ596" s="159"/>
      <c r="AR596" s="159"/>
      <c r="AS596" s="159"/>
      <c r="AT596" s="159"/>
      <c r="AU596" s="159"/>
      <c r="AV596" s="159"/>
      <c r="AW596" s="159"/>
      <c r="AX596" s="159"/>
      <c r="AY596" s="159"/>
      <c r="AZ596" s="159"/>
      <c r="BA596" s="159"/>
    </row>
    <row r="597" spans="2:53" ht="17.399999999999999" customHeight="1">
      <c r="B597" s="159"/>
      <c r="C597" s="159"/>
      <c r="D597" s="159"/>
      <c r="E597" s="159"/>
      <c r="F597" s="159"/>
      <c r="G597" s="159"/>
      <c r="H597" s="159"/>
      <c r="I597" s="159"/>
      <c r="J597" s="224"/>
      <c r="K597" s="159"/>
      <c r="L597" s="159"/>
      <c r="M597" s="159"/>
      <c r="O597" s="159"/>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c r="AP597" s="159"/>
      <c r="AQ597" s="159"/>
      <c r="AR597" s="159"/>
      <c r="AS597" s="159"/>
      <c r="AT597" s="159"/>
      <c r="AU597" s="159"/>
      <c r="AV597" s="159"/>
      <c r="AW597" s="159"/>
      <c r="AX597" s="159"/>
      <c r="AY597" s="159"/>
      <c r="AZ597" s="159"/>
      <c r="BA597" s="159"/>
    </row>
    <row r="598" spans="2:53" ht="17.399999999999999" customHeight="1">
      <c r="B598" s="159"/>
      <c r="C598" s="159"/>
      <c r="D598" s="159"/>
      <c r="E598" s="159"/>
      <c r="F598" s="159"/>
      <c r="G598" s="159"/>
      <c r="H598" s="159"/>
      <c r="I598" s="159"/>
      <c r="J598" s="224"/>
      <c r="K598" s="159"/>
      <c r="L598" s="159"/>
      <c r="M598" s="159"/>
      <c r="O598" s="159"/>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c r="AQ598" s="159"/>
      <c r="AR598" s="159"/>
      <c r="AS598" s="159"/>
      <c r="AT598" s="159"/>
      <c r="AU598" s="159"/>
      <c r="AV598" s="159"/>
      <c r="AW598" s="159"/>
      <c r="AX598" s="159"/>
      <c r="AY598" s="159"/>
      <c r="AZ598" s="159"/>
      <c r="BA598" s="159"/>
    </row>
    <row r="599" spans="2:53" ht="17.399999999999999" customHeight="1">
      <c r="B599" s="159"/>
      <c r="C599" s="159"/>
      <c r="D599" s="159"/>
      <c r="E599" s="159"/>
      <c r="F599" s="159"/>
      <c r="G599" s="159"/>
      <c r="H599" s="159"/>
      <c r="I599" s="159"/>
      <c r="J599" s="224"/>
      <c r="K599" s="159"/>
      <c r="L599" s="159"/>
      <c r="M599" s="159"/>
      <c r="O599" s="159"/>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c r="AP599" s="159"/>
      <c r="AQ599" s="159"/>
      <c r="AR599" s="159"/>
      <c r="AS599" s="159"/>
      <c r="AT599" s="159"/>
      <c r="AU599" s="159"/>
      <c r="AV599" s="159"/>
      <c r="AW599" s="159"/>
      <c r="AX599" s="159"/>
      <c r="AY599" s="159"/>
      <c r="AZ599" s="159"/>
      <c r="BA599" s="159"/>
    </row>
    <row r="600" spans="2:53" ht="17.399999999999999" customHeight="1">
      <c r="B600" s="159"/>
      <c r="C600" s="159"/>
      <c r="D600" s="159"/>
      <c r="E600" s="159"/>
      <c r="F600" s="159"/>
      <c r="G600" s="159"/>
      <c r="H600" s="159"/>
      <c r="I600" s="159"/>
      <c r="J600" s="224"/>
      <c r="K600" s="159"/>
      <c r="L600" s="159"/>
      <c r="M600" s="159"/>
      <c r="O600" s="159"/>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c r="AP600" s="159"/>
      <c r="AQ600" s="159"/>
      <c r="AR600" s="159"/>
      <c r="AS600" s="159"/>
      <c r="AT600" s="159"/>
      <c r="AU600" s="159"/>
      <c r="AV600" s="159"/>
      <c r="AW600" s="159"/>
      <c r="AX600" s="159"/>
      <c r="AY600" s="159"/>
      <c r="AZ600" s="159"/>
      <c r="BA600" s="159"/>
    </row>
    <row r="601" spans="2:53" ht="17.399999999999999" customHeight="1">
      <c r="B601" s="159"/>
      <c r="C601" s="159"/>
      <c r="D601" s="159"/>
      <c r="E601" s="159"/>
      <c r="F601" s="159"/>
      <c r="G601" s="159"/>
      <c r="H601" s="159"/>
      <c r="I601" s="159"/>
      <c r="J601" s="224"/>
      <c r="K601" s="159"/>
      <c r="L601" s="159"/>
      <c r="M601" s="159"/>
      <c r="O601" s="159"/>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c r="AP601" s="159"/>
      <c r="AQ601" s="159"/>
      <c r="AR601" s="159"/>
      <c r="AS601" s="159"/>
      <c r="AT601" s="159"/>
      <c r="AU601" s="159"/>
      <c r="AV601" s="159"/>
      <c r="AW601" s="159"/>
      <c r="AX601" s="159"/>
      <c r="AY601" s="159"/>
      <c r="AZ601" s="159"/>
      <c r="BA601" s="159"/>
    </row>
    <row r="602" spans="2:53" ht="17.399999999999999" customHeight="1">
      <c r="B602" s="159"/>
      <c r="C602" s="159"/>
      <c r="D602" s="159"/>
      <c r="E602" s="159"/>
      <c r="F602" s="159"/>
      <c r="G602" s="159"/>
      <c r="H602" s="159"/>
      <c r="I602" s="159"/>
      <c r="J602" s="224"/>
      <c r="K602" s="159"/>
      <c r="L602" s="159"/>
      <c r="M602" s="159"/>
      <c r="O602" s="159"/>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c r="AP602" s="159"/>
      <c r="AQ602" s="159"/>
      <c r="AR602" s="159"/>
      <c r="AS602" s="159"/>
      <c r="AT602" s="159"/>
      <c r="AU602" s="159"/>
      <c r="AV602" s="159"/>
      <c r="AW602" s="159"/>
      <c r="AX602" s="159"/>
      <c r="AY602" s="159"/>
      <c r="AZ602" s="159"/>
      <c r="BA602" s="159"/>
    </row>
    <row r="603" spans="2:53" ht="17.399999999999999" customHeight="1">
      <c r="B603" s="159"/>
      <c r="C603" s="159"/>
      <c r="D603" s="159"/>
      <c r="E603" s="159"/>
      <c r="F603" s="159"/>
      <c r="G603" s="159"/>
      <c r="H603" s="159"/>
      <c r="I603" s="159"/>
      <c r="J603" s="224"/>
      <c r="K603" s="159"/>
      <c r="L603" s="159"/>
      <c r="M603" s="159"/>
      <c r="O603" s="159"/>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c r="AP603" s="159"/>
      <c r="AQ603" s="159"/>
      <c r="AR603" s="159"/>
      <c r="AS603" s="159"/>
      <c r="AT603" s="159"/>
      <c r="AU603" s="159"/>
      <c r="AV603" s="159"/>
      <c r="AW603" s="159"/>
      <c r="AX603" s="159"/>
      <c r="AY603" s="159"/>
      <c r="AZ603" s="159"/>
      <c r="BA603" s="159"/>
    </row>
    <row r="604" spans="2:53" ht="17.399999999999999" customHeight="1">
      <c r="B604" s="159"/>
      <c r="C604" s="159"/>
      <c r="D604" s="159"/>
      <c r="E604" s="159"/>
      <c r="F604" s="159"/>
      <c r="G604" s="159"/>
      <c r="H604" s="159"/>
      <c r="I604" s="159"/>
      <c r="J604" s="224"/>
      <c r="K604" s="159"/>
      <c r="L604" s="159"/>
      <c r="M604" s="159"/>
      <c r="O604" s="159"/>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c r="AP604" s="159"/>
      <c r="AQ604" s="159"/>
      <c r="AR604" s="159"/>
      <c r="AS604" s="159"/>
      <c r="AT604" s="159"/>
      <c r="AU604" s="159"/>
      <c r="AV604" s="159"/>
      <c r="AW604" s="159"/>
      <c r="AX604" s="159"/>
      <c r="AY604" s="159"/>
      <c r="AZ604" s="159"/>
      <c r="BA604" s="159"/>
    </row>
    <row r="605" spans="2:53" ht="17.399999999999999" customHeight="1">
      <c r="B605" s="159"/>
      <c r="C605" s="159"/>
      <c r="D605" s="159"/>
      <c r="E605" s="159"/>
      <c r="F605" s="159"/>
      <c r="G605" s="159"/>
      <c r="H605" s="159"/>
      <c r="I605" s="159"/>
      <c r="J605" s="224"/>
      <c r="K605" s="159"/>
      <c r="L605" s="159"/>
      <c r="M605" s="159"/>
      <c r="O605" s="159"/>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c r="AP605" s="159"/>
      <c r="AQ605" s="159"/>
      <c r="AR605" s="159"/>
      <c r="AS605" s="159"/>
      <c r="AT605" s="159"/>
      <c r="AU605" s="159"/>
      <c r="AV605" s="159"/>
      <c r="AW605" s="159"/>
      <c r="AX605" s="159"/>
      <c r="AY605" s="159"/>
      <c r="AZ605" s="159"/>
      <c r="BA605" s="159"/>
    </row>
    <row r="606" spans="2:53" ht="17.399999999999999" customHeight="1">
      <c r="B606" s="159"/>
      <c r="C606" s="159"/>
      <c r="D606" s="159"/>
      <c r="E606" s="159"/>
      <c r="F606" s="159"/>
      <c r="G606" s="159"/>
      <c r="H606" s="159"/>
      <c r="I606" s="159"/>
      <c r="J606" s="224"/>
      <c r="K606" s="159"/>
      <c r="L606" s="159"/>
      <c r="M606" s="159"/>
      <c r="O606" s="159"/>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c r="AP606" s="159"/>
      <c r="AQ606" s="159"/>
      <c r="AR606" s="159"/>
      <c r="AS606" s="159"/>
      <c r="AT606" s="159"/>
      <c r="AU606" s="159"/>
      <c r="AV606" s="159"/>
      <c r="AW606" s="159"/>
      <c r="AX606" s="159"/>
      <c r="AY606" s="159"/>
      <c r="AZ606" s="159"/>
      <c r="BA606" s="159"/>
    </row>
    <row r="607" spans="2:53" ht="17.399999999999999" customHeight="1">
      <c r="B607" s="159"/>
      <c r="C607" s="159"/>
      <c r="D607" s="159"/>
      <c r="E607" s="159"/>
      <c r="F607" s="159"/>
      <c r="G607" s="159"/>
      <c r="H607" s="159"/>
      <c r="I607" s="159"/>
      <c r="J607" s="224"/>
      <c r="K607" s="159"/>
      <c r="L607" s="159"/>
      <c r="M607" s="159"/>
      <c r="O607" s="159"/>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c r="AN607" s="159"/>
      <c r="AO607" s="159"/>
      <c r="AP607" s="159"/>
      <c r="AQ607" s="159"/>
      <c r="AR607" s="159"/>
      <c r="AS607" s="159"/>
      <c r="AT607" s="159"/>
      <c r="AU607" s="159"/>
      <c r="AV607" s="159"/>
      <c r="AW607" s="159"/>
      <c r="AX607" s="159"/>
      <c r="AY607" s="159"/>
      <c r="AZ607" s="159"/>
      <c r="BA607" s="159"/>
    </row>
    <row r="608" spans="2:53" ht="17.399999999999999" customHeight="1">
      <c r="B608" s="159"/>
      <c r="C608" s="159"/>
      <c r="D608" s="159"/>
      <c r="E608" s="159"/>
      <c r="F608" s="159"/>
      <c r="G608" s="159"/>
      <c r="H608" s="159"/>
      <c r="I608" s="159"/>
      <c r="J608" s="224"/>
      <c r="K608" s="159"/>
      <c r="L608" s="159"/>
      <c r="M608" s="159"/>
      <c r="O608" s="159"/>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c r="AN608" s="159"/>
      <c r="AO608" s="159"/>
      <c r="AP608" s="159"/>
      <c r="AQ608" s="159"/>
      <c r="AR608" s="159"/>
      <c r="AS608" s="159"/>
      <c r="AT608" s="159"/>
      <c r="AU608" s="159"/>
      <c r="AV608" s="159"/>
      <c r="AW608" s="159"/>
      <c r="AX608" s="159"/>
      <c r="AY608" s="159"/>
      <c r="AZ608" s="159"/>
      <c r="BA608" s="159"/>
    </row>
    <row r="609" spans="2:53" ht="17.399999999999999" customHeight="1">
      <c r="B609" s="159"/>
      <c r="C609" s="159"/>
      <c r="D609" s="159"/>
      <c r="E609" s="159"/>
      <c r="F609" s="159"/>
      <c r="G609" s="159"/>
      <c r="H609" s="159"/>
      <c r="I609" s="159"/>
      <c r="J609" s="224"/>
      <c r="K609" s="159"/>
      <c r="L609" s="159"/>
      <c r="M609" s="159"/>
      <c r="O609" s="159"/>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c r="AN609" s="159"/>
      <c r="AO609" s="159"/>
      <c r="AP609" s="159"/>
      <c r="AQ609" s="159"/>
      <c r="AR609" s="159"/>
      <c r="AS609" s="159"/>
      <c r="AT609" s="159"/>
      <c r="AU609" s="159"/>
      <c r="AV609" s="159"/>
      <c r="AW609" s="159"/>
      <c r="AX609" s="159"/>
      <c r="AY609" s="159"/>
      <c r="AZ609" s="159"/>
      <c r="BA609" s="159"/>
    </row>
    <row r="610" spans="2:53" s="159" customFormat="1" ht="17.399999999999999" customHeight="1">
      <c r="J610" s="224"/>
    </row>
    <row r="611" spans="2:53" ht="14.4"/>
    <row r="612" spans="2:53" ht="14.4"/>
    <row r="613" spans="2:53" ht="14.4"/>
    <row r="614" spans="2:53" ht="14.4"/>
    <row r="615" spans="2:53" ht="14.4"/>
    <row r="616" spans="2:53" ht="14.4"/>
    <row r="617" spans="2:53" ht="14.4"/>
    <row r="618" spans="2:53" ht="14.4"/>
    <row r="619" spans="2:53" ht="14.4"/>
    <row r="620" spans="2:53" ht="14.4"/>
    <row r="621" spans="2:53" ht="14.4"/>
    <row r="622" spans="2:53" ht="14.4"/>
    <row r="623" spans="2:53" ht="14.4"/>
    <row r="624" spans="2:53" ht="14.4"/>
    <row r="625" spans="2:53" s="156" customFormat="1" ht="14.4">
      <c r="B625" s="157"/>
      <c r="C625" s="157"/>
      <c r="D625" s="157"/>
      <c r="E625" s="157"/>
      <c r="F625" s="157"/>
      <c r="G625" s="157"/>
      <c r="H625" s="157"/>
      <c r="I625" s="157"/>
      <c r="J625" s="158"/>
      <c r="K625" s="157"/>
      <c r="L625" s="157"/>
      <c r="M625" s="157"/>
      <c r="O625" s="157"/>
      <c r="P625" s="157"/>
      <c r="Q625" s="157"/>
      <c r="R625" s="157"/>
      <c r="S625" s="157"/>
      <c r="T625" s="157"/>
      <c r="U625" s="157"/>
      <c r="V625" s="157"/>
      <c r="W625" s="157"/>
      <c r="X625" s="157"/>
      <c r="Y625" s="157"/>
      <c r="Z625" s="157"/>
      <c r="AA625" s="157"/>
      <c r="AB625" s="157"/>
      <c r="AC625" s="157"/>
      <c r="AD625" s="157"/>
      <c r="AE625" s="157"/>
      <c r="AF625" s="157"/>
      <c r="AG625" s="157"/>
      <c r="AH625" s="157"/>
      <c r="AI625" s="157"/>
      <c r="AJ625" s="157"/>
      <c r="AK625" s="157"/>
      <c r="AL625" s="157"/>
      <c r="AM625" s="157"/>
      <c r="AN625" s="157"/>
      <c r="AO625" s="157"/>
      <c r="AP625" s="157"/>
      <c r="AQ625" s="157"/>
      <c r="AR625" s="157"/>
      <c r="AS625" s="157"/>
      <c r="AT625" s="157"/>
      <c r="AU625" s="157"/>
      <c r="AV625" s="157"/>
      <c r="AW625" s="157"/>
      <c r="AX625" s="157"/>
      <c r="AY625" s="157"/>
      <c r="AZ625" s="157"/>
      <c r="BA625" s="157"/>
    </row>
    <row r="626" spans="2:53" s="156" customFormat="1" ht="14.4">
      <c r="B626" s="157"/>
      <c r="C626" s="157"/>
      <c r="D626" s="157"/>
      <c r="E626" s="157"/>
      <c r="F626" s="157"/>
      <c r="G626" s="157"/>
      <c r="H626" s="157"/>
      <c r="I626" s="157"/>
      <c r="J626" s="158"/>
      <c r="K626" s="157"/>
      <c r="L626" s="157"/>
      <c r="M626" s="157"/>
      <c r="O626" s="157"/>
      <c r="P626" s="157"/>
      <c r="Q626" s="157"/>
      <c r="R626" s="157"/>
      <c r="S626" s="157"/>
      <c r="T626" s="157"/>
      <c r="U626" s="157"/>
      <c r="V626" s="157"/>
      <c r="W626" s="157"/>
      <c r="X626" s="157"/>
      <c r="Y626" s="157"/>
      <c r="Z626" s="157"/>
      <c r="AA626" s="157"/>
      <c r="AB626" s="157"/>
      <c r="AC626" s="157"/>
      <c r="AD626" s="157"/>
      <c r="AE626" s="157"/>
      <c r="AF626" s="157"/>
      <c r="AG626" s="157"/>
      <c r="AH626" s="157"/>
      <c r="AI626" s="157"/>
      <c r="AJ626" s="157"/>
      <c r="AK626" s="157"/>
      <c r="AL626" s="157"/>
      <c r="AM626" s="157"/>
      <c r="AN626" s="157"/>
      <c r="AO626" s="157"/>
      <c r="AP626" s="157"/>
      <c r="AQ626" s="157"/>
      <c r="AR626" s="157"/>
      <c r="AS626" s="157"/>
      <c r="AT626" s="157"/>
      <c r="AU626" s="157"/>
      <c r="AV626" s="157"/>
      <c r="AW626" s="157"/>
      <c r="AX626" s="157"/>
      <c r="AY626" s="157"/>
      <c r="AZ626" s="157"/>
      <c r="BA626" s="157"/>
    </row>
    <row r="627" spans="2:53" s="156" customFormat="1" ht="14.4">
      <c r="B627" s="157"/>
      <c r="C627" s="157"/>
      <c r="D627" s="157"/>
      <c r="E627" s="157"/>
      <c r="F627" s="157"/>
      <c r="G627" s="157"/>
      <c r="H627" s="157"/>
      <c r="I627" s="157"/>
      <c r="J627" s="158"/>
      <c r="K627" s="157"/>
      <c r="L627" s="157"/>
      <c r="M627" s="157"/>
      <c r="O627" s="157"/>
      <c r="P627" s="157"/>
      <c r="Q627" s="157"/>
      <c r="R627" s="157"/>
      <c r="S627" s="157"/>
      <c r="T627" s="157"/>
      <c r="U627" s="157"/>
      <c r="V627" s="157"/>
      <c r="W627" s="157"/>
      <c r="X627" s="157"/>
      <c r="Y627" s="157"/>
      <c r="Z627" s="157"/>
      <c r="AA627" s="157"/>
      <c r="AB627" s="157"/>
      <c r="AC627" s="157"/>
      <c r="AD627" s="157"/>
      <c r="AE627" s="157"/>
      <c r="AF627" s="157"/>
      <c r="AG627" s="157"/>
      <c r="AH627" s="157"/>
      <c r="AI627" s="157"/>
      <c r="AJ627" s="157"/>
      <c r="AK627" s="157"/>
      <c r="AL627" s="157"/>
      <c r="AM627" s="157"/>
      <c r="AN627" s="157"/>
      <c r="AO627" s="157"/>
      <c r="AP627" s="157"/>
      <c r="AQ627" s="157"/>
      <c r="AR627" s="157"/>
      <c r="AS627" s="157"/>
      <c r="AT627" s="157"/>
      <c r="AU627" s="157"/>
      <c r="AV627" s="157"/>
      <c r="AW627" s="157"/>
      <c r="AX627" s="157"/>
      <c r="AY627" s="157"/>
      <c r="AZ627" s="157"/>
      <c r="BA627" s="157"/>
    </row>
    <row r="628" spans="2:53" ht="15" customHeight="1"/>
    <row r="629" spans="2:53" ht="15" customHeight="1"/>
    <row r="630" spans="2:53" ht="15" customHeight="1"/>
    <row r="631" spans="2:53" ht="15" customHeight="1"/>
    <row r="632" spans="2:53" ht="15" customHeight="1"/>
    <row r="633" spans="2:53" ht="15" customHeight="1"/>
    <row r="634" spans="2:53" ht="15" customHeight="1"/>
    <row r="635" spans="2:53" ht="15" customHeight="1"/>
    <row r="636" spans="2:53" ht="15" customHeight="1"/>
    <row r="637" spans="2:53" ht="15" customHeight="1"/>
    <row r="638" spans="2:53" ht="15" customHeight="1"/>
    <row r="639" spans="2:53" ht="15" customHeight="1"/>
    <row r="640" spans="2:53"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sheetData>
  <sheetProtection algorithmName="SHA-512" hashValue="9scnkhTwJjc0DFi6ZwRDvrdcde6DVXV/Ng5i3+UsBNXgWvdaF0C5RbBJYiid/MWKdtp1YTYitypA3+nsrizqSQ==" saltValue="hwMJLhZLQ62YySETIRL2rA==" spinCount="100000" sheet="1" selectLockedCells="1"/>
  <mergeCells count="7">
    <mergeCell ref="J110:K110"/>
    <mergeCell ref="J38:M38"/>
    <mergeCell ref="F5:K5"/>
    <mergeCell ref="F7:K7"/>
    <mergeCell ref="F30:K30"/>
    <mergeCell ref="F31:K31"/>
    <mergeCell ref="F32:G32"/>
  </mergeCells>
  <conditionalFormatting sqref="C131">
    <cfRule type="containsText" dxfId="8" priority="3" operator="containsText" text="nie spełniają">
      <formula>NOT(ISERROR(SEARCH("nie spełniają",C131)))</formula>
    </cfRule>
  </conditionalFormatting>
  <conditionalFormatting sqref="C136">
    <cfRule type="containsText" dxfId="7" priority="2" operator="containsText" text="nie spełniają">
      <formula>NOT(ISERROR(SEARCH("nie spełniają",C136)))</formula>
    </cfRule>
  </conditionalFormatting>
  <conditionalFormatting sqref="C156">
    <cfRule type="containsText" dxfId="6" priority="1" operator="containsText" text="nie spełniają">
      <formula>NOT(ISERROR(SEARCH("nie spełniają",C156)))</formula>
    </cfRule>
  </conditionalFormatting>
  <dataValidations count="2">
    <dataValidation type="list" allowBlank="1" showInputMessage="1" showErrorMessage="1" sqref="Q49" xr:uid="{00000000-0002-0000-0400-000000000000}">
      <formula1>$O$56:$O$59</formula1>
    </dataValidation>
    <dataValidation operator="lessThanOrEqual" allowBlank="1" showInputMessage="1" showErrorMessage="1" sqref="F5:K5" xr:uid="{00000000-0002-0000-0400-000001000000}"/>
  </dataValidations>
  <pageMargins left="0.59055118110236227" right="0.59055118110236227" top="0.78740157480314965" bottom="0.19685039370078741" header="0.19685039370078741" footer="0.19685039370078741"/>
  <pageSetup paperSize="9" scale="94" fitToHeight="0" orientation="portrait" r:id="rId1"/>
  <headerFooter>
    <oddHeader>&amp;R
&amp;G</oddHeader>
    <oddFooter>&amp;C &amp;"-,Standardowy"&amp;9&amp;K00-033Wydruk wygenerowany z arkusza doboru układów utrzymania ciśnienia firmy IMI HYDRONIC ENGINEERING.</oddFooter>
  </headerFooter>
  <rowBreaks count="5" manualBreakCount="5">
    <brk id="70" min="1" max="12" man="1"/>
    <brk id="115" min="1" max="12" man="1"/>
    <brk id="157" min="1" max="12" man="1"/>
    <brk id="199" min="1" max="12" man="1"/>
    <brk id="246" min="1" max="12" man="1"/>
  </rowBreaks>
  <drawing r:id="rId2"/>
  <legacyDrawing r:id="rId3"/>
  <legacyDrawingHF r:id="rId4"/>
  <oleObjects>
    <mc:AlternateContent xmlns:mc="http://schemas.openxmlformats.org/markup-compatibility/2006">
      <mc:Choice Requires="x14">
        <oleObject progId="Equation.3" shapeId="12296" r:id="rId5">
          <objectPr defaultSize="0" autoPict="0" r:id="rId6">
            <anchor moveWithCells="1">
              <from>
                <xdr:col>3</xdr:col>
                <xdr:colOff>45720</xdr:colOff>
                <xdr:row>44</xdr:row>
                <xdr:rowOff>76200</xdr:rowOff>
              </from>
              <to>
                <xdr:col>8</xdr:col>
                <xdr:colOff>327660</xdr:colOff>
                <xdr:row>46</xdr:row>
                <xdr:rowOff>190500</xdr:rowOff>
              </to>
            </anchor>
          </objectPr>
        </oleObject>
      </mc:Choice>
      <mc:Fallback>
        <oleObject progId="Equation.3" shapeId="12296" r:id="rId5"/>
      </mc:Fallback>
    </mc:AlternateContent>
    <mc:AlternateContent xmlns:mc="http://schemas.openxmlformats.org/markup-compatibility/2006">
      <mc:Choice Requires="x14">
        <oleObject progId="Equation.3" shapeId="12297" r:id="rId7">
          <objectPr defaultSize="0" autoPict="0" r:id="rId8">
            <anchor moveWithCells="1">
              <from>
                <xdr:col>3</xdr:col>
                <xdr:colOff>45720</xdr:colOff>
                <xdr:row>56</xdr:row>
                <xdr:rowOff>137160</xdr:rowOff>
              </from>
              <to>
                <xdr:col>4</xdr:col>
                <xdr:colOff>464820</xdr:colOff>
                <xdr:row>58</xdr:row>
                <xdr:rowOff>38100</xdr:rowOff>
              </to>
            </anchor>
          </objectPr>
        </oleObject>
      </mc:Choice>
      <mc:Fallback>
        <oleObject progId="Equation.3" shapeId="12297" r:id="rId7"/>
      </mc:Fallback>
    </mc:AlternateContent>
    <mc:AlternateContent xmlns:mc="http://schemas.openxmlformats.org/markup-compatibility/2006">
      <mc:Choice Requires="x14">
        <oleObject progId="Equation.3" shapeId="12299" r:id="rId9">
          <objectPr defaultSize="0" autoPict="0" r:id="rId10">
            <anchor moveWithCells="1">
              <from>
                <xdr:col>3</xdr:col>
                <xdr:colOff>30480</xdr:colOff>
                <xdr:row>85</xdr:row>
                <xdr:rowOff>106680</xdr:rowOff>
              </from>
              <to>
                <xdr:col>5</xdr:col>
                <xdr:colOff>220980</xdr:colOff>
                <xdr:row>87</xdr:row>
                <xdr:rowOff>76200</xdr:rowOff>
              </to>
            </anchor>
          </objectPr>
        </oleObject>
      </mc:Choice>
      <mc:Fallback>
        <oleObject progId="Equation.3" shapeId="12299" r:id="rId9"/>
      </mc:Fallback>
    </mc:AlternateContent>
    <mc:AlternateContent xmlns:mc="http://schemas.openxmlformats.org/markup-compatibility/2006">
      <mc:Choice Requires="x14">
        <oleObject progId="Equation.3" shapeId="12300" r:id="rId11">
          <objectPr defaultSize="0" autoPict="0" r:id="rId12">
            <anchor moveWithCells="1">
              <from>
                <xdr:col>3</xdr:col>
                <xdr:colOff>22860</xdr:colOff>
                <xdr:row>99</xdr:row>
                <xdr:rowOff>190500</xdr:rowOff>
              </from>
              <to>
                <xdr:col>5</xdr:col>
                <xdr:colOff>182880</xdr:colOff>
                <xdr:row>101</xdr:row>
                <xdr:rowOff>45720</xdr:rowOff>
              </to>
            </anchor>
          </objectPr>
        </oleObject>
      </mc:Choice>
      <mc:Fallback>
        <oleObject progId="Equation.3" shapeId="12300" r:id="rId11"/>
      </mc:Fallback>
    </mc:AlternateContent>
    <mc:AlternateContent xmlns:mc="http://schemas.openxmlformats.org/markup-compatibility/2006">
      <mc:Choice Requires="x14">
        <oleObject progId="Equation.3" shapeId="12303" r:id="rId13">
          <objectPr defaultSize="0" autoPict="0" r:id="rId14">
            <anchor moveWithCells="1">
              <from>
                <xdr:col>3</xdr:col>
                <xdr:colOff>7620</xdr:colOff>
                <xdr:row>143</xdr:row>
                <xdr:rowOff>99060</xdr:rowOff>
              </from>
              <to>
                <xdr:col>5</xdr:col>
                <xdr:colOff>426720</xdr:colOff>
                <xdr:row>145</xdr:row>
                <xdr:rowOff>0</xdr:rowOff>
              </to>
            </anchor>
          </objectPr>
        </oleObject>
      </mc:Choice>
      <mc:Fallback>
        <oleObject progId="Equation.3" shapeId="12303" r:id="rId13"/>
      </mc:Fallback>
    </mc:AlternateContent>
    <mc:AlternateContent xmlns:mc="http://schemas.openxmlformats.org/markup-compatibility/2006">
      <mc:Choice Requires="x14">
        <oleObject progId="Equation.3" shapeId="12313" r:id="rId15">
          <objectPr defaultSize="0" autoPict="0" r:id="rId16">
            <anchor moveWithCells="1">
              <from>
                <xdr:col>3</xdr:col>
                <xdr:colOff>60960</xdr:colOff>
                <xdr:row>71</xdr:row>
                <xdr:rowOff>121920</xdr:rowOff>
              </from>
              <to>
                <xdr:col>5</xdr:col>
                <xdr:colOff>137160</xdr:colOff>
                <xdr:row>73</xdr:row>
                <xdr:rowOff>30480</xdr:rowOff>
              </to>
            </anchor>
          </objectPr>
        </oleObject>
      </mc:Choice>
      <mc:Fallback>
        <oleObject progId="Equation.3" shapeId="12313" r:id="rId15"/>
      </mc:Fallback>
    </mc:AlternateContent>
  </oleObjects>
  <mc:AlternateContent xmlns:mc="http://schemas.openxmlformats.org/markup-compatibility/2006">
    <mc:Choice Requires="x14">
      <controls>
        <mc:AlternateContent xmlns:mc="http://schemas.openxmlformats.org/markup-compatibility/2006">
          <mc:Choice Requires="x14">
            <control shapeId="12289" r:id="rId17" name="Drop Down 1">
              <controlPr defaultSize="0" autoLine="0" autoPict="0">
                <anchor moveWithCells="1">
                  <from>
                    <xdr:col>9</xdr:col>
                    <xdr:colOff>30480</xdr:colOff>
                    <xdr:row>12</xdr:row>
                    <xdr:rowOff>0</xdr:rowOff>
                  </from>
                  <to>
                    <xdr:col>12</xdr:col>
                    <xdr:colOff>0</xdr:colOff>
                    <xdr:row>13</xdr:row>
                    <xdr:rowOff>22860</xdr:rowOff>
                  </to>
                </anchor>
              </controlPr>
            </control>
          </mc:Choice>
        </mc:AlternateContent>
        <mc:AlternateContent xmlns:mc="http://schemas.openxmlformats.org/markup-compatibility/2006">
          <mc:Choice Requires="x14">
            <control shapeId="12291" r:id="rId18" name="Spinner 3">
              <controlPr defaultSize="0" autoPict="0">
                <anchor moveWithCells="1" sizeWithCells="1">
                  <from>
                    <xdr:col>11</xdr:col>
                    <xdr:colOff>365760</xdr:colOff>
                    <xdr:row>7</xdr:row>
                    <xdr:rowOff>137160</xdr:rowOff>
                  </from>
                  <to>
                    <xdr:col>12</xdr:col>
                    <xdr:colOff>7620</xdr:colOff>
                    <xdr:row>9</xdr:row>
                    <xdr:rowOff>68580</xdr:rowOff>
                  </to>
                </anchor>
              </controlPr>
            </control>
          </mc:Choice>
        </mc:AlternateContent>
        <mc:AlternateContent xmlns:mc="http://schemas.openxmlformats.org/markup-compatibility/2006">
          <mc:Choice Requires="x14">
            <control shapeId="12292" r:id="rId19" name="Spinner 4">
              <controlPr defaultSize="0" autoPict="0">
                <anchor moveWithCells="1" sizeWithCells="1">
                  <from>
                    <xdr:col>11</xdr:col>
                    <xdr:colOff>350520</xdr:colOff>
                    <xdr:row>9</xdr:row>
                    <xdr:rowOff>152400</xdr:rowOff>
                  </from>
                  <to>
                    <xdr:col>12</xdr:col>
                    <xdr:colOff>0</xdr:colOff>
                    <xdr:row>11</xdr:row>
                    <xdr:rowOff>83820</xdr:rowOff>
                  </to>
                </anchor>
              </controlPr>
            </control>
          </mc:Choice>
        </mc:AlternateContent>
        <mc:AlternateContent xmlns:mc="http://schemas.openxmlformats.org/markup-compatibility/2006">
          <mc:Choice Requires="x14">
            <control shapeId="12293" r:id="rId20" name="Spinner 5">
              <controlPr defaultSize="0" autoPict="0">
                <anchor moveWithCells="1" sizeWithCells="1">
                  <from>
                    <xdr:col>11</xdr:col>
                    <xdr:colOff>342900</xdr:colOff>
                    <xdr:row>15</xdr:row>
                    <xdr:rowOff>160020</xdr:rowOff>
                  </from>
                  <to>
                    <xdr:col>11</xdr:col>
                    <xdr:colOff>693420</xdr:colOff>
                    <xdr:row>17</xdr:row>
                    <xdr:rowOff>99060</xdr:rowOff>
                  </to>
                </anchor>
              </controlPr>
            </control>
          </mc:Choice>
        </mc:AlternateContent>
        <mc:AlternateContent xmlns:mc="http://schemas.openxmlformats.org/markup-compatibility/2006">
          <mc:Choice Requires="x14">
            <control shapeId="12294" r:id="rId21" name="Spinner 6">
              <controlPr defaultSize="0" autoPict="0">
                <anchor moveWithCells="1" sizeWithCells="1">
                  <from>
                    <xdr:col>11</xdr:col>
                    <xdr:colOff>342900</xdr:colOff>
                    <xdr:row>17</xdr:row>
                    <xdr:rowOff>175260</xdr:rowOff>
                  </from>
                  <to>
                    <xdr:col>11</xdr:col>
                    <xdr:colOff>693420</xdr:colOff>
                    <xdr:row>19</xdr:row>
                    <xdr:rowOff>106680</xdr:rowOff>
                  </to>
                </anchor>
              </controlPr>
            </control>
          </mc:Choice>
        </mc:AlternateContent>
        <mc:AlternateContent xmlns:mc="http://schemas.openxmlformats.org/markup-compatibility/2006">
          <mc:Choice Requires="x14">
            <control shapeId="12295" r:id="rId22" name="Check Box 7">
              <controlPr defaultSize="0" autoFill="0" autoLine="0" autoPict="0">
                <anchor moveWithCells="1">
                  <from>
                    <xdr:col>11</xdr:col>
                    <xdr:colOff>190500</xdr:colOff>
                    <xdr:row>20</xdr:row>
                    <xdr:rowOff>213360</xdr:rowOff>
                  </from>
                  <to>
                    <xdr:col>12</xdr:col>
                    <xdr:colOff>22860</xdr:colOff>
                    <xdr:row>21</xdr:row>
                    <xdr:rowOff>198120</xdr:rowOff>
                  </to>
                </anchor>
              </controlPr>
            </control>
          </mc:Choice>
        </mc:AlternateContent>
        <mc:AlternateContent xmlns:mc="http://schemas.openxmlformats.org/markup-compatibility/2006">
          <mc:Choice Requires="x14">
            <control shapeId="12301" r:id="rId23" name="Drop Down 13">
              <controlPr defaultSize="0" autoLine="0" autoPict="0">
                <anchor moveWithCells="1">
                  <from>
                    <xdr:col>2</xdr:col>
                    <xdr:colOff>45720</xdr:colOff>
                    <xdr:row>128</xdr:row>
                    <xdr:rowOff>182880</xdr:rowOff>
                  </from>
                  <to>
                    <xdr:col>5</xdr:col>
                    <xdr:colOff>220980</xdr:colOff>
                    <xdr:row>129</xdr:row>
                    <xdr:rowOff>175260</xdr:rowOff>
                  </to>
                </anchor>
              </controlPr>
            </control>
          </mc:Choice>
        </mc:AlternateContent>
        <mc:AlternateContent xmlns:mc="http://schemas.openxmlformats.org/markup-compatibility/2006">
          <mc:Choice Requires="x14">
            <control shapeId="12307" r:id="rId24" name="Spinner 19">
              <controlPr defaultSize="0" autoPict="0">
                <anchor moveWithCells="1" sizeWithCells="1">
                  <from>
                    <xdr:col>11</xdr:col>
                    <xdr:colOff>373380</xdr:colOff>
                    <xdr:row>22</xdr:row>
                    <xdr:rowOff>121920</xdr:rowOff>
                  </from>
                  <to>
                    <xdr:col>12</xdr:col>
                    <xdr:colOff>22860</xdr:colOff>
                    <xdr:row>24</xdr:row>
                    <xdr:rowOff>60960</xdr:rowOff>
                  </to>
                </anchor>
              </controlPr>
            </control>
          </mc:Choice>
        </mc:AlternateContent>
        <mc:AlternateContent xmlns:mc="http://schemas.openxmlformats.org/markup-compatibility/2006">
          <mc:Choice Requires="x14">
            <control shapeId="12308" r:id="rId25" name="Drop Down 20">
              <controlPr defaultSize="0" autoLine="0" autoPict="0">
                <anchor moveWithCells="1">
                  <from>
                    <xdr:col>2</xdr:col>
                    <xdr:colOff>30480</xdr:colOff>
                    <xdr:row>133</xdr:row>
                    <xdr:rowOff>152400</xdr:rowOff>
                  </from>
                  <to>
                    <xdr:col>5</xdr:col>
                    <xdr:colOff>220980</xdr:colOff>
                    <xdr:row>134</xdr:row>
                    <xdr:rowOff>152400</xdr:rowOff>
                  </to>
                </anchor>
              </controlPr>
            </control>
          </mc:Choice>
        </mc:AlternateContent>
        <mc:AlternateContent xmlns:mc="http://schemas.openxmlformats.org/markup-compatibility/2006">
          <mc:Choice Requires="x14">
            <control shapeId="12309" r:id="rId26" name="Spinner 21">
              <controlPr defaultSize="0" autoPict="0">
                <anchor moveWithCells="1" sizeWithCells="1">
                  <from>
                    <xdr:col>8</xdr:col>
                    <xdr:colOff>480060</xdr:colOff>
                    <xdr:row>133</xdr:row>
                    <xdr:rowOff>114300</xdr:rowOff>
                  </from>
                  <to>
                    <xdr:col>9</xdr:col>
                    <xdr:colOff>175260</xdr:colOff>
                    <xdr:row>135</xdr:row>
                    <xdr:rowOff>45720</xdr:rowOff>
                  </to>
                </anchor>
              </controlPr>
            </control>
          </mc:Choice>
        </mc:AlternateContent>
        <mc:AlternateContent xmlns:mc="http://schemas.openxmlformats.org/markup-compatibility/2006">
          <mc:Choice Requires="x14">
            <control shapeId="12310" r:id="rId27" name="Drop Down 22">
              <controlPr defaultSize="0" autoLine="0" autoPict="0">
                <anchor moveWithCells="1">
                  <from>
                    <xdr:col>1</xdr:col>
                    <xdr:colOff>160020</xdr:colOff>
                    <xdr:row>242</xdr:row>
                    <xdr:rowOff>160020</xdr:rowOff>
                  </from>
                  <to>
                    <xdr:col>6</xdr:col>
                    <xdr:colOff>7620</xdr:colOff>
                    <xdr:row>244</xdr:row>
                    <xdr:rowOff>0</xdr:rowOff>
                  </to>
                </anchor>
              </controlPr>
            </control>
          </mc:Choice>
        </mc:AlternateContent>
        <mc:AlternateContent xmlns:mc="http://schemas.openxmlformats.org/markup-compatibility/2006">
          <mc:Choice Requires="x14">
            <control shapeId="12311" r:id="rId28" name="Spinner 23">
              <controlPr defaultSize="0" autoPict="0">
                <anchor moveWithCells="1" sizeWithCells="1">
                  <from>
                    <xdr:col>11</xdr:col>
                    <xdr:colOff>373380</xdr:colOff>
                    <xdr:row>24</xdr:row>
                    <xdr:rowOff>160020</xdr:rowOff>
                  </from>
                  <to>
                    <xdr:col>12</xdr:col>
                    <xdr:colOff>22860</xdr:colOff>
                    <xdr:row>26</xdr:row>
                    <xdr:rowOff>99060</xdr:rowOff>
                  </to>
                </anchor>
              </controlPr>
            </control>
          </mc:Choice>
        </mc:AlternateContent>
        <mc:AlternateContent xmlns:mc="http://schemas.openxmlformats.org/markup-compatibility/2006">
          <mc:Choice Requires="x14">
            <control shapeId="2" r:id="rId29" name="Drop Down 34">
              <controlPr defaultSize="0" autoLine="0" autoPict="0">
                <anchor moveWithCells="1">
                  <from>
                    <xdr:col>2</xdr:col>
                    <xdr:colOff>30480</xdr:colOff>
                    <xdr:row>252</xdr:row>
                    <xdr:rowOff>0</xdr:rowOff>
                  </from>
                  <to>
                    <xdr:col>5</xdr:col>
                    <xdr:colOff>365760</xdr:colOff>
                    <xdr:row>253</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pageSetUpPr fitToPage="1"/>
  </sheetPr>
  <dimension ref="A1:BA668"/>
  <sheetViews>
    <sheetView showGridLines="0" showRowColHeaders="0" zoomScaleNormal="100" zoomScaleSheetLayoutView="100" workbookViewId="0">
      <selection activeCell="F5" activeCellId="10" sqref="K30 L28 K23 K21 L19 K15 K13 K11 K9 F7:K7 F5:K5"/>
    </sheetView>
  </sheetViews>
  <sheetFormatPr defaultColWidth="0" defaultRowHeight="15" customHeight="1" zeroHeight="1"/>
  <cols>
    <col min="1" max="1" width="8.59765625" style="156" customWidth="1"/>
    <col min="2" max="2" width="3.09765625" style="157" customWidth="1"/>
    <col min="3" max="3" width="7.19921875" style="157" customWidth="1"/>
    <col min="4" max="4" width="6.69921875" style="157" customWidth="1"/>
    <col min="5" max="5" width="7.5" style="157" customWidth="1"/>
    <col min="6" max="6" width="7.8984375" style="157" customWidth="1"/>
    <col min="7" max="7" width="6.69921875" style="157" customWidth="1"/>
    <col min="8" max="8" width="6.5" style="157" customWidth="1"/>
    <col min="9" max="9" width="6.8984375" style="157" customWidth="1"/>
    <col min="10" max="10" width="7.59765625" style="158" customWidth="1"/>
    <col min="11" max="11" width="9.3984375" style="157" customWidth="1"/>
    <col min="12" max="13" width="9.19921875" style="157" customWidth="1"/>
    <col min="14" max="14" width="5.69921875" style="156" customWidth="1"/>
    <col min="15" max="21" width="9" style="157" customWidth="1"/>
    <col min="22" max="22" width="10.19921875" style="157" customWidth="1"/>
    <col min="23" max="23" width="10.3984375" style="157" customWidth="1"/>
    <col min="24" max="24" width="10.59765625" style="157" customWidth="1"/>
    <col min="25" max="25" width="10.8984375" style="157" customWidth="1"/>
    <col min="26" max="26" width="9" style="157" customWidth="1"/>
    <col min="27" max="53" width="0" style="157" hidden="1" customWidth="1"/>
    <col min="54" max="16384" width="9" style="157" hidden="1"/>
  </cols>
  <sheetData>
    <row r="1" spans="2:53" ht="64.5" customHeight="1">
      <c r="B1" s="341" t="s">
        <v>781</v>
      </c>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row>
    <row r="2" spans="2:53" ht="17.399999999999999" customHeight="1">
      <c r="B2" s="160"/>
      <c r="C2" s="161"/>
      <c r="D2" s="162"/>
      <c r="E2" s="162"/>
      <c r="F2" s="162"/>
      <c r="G2" s="162"/>
      <c r="H2" s="162"/>
      <c r="I2" s="162"/>
      <c r="J2" s="161"/>
      <c r="K2" s="160"/>
      <c r="L2" s="160"/>
      <c r="M2" s="160"/>
      <c r="O2" s="163"/>
      <c r="P2" s="164"/>
      <c r="Q2" s="164"/>
      <c r="R2" s="164"/>
      <c r="S2" s="164"/>
      <c r="T2" s="164"/>
      <c r="U2" s="164"/>
      <c r="V2" s="164"/>
      <c r="W2" s="164"/>
      <c r="X2" s="164"/>
      <c r="Y2" s="164"/>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row>
    <row r="3" spans="2:53" ht="17.399999999999999" customHeight="1">
      <c r="B3" s="160"/>
      <c r="C3" s="328" t="s">
        <v>2</v>
      </c>
      <c r="D3" s="162"/>
      <c r="E3" s="162"/>
      <c r="F3" s="162"/>
      <c r="G3" s="162"/>
      <c r="H3" s="162"/>
      <c r="I3" s="162"/>
      <c r="J3" s="161"/>
      <c r="K3" s="160"/>
      <c r="L3" s="160"/>
      <c r="M3" s="160"/>
      <c r="O3" s="164"/>
      <c r="P3" s="166"/>
      <c r="Q3" s="166"/>
      <c r="R3" s="166"/>
      <c r="S3" s="166"/>
      <c r="T3" s="166"/>
      <c r="U3" s="166"/>
      <c r="V3" s="166"/>
      <c r="W3" s="166"/>
      <c r="X3" s="166"/>
      <c r="Y3" s="166"/>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row>
    <row r="4" spans="2:53" ht="17.399999999999999" customHeight="1">
      <c r="B4" s="160"/>
      <c r="C4" s="165"/>
      <c r="D4" s="162"/>
      <c r="E4" s="162"/>
      <c r="F4" s="162"/>
      <c r="G4" s="162"/>
      <c r="H4" s="162"/>
      <c r="I4" s="162"/>
      <c r="J4" s="161"/>
      <c r="K4" s="160"/>
      <c r="L4" s="160"/>
      <c r="M4" s="160"/>
      <c r="O4" s="164"/>
      <c r="P4" s="166"/>
      <c r="Q4" s="166"/>
      <c r="R4" s="166"/>
      <c r="S4" s="166"/>
      <c r="T4" s="166"/>
      <c r="U4" s="166"/>
      <c r="V4" s="166"/>
      <c r="W4" s="166"/>
      <c r="X4" s="166"/>
      <c r="Y4" s="166"/>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row>
    <row r="5" spans="2:53" ht="17.399999999999999" customHeight="1">
      <c r="B5" s="160"/>
      <c r="C5" s="165" t="s">
        <v>766</v>
      </c>
      <c r="D5" s="162"/>
      <c r="E5" s="162"/>
      <c r="F5" s="481"/>
      <c r="G5" s="482"/>
      <c r="H5" s="482"/>
      <c r="I5" s="482"/>
      <c r="J5" s="482"/>
      <c r="K5" s="483"/>
      <c r="L5" s="160"/>
      <c r="M5" s="160"/>
      <c r="O5" s="164"/>
      <c r="P5" s="166"/>
      <c r="Q5" s="166"/>
      <c r="R5" s="166"/>
      <c r="S5" s="166"/>
      <c r="T5" s="166"/>
      <c r="U5" s="166"/>
      <c r="V5" s="166"/>
      <c r="W5" s="166"/>
      <c r="X5" s="166"/>
      <c r="Y5" s="166"/>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row>
    <row r="6" spans="2:53" ht="17.399999999999999" customHeight="1">
      <c r="B6" s="160"/>
      <c r="C6" s="165"/>
      <c r="D6" s="162"/>
      <c r="E6" s="162"/>
      <c r="F6" s="162"/>
      <c r="G6" s="162"/>
      <c r="H6" s="162"/>
      <c r="I6" s="162"/>
      <c r="J6" s="161"/>
      <c r="K6" s="160"/>
      <c r="L6" s="160"/>
      <c r="M6" s="160"/>
      <c r="O6" s="164"/>
      <c r="P6" s="166"/>
      <c r="Q6" s="166"/>
      <c r="R6" s="166"/>
      <c r="S6" s="166"/>
      <c r="T6" s="166"/>
      <c r="U6" s="166"/>
      <c r="V6" s="166"/>
      <c r="W6" s="166"/>
      <c r="X6" s="166"/>
      <c r="Y6" s="166"/>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row>
    <row r="7" spans="2:53" ht="17.399999999999999" customHeight="1">
      <c r="B7" s="160"/>
      <c r="C7" s="165" t="s">
        <v>767</v>
      </c>
      <c r="D7" s="162"/>
      <c r="E7" s="162"/>
      <c r="F7" s="484" t="s">
        <v>994</v>
      </c>
      <c r="G7" s="482"/>
      <c r="H7" s="482"/>
      <c r="I7" s="482"/>
      <c r="J7" s="482"/>
      <c r="K7" s="483"/>
      <c r="L7" s="160"/>
      <c r="M7" s="160"/>
      <c r="O7" s="164"/>
      <c r="P7" s="166"/>
      <c r="Q7" s="166"/>
      <c r="R7" s="166"/>
      <c r="S7" s="166"/>
      <c r="T7" s="166"/>
      <c r="U7" s="166"/>
      <c r="V7" s="166"/>
      <c r="W7" s="166"/>
      <c r="X7" s="166"/>
      <c r="Y7" s="166"/>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row>
    <row r="8" spans="2:53" ht="17.399999999999999" customHeight="1">
      <c r="B8" s="160"/>
      <c r="C8" s="162"/>
      <c r="D8" s="162"/>
      <c r="E8" s="162"/>
      <c r="F8" s="162"/>
      <c r="G8" s="162"/>
      <c r="H8" s="162"/>
      <c r="I8" s="162"/>
      <c r="J8" s="161"/>
      <c r="K8" s="160"/>
      <c r="L8" s="160"/>
      <c r="M8" s="162"/>
      <c r="N8" s="167"/>
      <c r="O8" s="168"/>
      <c r="P8" s="164"/>
      <c r="Q8" s="164"/>
      <c r="R8" s="164"/>
      <c r="S8" s="164"/>
      <c r="T8" s="164"/>
      <c r="U8" s="164"/>
      <c r="V8" s="169"/>
      <c r="W8" s="169"/>
      <c r="X8" s="169"/>
      <c r="Y8" s="16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row>
    <row r="9" spans="2:53" ht="17.399999999999999" customHeight="1">
      <c r="B9" s="160"/>
      <c r="C9" s="162" t="s">
        <v>686</v>
      </c>
      <c r="D9" s="162"/>
      <c r="E9" s="162"/>
      <c r="F9" s="162"/>
      <c r="G9" s="162"/>
      <c r="H9" s="162"/>
      <c r="I9" s="162"/>
      <c r="J9" s="170"/>
      <c r="K9" s="2">
        <v>120</v>
      </c>
      <c r="L9" s="172" t="s">
        <v>12</v>
      </c>
      <c r="M9" s="162"/>
      <c r="N9" s="167"/>
      <c r="O9" s="168"/>
      <c r="P9" s="169"/>
      <c r="Q9" s="169"/>
      <c r="R9" s="169"/>
      <c r="S9" s="169"/>
      <c r="T9" s="169"/>
      <c r="U9" s="169"/>
      <c r="V9" s="169"/>
      <c r="W9" s="169"/>
      <c r="X9" s="169"/>
      <c r="Y9" s="16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row>
    <row r="10" spans="2:53" ht="17.399999999999999" customHeight="1">
      <c r="B10" s="160"/>
      <c r="C10" s="162"/>
      <c r="D10" s="162"/>
      <c r="E10" s="162"/>
      <c r="F10" s="162"/>
      <c r="G10" s="162"/>
      <c r="H10" s="162"/>
      <c r="I10" s="162"/>
      <c r="J10" s="170"/>
      <c r="K10" s="162"/>
      <c r="L10" s="162"/>
      <c r="M10" s="162"/>
      <c r="N10" s="167"/>
      <c r="O10" s="168"/>
      <c r="P10" s="169"/>
      <c r="Q10" s="169"/>
      <c r="R10" s="169"/>
      <c r="S10" s="169"/>
      <c r="T10" s="169"/>
      <c r="U10" s="169"/>
      <c r="V10" s="169"/>
      <c r="W10" s="169"/>
      <c r="X10" s="169"/>
      <c r="Y10" s="16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row>
    <row r="11" spans="2:53" ht="17.399999999999999" customHeight="1">
      <c r="B11" s="160"/>
      <c r="C11" s="162" t="s">
        <v>687</v>
      </c>
      <c r="D11" s="162"/>
      <c r="E11" s="162"/>
      <c r="F11" s="162"/>
      <c r="G11" s="162"/>
      <c r="H11" s="162"/>
      <c r="I11" s="162"/>
      <c r="J11" s="174"/>
      <c r="K11" s="2">
        <v>0</v>
      </c>
      <c r="L11" s="172" t="s">
        <v>12</v>
      </c>
      <c r="M11" s="162"/>
      <c r="N11" s="167"/>
      <c r="O11" s="168"/>
      <c r="P11" s="164"/>
      <c r="Q11" s="164"/>
      <c r="R11" s="164"/>
      <c r="S11" s="164"/>
      <c r="T11" s="164"/>
      <c r="U11" s="164"/>
      <c r="V11" s="169"/>
      <c r="W11" s="169"/>
      <c r="X11" s="169"/>
      <c r="Y11" s="16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row>
    <row r="12" spans="2:53" ht="17.399999999999999" customHeight="1">
      <c r="B12" s="160"/>
      <c r="C12" s="162"/>
      <c r="D12" s="162"/>
      <c r="E12" s="162"/>
      <c r="F12" s="162"/>
      <c r="G12" s="162"/>
      <c r="H12" s="162"/>
      <c r="I12" s="162"/>
      <c r="J12" s="170"/>
      <c r="K12" s="162"/>
      <c r="L12" s="162"/>
      <c r="M12" s="162"/>
      <c r="N12" s="167"/>
      <c r="O12" s="168"/>
      <c r="P12" s="164"/>
      <c r="Q12" s="164"/>
      <c r="R12" s="164"/>
      <c r="S12" s="164"/>
      <c r="T12" s="164"/>
      <c r="U12" s="164"/>
      <c r="V12" s="169"/>
      <c r="W12" s="169"/>
      <c r="X12" s="169"/>
      <c r="Y12" s="16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row>
    <row r="13" spans="2:53" ht="17.399999999999999" customHeight="1">
      <c r="B13" s="160"/>
      <c r="C13" s="162" t="s">
        <v>636</v>
      </c>
      <c r="D13" s="162"/>
      <c r="E13" s="162"/>
      <c r="F13" s="162"/>
      <c r="G13" s="162"/>
      <c r="H13" s="162"/>
      <c r="I13" s="162"/>
      <c r="J13" s="170"/>
      <c r="K13" s="2">
        <v>20</v>
      </c>
      <c r="L13" s="172" t="s">
        <v>12</v>
      </c>
      <c r="M13" s="162"/>
      <c r="N13" s="167"/>
      <c r="O13" s="168"/>
      <c r="P13" s="164"/>
      <c r="Q13" s="164"/>
      <c r="R13" s="164"/>
      <c r="S13" s="164"/>
      <c r="T13" s="164"/>
      <c r="U13" s="164"/>
      <c r="V13" s="169"/>
      <c r="W13" s="169"/>
      <c r="X13" s="169"/>
      <c r="Y13" s="16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row>
    <row r="14" spans="2:53" ht="17.399999999999999" customHeight="1">
      <c r="B14" s="160"/>
      <c r="C14" s="162"/>
      <c r="D14" s="162"/>
      <c r="E14" s="162"/>
      <c r="F14" s="162"/>
      <c r="G14" s="162"/>
      <c r="H14" s="162"/>
      <c r="I14" s="162"/>
      <c r="J14" s="170"/>
      <c r="K14" s="162"/>
      <c r="L14" s="162"/>
      <c r="M14" s="162"/>
      <c r="N14" s="167"/>
      <c r="O14" s="168"/>
      <c r="P14" s="164"/>
      <c r="Q14" s="164"/>
      <c r="R14" s="164"/>
      <c r="S14" s="164"/>
      <c r="T14" s="164"/>
      <c r="U14" s="164"/>
      <c r="V14" s="169"/>
      <c r="W14" s="169"/>
      <c r="X14" s="169"/>
      <c r="Y14" s="16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row>
    <row r="15" spans="2:53" ht="17.399999999999999" customHeight="1">
      <c r="B15" s="160"/>
      <c r="C15" s="162" t="s">
        <v>731</v>
      </c>
      <c r="D15" s="162"/>
      <c r="E15" s="162"/>
      <c r="F15" s="162"/>
      <c r="G15" s="162"/>
      <c r="H15" s="162"/>
      <c r="I15" s="162"/>
      <c r="J15" s="170"/>
      <c r="K15" s="2">
        <v>120</v>
      </c>
      <c r="L15" s="172" t="s">
        <v>12</v>
      </c>
      <c r="M15" s="162"/>
      <c r="N15" s="167"/>
      <c r="O15" s="168"/>
      <c r="P15" s="164"/>
      <c r="Q15" s="164"/>
      <c r="R15" s="164"/>
      <c r="S15" s="164"/>
      <c r="T15" s="164"/>
      <c r="U15" s="164"/>
      <c r="V15" s="169"/>
      <c r="W15" s="169"/>
      <c r="X15" s="169"/>
      <c r="Y15" s="16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row>
    <row r="16" spans="2:53" ht="17.399999999999999" customHeight="1">
      <c r="B16" s="160"/>
      <c r="C16" s="162"/>
      <c r="D16" s="162"/>
      <c r="E16" s="162"/>
      <c r="F16" s="162"/>
      <c r="G16" s="162"/>
      <c r="H16" s="162"/>
      <c r="I16" s="162"/>
      <c r="J16" s="170"/>
      <c r="K16" s="162"/>
      <c r="L16" s="162"/>
      <c r="M16" s="162"/>
      <c r="N16" s="167"/>
      <c r="O16" s="168"/>
      <c r="P16" s="164"/>
      <c r="Q16" s="164"/>
      <c r="R16" s="164"/>
      <c r="S16" s="164"/>
      <c r="T16" s="164"/>
      <c r="U16" s="164"/>
      <c r="V16" s="169"/>
      <c r="W16" s="169"/>
      <c r="X16" s="169"/>
      <c r="Y16" s="16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row>
    <row r="17" spans="2:53" ht="17.399999999999999" customHeight="1">
      <c r="B17" s="160"/>
      <c r="C17" s="162" t="s">
        <v>637</v>
      </c>
      <c r="D17" s="162"/>
      <c r="E17" s="162"/>
      <c r="F17" s="162"/>
      <c r="G17" s="162"/>
      <c r="H17" s="162"/>
      <c r="I17" s="162"/>
      <c r="J17" s="170"/>
      <c r="K17" s="162"/>
      <c r="L17" s="162"/>
      <c r="M17" s="162"/>
      <c r="N17" s="167"/>
      <c r="O17" s="168"/>
      <c r="P17" s="164"/>
      <c r="Q17" s="164"/>
      <c r="R17" s="164"/>
      <c r="S17" s="164"/>
      <c r="T17" s="164"/>
      <c r="U17" s="164"/>
      <c r="V17" s="169"/>
      <c r="W17" s="169"/>
      <c r="X17" s="169"/>
      <c r="Y17" s="16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row>
    <row r="18" spans="2:53" ht="17.399999999999999" customHeight="1">
      <c r="B18" s="160"/>
      <c r="C18" s="175"/>
      <c r="D18" s="162"/>
      <c r="E18" s="162"/>
      <c r="F18" s="162"/>
      <c r="G18" s="162"/>
      <c r="H18" s="162"/>
      <c r="I18" s="162"/>
      <c r="J18" s="170"/>
      <c r="K18" s="162"/>
      <c r="L18" s="162"/>
      <c r="M18" s="162"/>
      <c r="N18" s="167"/>
      <c r="O18" s="168"/>
      <c r="P18" s="164"/>
      <c r="Q18" s="164"/>
      <c r="R18" s="164"/>
      <c r="S18" s="164"/>
      <c r="T18" s="164"/>
      <c r="U18" s="164"/>
      <c r="V18" s="169"/>
      <c r="W18" s="169"/>
      <c r="X18" s="169"/>
      <c r="Y18" s="16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row>
    <row r="19" spans="2:53" ht="17.399999999999999" customHeight="1">
      <c r="B19" s="160"/>
      <c r="C19" s="162" t="s">
        <v>774</v>
      </c>
      <c r="D19" s="162"/>
      <c r="E19" s="162"/>
      <c r="F19" s="162"/>
      <c r="G19" s="162"/>
      <c r="H19" s="162"/>
      <c r="I19" s="162"/>
      <c r="J19" s="176"/>
      <c r="K19" s="177"/>
      <c r="L19" s="333">
        <v>0.3</v>
      </c>
      <c r="M19" s="162"/>
      <c r="N19" s="167"/>
      <c r="O19" s="168"/>
      <c r="P19" s="164"/>
      <c r="Q19" s="164"/>
      <c r="R19" s="164"/>
      <c r="S19" s="164"/>
      <c r="T19" s="164"/>
      <c r="U19" s="164"/>
      <c r="V19" s="169"/>
      <c r="W19" s="169"/>
      <c r="X19" s="169"/>
      <c r="Y19" s="16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row>
    <row r="20" spans="2:53" ht="17.399999999999999" customHeight="1">
      <c r="B20" s="160"/>
      <c r="C20" s="162"/>
      <c r="D20" s="162"/>
      <c r="E20" s="162"/>
      <c r="F20" s="162"/>
      <c r="G20" s="162"/>
      <c r="H20" s="162"/>
      <c r="I20" s="162"/>
      <c r="J20" s="176"/>
      <c r="K20" s="177"/>
      <c r="L20" s="162"/>
      <c r="M20" s="162"/>
      <c r="O20" s="156"/>
      <c r="P20" s="156"/>
      <c r="Q20" s="156"/>
      <c r="R20" s="164"/>
      <c r="S20" s="164"/>
      <c r="T20" s="164"/>
      <c r="U20" s="164"/>
      <c r="V20" s="169"/>
      <c r="W20" s="169"/>
      <c r="X20" s="169"/>
      <c r="Y20" s="16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row>
    <row r="21" spans="2:53" ht="17.399999999999999" customHeight="1">
      <c r="B21" s="160"/>
      <c r="C21" s="162" t="s">
        <v>638</v>
      </c>
      <c r="D21" s="162"/>
      <c r="E21" s="162"/>
      <c r="F21" s="162"/>
      <c r="G21" s="162"/>
      <c r="H21" s="162"/>
      <c r="I21" s="162"/>
      <c r="J21" s="176"/>
      <c r="K21" s="2">
        <v>7</v>
      </c>
      <c r="L21" s="178" t="s">
        <v>7</v>
      </c>
      <c r="M21" s="162"/>
      <c r="O21" s="156"/>
      <c r="P21" s="156"/>
      <c r="Q21" s="156"/>
      <c r="R21" s="164"/>
      <c r="S21" s="164"/>
      <c r="T21" s="164"/>
      <c r="U21" s="164"/>
      <c r="V21" s="169"/>
      <c r="W21" s="169"/>
      <c r="X21" s="169"/>
      <c r="Y21" s="16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row>
    <row r="22" spans="2:53" ht="17.399999999999999" customHeight="1">
      <c r="B22" s="160"/>
      <c r="C22" s="162"/>
      <c r="D22" s="162"/>
      <c r="E22" s="162"/>
      <c r="F22" s="162"/>
      <c r="G22" s="162"/>
      <c r="H22" s="162"/>
      <c r="I22" s="162"/>
      <c r="J22" s="176"/>
      <c r="K22" s="177"/>
      <c r="L22" s="162"/>
      <c r="M22" s="162"/>
      <c r="O22" s="156"/>
      <c r="P22" s="156"/>
      <c r="Q22" s="156"/>
      <c r="R22" s="164"/>
      <c r="S22" s="164"/>
      <c r="T22" s="164"/>
      <c r="U22" s="164"/>
      <c r="V22" s="169"/>
      <c r="W22" s="169"/>
      <c r="X22" s="169"/>
      <c r="Y22" s="16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row>
    <row r="23" spans="2:53" ht="17.399999999999999" customHeight="1">
      <c r="B23" s="160"/>
      <c r="C23" s="162" t="s">
        <v>730</v>
      </c>
      <c r="D23" s="162"/>
      <c r="E23" s="162"/>
      <c r="F23" s="162"/>
      <c r="G23" s="162"/>
      <c r="H23" s="162"/>
      <c r="I23" s="162"/>
      <c r="J23" s="176"/>
      <c r="K23" s="179">
        <f>'5'!C63/10</f>
        <v>6</v>
      </c>
      <c r="L23" s="178" t="s">
        <v>3</v>
      </c>
      <c r="M23" s="162"/>
      <c r="N23" s="167"/>
      <c r="O23" s="168"/>
      <c r="P23" s="164"/>
      <c r="Q23" s="164"/>
      <c r="R23" s="164"/>
      <c r="S23" s="164"/>
      <c r="T23" s="164"/>
      <c r="U23" s="164"/>
      <c r="V23" s="169"/>
      <c r="W23" s="169"/>
      <c r="X23" s="169"/>
      <c r="Y23" s="16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row>
    <row r="24" spans="2:53" ht="17.399999999999999" customHeight="1">
      <c r="B24" s="160"/>
      <c r="C24" s="272" t="str">
        <f>IF(K23&lt;'5'!C65,"Wybierz ZB o wyższym PSV!!!","")</f>
        <v/>
      </c>
      <c r="D24" s="272"/>
      <c r="E24" s="272"/>
      <c r="F24" s="272"/>
      <c r="G24" s="273" t="str">
        <f>IF(K23&lt;'5'!C65,"PSV min=","")</f>
        <v/>
      </c>
      <c r="H24" s="274" t="str">
        <f>IF(K23&lt;'5'!C65,'5'!C65,"")</f>
        <v/>
      </c>
      <c r="I24" s="274" t="str">
        <f>IF(K23&lt;'5'!C65,"bar","")</f>
        <v/>
      </c>
      <c r="J24" s="181"/>
      <c r="K24" s="177"/>
      <c r="L24" s="162"/>
      <c r="M24" s="162"/>
      <c r="N24" s="167"/>
      <c r="O24" s="168"/>
      <c r="P24" s="164"/>
      <c r="Q24" s="164"/>
      <c r="R24" s="164"/>
      <c r="S24" s="164"/>
      <c r="T24" s="164"/>
      <c r="U24" s="164"/>
      <c r="V24" s="169"/>
      <c r="W24" s="169"/>
      <c r="X24" s="169"/>
      <c r="Y24" s="16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row>
    <row r="25" spans="2:53" ht="17.399999999999999" customHeight="1">
      <c r="B25" s="160"/>
      <c r="C25" s="272" t="str">
        <f>IF(AND('5'!E65&gt;'5'!D65,K23&lt;'5'!C65),"z uwagi na ciś. parowania","")</f>
        <v/>
      </c>
      <c r="D25" s="272"/>
      <c r="E25" s="272"/>
      <c r="F25" s="272"/>
      <c r="G25" s="272"/>
      <c r="H25" s="272"/>
      <c r="I25" s="272"/>
      <c r="J25" s="176"/>
      <c r="K25" s="177"/>
      <c r="L25" s="162"/>
      <c r="M25" s="162"/>
      <c r="N25" s="167"/>
      <c r="O25" s="168"/>
      <c r="P25" s="164"/>
      <c r="Q25" s="164"/>
      <c r="R25" s="164"/>
      <c r="S25" s="164"/>
      <c r="T25" s="164"/>
      <c r="U25" s="164"/>
      <c r="V25" s="169"/>
      <c r="W25" s="169"/>
      <c r="X25" s="169"/>
      <c r="Y25" s="16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row>
    <row r="26" spans="2:53" ht="17.399999999999999" customHeight="1">
      <c r="B26" s="160"/>
      <c r="C26" s="162" t="s">
        <v>639</v>
      </c>
      <c r="D26" s="162"/>
      <c r="E26" s="162"/>
      <c r="F26" s="162"/>
      <c r="G26" s="162"/>
      <c r="H26" s="162"/>
      <c r="I26" s="162"/>
      <c r="J26" s="176"/>
      <c r="K26" s="177"/>
      <c r="L26" s="162"/>
      <c r="M26" s="162"/>
      <c r="N26" s="167"/>
      <c r="O26" s="168"/>
      <c r="P26" s="164"/>
      <c r="Q26" s="164"/>
      <c r="R26" s="164"/>
      <c r="S26" s="164"/>
      <c r="T26" s="164"/>
      <c r="U26" s="164"/>
      <c r="V26" s="169"/>
      <c r="W26" s="169"/>
      <c r="X26" s="169"/>
      <c r="Y26" s="16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row>
    <row r="27" spans="2:53" ht="17.399999999999999" customHeight="1">
      <c r="B27" s="160"/>
      <c r="C27" s="162"/>
      <c r="D27" s="162"/>
      <c r="E27" s="162"/>
      <c r="F27" s="162"/>
      <c r="G27" s="162"/>
      <c r="H27" s="162"/>
      <c r="I27" s="162"/>
      <c r="J27" s="170"/>
      <c r="K27" s="162"/>
      <c r="L27" s="162"/>
      <c r="M27" s="162"/>
      <c r="N27" s="167"/>
      <c r="O27" s="168"/>
      <c r="P27" s="164"/>
      <c r="Q27" s="164"/>
      <c r="R27" s="164"/>
      <c r="S27" s="164"/>
      <c r="T27" s="164"/>
      <c r="U27" s="164"/>
      <c r="V27" s="169"/>
      <c r="W27" s="169"/>
      <c r="X27" s="169"/>
      <c r="Y27" s="16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row>
    <row r="28" spans="2:53" ht="17.399999999999999" customHeight="1">
      <c r="B28" s="160"/>
      <c r="C28" s="162" t="s">
        <v>775</v>
      </c>
      <c r="D28" s="162"/>
      <c r="E28" s="162"/>
      <c r="F28" s="162"/>
      <c r="G28" s="162"/>
      <c r="H28" s="162"/>
      <c r="I28" s="162"/>
      <c r="J28" s="170"/>
      <c r="K28" s="162"/>
      <c r="L28" s="333">
        <v>0.08</v>
      </c>
      <c r="M28" s="162"/>
      <c r="N28" s="167"/>
      <c r="O28" s="168"/>
      <c r="P28" s="164"/>
      <c r="Q28" s="164"/>
      <c r="R28" s="164"/>
      <c r="S28" s="164"/>
      <c r="T28" s="164"/>
      <c r="U28" s="164"/>
      <c r="V28" s="169"/>
      <c r="W28" s="169"/>
      <c r="X28" s="169"/>
      <c r="Y28" s="16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row>
    <row r="29" spans="2:53" ht="17.399999999999999" customHeight="1">
      <c r="B29" s="160"/>
      <c r="C29" s="162"/>
      <c r="D29" s="162"/>
      <c r="E29" s="162"/>
      <c r="F29" s="162"/>
      <c r="G29" s="162"/>
      <c r="H29" s="162"/>
      <c r="I29" s="162"/>
      <c r="J29" s="170"/>
      <c r="K29" s="162"/>
      <c r="L29" s="162"/>
      <c r="M29" s="162"/>
      <c r="N29" s="167"/>
      <c r="O29" s="168"/>
      <c r="P29" s="164"/>
      <c r="Q29" s="164"/>
      <c r="R29" s="164"/>
      <c r="S29" s="164"/>
      <c r="T29" s="164"/>
      <c r="U29" s="164"/>
      <c r="V29" s="169"/>
      <c r="W29" s="169"/>
      <c r="X29" s="169"/>
      <c r="Y29" s="16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row>
    <row r="30" spans="2:53" ht="17.399999999999999" customHeight="1">
      <c r="B30" s="160"/>
      <c r="C30" s="162" t="s">
        <v>477</v>
      </c>
      <c r="D30" s="162"/>
      <c r="E30" s="162"/>
      <c r="F30" s="162"/>
      <c r="G30" s="162"/>
      <c r="H30" s="162"/>
      <c r="I30" s="162"/>
      <c r="J30" s="170"/>
      <c r="K30" s="178">
        <f>'5'!H47/10</f>
        <v>0.5</v>
      </c>
      <c r="L30" s="182" t="s">
        <v>5</v>
      </c>
      <c r="M30" s="162"/>
      <c r="N30" s="167"/>
      <c r="O30" s="168"/>
      <c r="P30" s="164"/>
      <c r="Q30" s="164"/>
      <c r="R30" s="164"/>
      <c r="S30" s="164"/>
      <c r="T30" s="164"/>
      <c r="U30" s="164"/>
      <c r="V30" s="169"/>
      <c r="W30" s="169"/>
      <c r="X30" s="169"/>
      <c r="Y30" s="16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row>
    <row r="31" spans="2:53" ht="17.399999999999999" customHeight="1">
      <c r="B31" s="160"/>
      <c r="C31" s="162"/>
      <c r="D31" s="162"/>
      <c r="E31" s="162"/>
      <c r="F31" s="162"/>
      <c r="G31" s="162"/>
      <c r="H31" s="162"/>
      <c r="I31" s="162"/>
      <c r="J31" s="170"/>
      <c r="K31" s="162"/>
      <c r="L31" s="162"/>
      <c r="M31" s="162"/>
      <c r="N31" s="167"/>
      <c r="O31" s="168"/>
      <c r="P31" s="164"/>
      <c r="Q31" s="164"/>
      <c r="R31" s="164"/>
      <c r="S31" s="164"/>
      <c r="T31" s="164"/>
      <c r="U31" s="164"/>
      <c r="V31" s="169"/>
      <c r="W31" s="169"/>
      <c r="X31" s="169"/>
      <c r="Y31" s="16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row>
    <row r="32" spans="2:53" ht="17.399999999999999" customHeight="1">
      <c r="C32" s="183" t="s">
        <v>361</v>
      </c>
      <c r="O32" s="168"/>
      <c r="P32" s="164"/>
      <c r="Q32" s="164"/>
      <c r="R32" s="164"/>
      <c r="S32" s="164"/>
      <c r="T32" s="164"/>
      <c r="U32" s="164"/>
      <c r="V32" s="169"/>
      <c r="W32" s="169"/>
      <c r="X32" s="169"/>
      <c r="Y32" s="16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row>
    <row r="33" spans="3:53" ht="17.399999999999999" customHeight="1">
      <c r="C33" s="183"/>
      <c r="O33" s="168"/>
      <c r="P33" s="164"/>
      <c r="Q33" s="164"/>
      <c r="R33" s="164"/>
      <c r="S33" s="164"/>
      <c r="T33" s="164"/>
      <c r="U33" s="164"/>
      <c r="V33" s="169"/>
      <c r="W33" s="169"/>
      <c r="X33" s="169"/>
      <c r="Y33" s="16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row>
    <row r="34" spans="3:53" ht="17.399999999999999" customHeight="1">
      <c r="C34" s="183" t="s">
        <v>766</v>
      </c>
      <c r="F34" s="489" t="str">
        <f>IF(F5="","",F5)</f>
        <v/>
      </c>
      <c r="G34" s="490"/>
      <c r="H34" s="490"/>
      <c r="I34" s="490"/>
      <c r="J34" s="490"/>
      <c r="K34" s="490"/>
      <c r="O34" s="168"/>
      <c r="P34" s="164"/>
      <c r="Q34" s="164"/>
      <c r="R34" s="164"/>
      <c r="S34" s="164"/>
      <c r="T34" s="164"/>
      <c r="U34" s="164"/>
      <c r="V34" s="169"/>
      <c r="W34" s="169"/>
      <c r="X34" s="169"/>
      <c r="Y34" s="16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row>
    <row r="35" spans="3:53" ht="17.399999999999999" customHeight="1">
      <c r="C35" s="183" t="s">
        <v>767</v>
      </c>
      <c r="F35" s="491" t="str">
        <f>IF(F7="","",F7)</f>
        <v>IMI Hydronic Engineering</v>
      </c>
      <c r="G35" s="490"/>
      <c r="H35" s="490"/>
      <c r="I35" s="490"/>
      <c r="J35" s="490"/>
      <c r="K35" s="490"/>
      <c r="O35" s="168"/>
      <c r="P35" s="164"/>
      <c r="Q35" s="164"/>
      <c r="R35" s="164"/>
      <c r="S35" s="164"/>
      <c r="T35" s="164"/>
      <c r="U35" s="164"/>
      <c r="V35" s="169"/>
      <c r="W35" s="169"/>
      <c r="X35" s="169"/>
      <c r="Y35" s="16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row>
    <row r="36" spans="3:53" ht="17.399999999999999" customHeight="1">
      <c r="C36" s="332" t="s">
        <v>768</v>
      </c>
      <c r="D36" s="331"/>
      <c r="E36" s="330"/>
      <c r="F36" s="493">
        <f ca="1">NOW()</f>
        <v>44656.337238425927</v>
      </c>
      <c r="G36" s="493"/>
      <c r="J36" s="329"/>
      <c r="O36" s="168"/>
      <c r="P36" s="164"/>
      <c r="Q36" s="164"/>
      <c r="R36" s="164"/>
      <c r="S36" s="164"/>
      <c r="T36" s="164"/>
      <c r="U36" s="164"/>
      <c r="V36" s="169"/>
      <c r="W36" s="169"/>
      <c r="X36" s="169"/>
      <c r="Y36" s="16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row>
    <row r="37" spans="3:53" ht="17.399999999999999" customHeight="1">
      <c r="C37" s="183"/>
      <c r="J37" s="329"/>
      <c r="O37" s="168"/>
      <c r="P37" s="164"/>
      <c r="Q37" s="164"/>
      <c r="R37" s="164"/>
      <c r="S37" s="164"/>
      <c r="T37" s="164"/>
      <c r="U37" s="164"/>
      <c r="V37" s="169"/>
      <c r="W37" s="169"/>
      <c r="X37" s="169"/>
      <c r="Y37" s="16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row>
    <row r="38" spans="3:53" ht="17.399999999999999" customHeight="1">
      <c r="C38" s="183" t="s">
        <v>660</v>
      </c>
      <c r="O38" s="168"/>
      <c r="P38" s="164"/>
      <c r="Q38" s="164"/>
      <c r="R38" s="164"/>
      <c r="S38" s="164"/>
      <c r="T38" s="164"/>
      <c r="U38" s="164"/>
      <c r="V38" s="169"/>
      <c r="W38" s="169"/>
      <c r="X38" s="169"/>
      <c r="Y38" s="16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row>
    <row r="39" spans="3:53" ht="17.399999999999999" customHeight="1">
      <c r="C39" s="183"/>
      <c r="O39" s="168"/>
      <c r="P39" s="164"/>
      <c r="Q39" s="164"/>
      <c r="R39" s="164"/>
      <c r="S39" s="164"/>
      <c r="T39" s="164"/>
      <c r="U39" s="164"/>
      <c r="V39" s="169"/>
      <c r="W39" s="169"/>
      <c r="X39" s="169"/>
      <c r="Y39" s="16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row>
    <row r="40" spans="3:53" ht="17.399999999999999" customHeight="1">
      <c r="C40" s="183" t="s">
        <v>661</v>
      </c>
      <c r="K40" s="183">
        <f>K9</f>
        <v>120</v>
      </c>
      <c r="L40" s="183" t="str">
        <f>L11</f>
        <v>˚C</v>
      </c>
      <c r="O40" s="168"/>
      <c r="P40" s="164"/>
      <c r="Q40" s="164"/>
      <c r="R40" s="164"/>
      <c r="S40" s="164"/>
      <c r="T40" s="164"/>
      <c r="U40" s="164"/>
      <c r="V40" s="169"/>
      <c r="W40" s="169"/>
      <c r="X40" s="169"/>
      <c r="Y40" s="16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row>
    <row r="41" spans="3:53" ht="17.399999999999999" customHeight="1">
      <c r="C41" s="183" t="s">
        <v>662</v>
      </c>
      <c r="K41" s="183">
        <f>K11</f>
        <v>0</v>
      </c>
      <c r="L41" s="183" t="str">
        <f>L13</f>
        <v>˚C</v>
      </c>
      <c r="O41" s="168"/>
      <c r="P41" s="164"/>
      <c r="Q41" s="164"/>
      <c r="R41" s="164"/>
      <c r="S41" s="164"/>
      <c r="T41" s="164"/>
      <c r="U41" s="164"/>
      <c r="V41" s="169"/>
      <c r="W41" s="169"/>
      <c r="X41" s="169"/>
      <c r="Y41" s="16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row>
    <row r="42" spans="3:53" ht="17.399999999999999" customHeight="1">
      <c r="C42" s="183" t="s">
        <v>663</v>
      </c>
      <c r="K42" s="183">
        <f>K13</f>
        <v>20</v>
      </c>
      <c r="L42" s="183" t="str">
        <f>L13</f>
        <v>˚C</v>
      </c>
      <c r="O42" s="168"/>
      <c r="P42" s="164"/>
      <c r="Q42" s="164"/>
      <c r="R42" s="164"/>
      <c r="S42" s="164"/>
      <c r="T42" s="164"/>
      <c r="U42" s="164"/>
      <c r="V42" s="169"/>
      <c r="W42" s="169"/>
      <c r="X42" s="169"/>
      <c r="Y42" s="16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row>
    <row r="43" spans="3:53" ht="17.399999999999999" customHeight="1">
      <c r="C43" s="183" t="s">
        <v>13</v>
      </c>
      <c r="J43" s="487" t="str">
        <f>'5'!F48</f>
        <v>glikol propylenowy:  30%        (-14˚C)</v>
      </c>
      <c r="K43" s="488"/>
      <c r="L43" s="488"/>
      <c r="M43" s="488"/>
      <c r="O43" s="168"/>
      <c r="P43" s="164"/>
      <c r="Q43" s="164"/>
      <c r="R43" s="164"/>
      <c r="S43" s="164"/>
      <c r="T43" s="164"/>
      <c r="U43" s="164"/>
      <c r="V43" s="169"/>
      <c r="W43" s="169"/>
      <c r="X43" s="169"/>
      <c r="Y43" s="16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row>
    <row r="44" spans="3:53" ht="17.399999999999999" customHeight="1">
      <c r="C44" s="183" t="s">
        <v>773</v>
      </c>
      <c r="K44" s="334">
        <f>L19</f>
        <v>0.3</v>
      </c>
      <c r="L44" s="183" t="s">
        <v>771</v>
      </c>
      <c r="O44" s="168"/>
      <c r="P44" s="164"/>
      <c r="Q44" s="164"/>
      <c r="R44" s="164"/>
      <c r="S44" s="164"/>
      <c r="T44" s="164"/>
      <c r="U44" s="164"/>
      <c r="V44" s="169"/>
      <c r="W44" s="169"/>
      <c r="X44" s="169"/>
      <c r="Y44" s="16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row>
    <row r="45" spans="3:53" ht="17.399999999999999" customHeight="1">
      <c r="C45" s="183" t="s">
        <v>665</v>
      </c>
      <c r="K45" s="183">
        <f>K21</f>
        <v>7</v>
      </c>
      <c r="L45" s="183" t="str">
        <f>L21</f>
        <v>m</v>
      </c>
      <c r="M45" s="1"/>
      <c r="O45" s="168"/>
      <c r="P45" s="164"/>
      <c r="Q45" s="164"/>
      <c r="R45" s="164"/>
      <c r="S45" s="164"/>
      <c r="T45" s="164"/>
      <c r="U45" s="164"/>
      <c r="V45" s="169"/>
      <c r="W45" s="169"/>
      <c r="X45" s="169"/>
      <c r="Y45" s="16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row>
    <row r="46" spans="3:53" ht="17.399999999999999" customHeight="1">
      <c r="C46" s="183" t="s">
        <v>15</v>
      </c>
      <c r="K46" s="216">
        <f>K23</f>
        <v>6</v>
      </c>
      <c r="L46" s="183" t="str">
        <f>L23</f>
        <v>bar</v>
      </c>
      <c r="O46" s="168"/>
      <c r="P46" s="164"/>
      <c r="Q46" s="164"/>
      <c r="R46" s="164"/>
      <c r="S46" s="164"/>
      <c r="T46" s="164"/>
      <c r="U46" s="164"/>
      <c r="V46" s="169"/>
      <c r="W46" s="169"/>
      <c r="X46" s="169"/>
      <c r="Y46" s="16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row>
    <row r="47" spans="3:53" ht="17.399999999999999" customHeight="1">
      <c r="C47" s="183" t="s">
        <v>776</v>
      </c>
      <c r="K47" s="334">
        <f>L28</f>
        <v>0.08</v>
      </c>
      <c r="L47" s="183" t="s">
        <v>771</v>
      </c>
      <c r="O47" s="168"/>
      <c r="P47" s="164"/>
      <c r="Q47" s="164"/>
      <c r="R47" s="164"/>
      <c r="S47" s="164"/>
      <c r="T47" s="164"/>
      <c r="U47" s="164"/>
      <c r="V47" s="169"/>
      <c r="W47" s="169"/>
      <c r="X47" s="169"/>
      <c r="Y47" s="16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row>
    <row r="48" spans="3:53" ht="17.399999999999999" customHeight="1">
      <c r="C48" s="183"/>
      <c r="O48" s="168"/>
      <c r="P48" s="164"/>
      <c r="Q48" s="164"/>
      <c r="R48" s="164"/>
      <c r="S48" s="164"/>
      <c r="T48" s="164"/>
      <c r="U48" s="164"/>
      <c r="V48" s="169"/>
      <c r="W48" s="169"/>
      <c r="X48" s="169"/>
      <c r="Y48" s="16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row>
    <row r="49" spans="3:53" ht="17.399999999999999" customHeight="1">
      <c r="C49" s="183" t="s">
        <v>20</v>
      </c>
      <c r="M49" s="184"/>
      <c r="O49" s="168"/>
      <c r="P49" s="164"/>
      <c r="Q49" s="164"/>
      <c r="R49" s="164"/>
      <c r="S49" s="164"/>
      <c r="T49" s="164"/>
      <c r="U49" s="164"/>
      <c r="V49" s="169"/>
      <c r="W49" s="169"/>
      <c r="X49" s="169"/>
      <c r="Y49" s="16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row>
    <row r="50" spans="3:53" ht="17.399999999999999" customHeight="1">
      <c r="L50" s="185"/>
      <c r="O50" s="168"/>
      <c r="P50" s="166"/>
      <c r="Q50" s="164"/>
      <c r="R50" s="166"/>
      <c r="S50" s="164"/>
      <c r="T50" s="166"/>
      <c r="U50" s="164"/>
      <c r="V50" s="169"/>
      <c r="W50" s="169"/>
      <c r="X50" s="169"/>
      <c r="Y50" s="16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row>
    <row r="51" spans="3:53" ht="17.399999999999999" customHeight="1">
      <c r="L51" s="184"/>
      <c r="O51" s="168"/>
      <c r="P51" s="164"/>
      <c r="Q51" s="164"/>
      <c r="R51" s="164"/>
      <c r="S51" s="164"/>
      <c r="T51" s="164"/>
      <c r="U51" s="164"/>
      <c r="V51" s="169"/>
      <c r="W51" s="169"/>
      <c r="X51" s="169"/>
      <c r="Y51" s="16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row>
    <row r="52" spans="3:53" ht="17.399999999999999" customHeight="1">
      <c r="J52" s="1" t="s">
        <v>21</v>
      </c>
      <c r="O52" s="168"/>
      <c r="P52" s="164"/>
      <c r="Q52" s="164"/>
      <c r="R52" s="164"/>
      <c r="S52" s="164"/>
      <c r="T52" s="164"/>
      <c r="U52" s="164"/>
      <c r="V52" s="169"/>
      <c r="W52" s="169"/>
      <c r="X52" s="169"/>
      <c r="Y52" s="16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row>
    <row r="53" spans="3:53" ht="17.399999999999999" customHeight="1">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row>
    <row r="54" spans="3:53" ht="17.399999999999999" customHeight="1">
      <c r="C54" s="1" t="s">
        <v>0</v>
      </c>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row>
    <row r="55" spans="3:53" ht="17.399999999999999" customHeight="1">
      <c r="D55" s="157" t="s">
        <v>132</v>
      </c>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row>
    <row r="56" spans="3:53" ht="17.399999999999999" customHeight="1">
      <c r="D56" s="157" t="s">
        <v>23</v>
      </c>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row>
    <row r="57" spans="3:53" ht="17.399999999999999" customHeight="1">
      <c r="D57" s="157" t="s">
        <v>22</v>
      </c>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row>
    <row r="58" spans="3:53" ht="17.399999999999999" customHeight="1">
      <c r="D58" s="157" t="s">
        <v>65</v>
      </c>
      <c r="N58" s="186"/>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row>
    <row r="59" spans="3:53" ht="17.399999999999999" customHeight="1">
      <c r="D59" s="157" t="s">
        <v>46</v>
      </c>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row>
    <row r="60" spans="3:53" ht="17.399999999999999" customHeight="1">
      <c r="D60" s="157" t="s">
        <v>472</v>
      </c>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row>
    <row r="61" spans="3:53" ht="17.399999999999999" customHeight="1">
      <c r="D61" s="157" t="s">
        <v>45</v>
      </c>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row>
    <row r="62" spans="3:53" ht="17.399999999999999" customHeight="1">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row>
    <row r="63" spans="3:53" ht="17.399999999999999" customHeight="1">
      <c r="C63" s="183" t="s">
        <v>24</v>
      </c>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row>
    <row r="64" spans="3:53" ht="17.399999999999999" customHeight="1">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row>
    <row r="65" spans="3:53" ht="17.399999999999999" customHeight="1">
      <c r="E65" s="187"/>
      <c r="F65" s="187"/>
      <c r="G65" s="157" t="s">
        <v>21</v>
      </c>
      <c r="H65" s="188"/>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row>
    <row r="66" spans="3:53" ht="17.399999999999999" customHeight="1">
      <c r="C66" s="1" t="s">
        <v>0</v>
      </c>
      <c r="I66" s="1"/>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row>
    <row r="67" spans="3:53" ht="17.399999999999999" customHeight="1">
      <c r="D67" s="157" t="s">
        <v>23</v>
      </c>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row>
    <row r="68" spans="3:53" ht="17.399999999999999" customHeight="1">
      <c r="D68" s="157" t="s">
        <v>25</v>
      </c>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row>
    <row r="69" spans="3:53" ht="17.399999999999999" customHeight="1">
      <c r="D69" s="157" t="s">
        <v>27</v>
      </c>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row>
    <row r="70" spans="3:53" ht="17.399999999999999" customHeight="1">
      <c r="E70" s="1"/>
      <c r="F70" s="1"/>
      <c r="G70" s="189"/>
      <c r="H70" s="189"/>
      <c r="I70" s="188"/>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row>
    <row r="71" spans="3:53" ht="17.399999999999999" customHeight="1">
      <c r="C71" s="1" t="s">
        <v>28</v>
      </c>
      <c r="E71" s="1"/>
      <c r="F71" s="1"/>
      <c r="G71" s="188"/>
      <c r="H71" s="188"/>
      <c r="I71" s="188"/>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row>
    <row r="72" spans="3:53" ht="17.399999999999999" customHeight="1">
      <c r="D72" s="1" t="s">
        <v>57</v>
      </c>
      <c r="E72" s="190">
        <f>L19*1000</f>
        <v>300</v>
      </c>
      <c r="F72" s="157" t="s">
        <v>21</v>
      </c>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row>
    <row r="73" spans="3:53" ht="17.399999999999999" customHeight="1">
      <c r="D73" s="1" t="s">
        <v>59</v>
      </c>
      <c r="E73" s="12">
        <f>'5'!C69</f>
        <v>9.2123109024517397E-2</v>
      </c>
      <c r="F73" s="187"/>
      <c r="G73" s="191" t="s">
        <v>36</v>
      </c>
      <c r="H73" s="192" t="s">
        <v>60</v>
      </c>
      <c r="I73" s="157">
        <f>K9</f>
        <v>120</v>
      </c>
      <c r="J73" s="193" t="s">
        <v>33</v>
      </c>
      <c r="K73" s="157" t="s">
        <v>654</v>
      </c>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row>
    <row r="74" spans="3:53" ht="17.399999999999999" customHeight="1">
      <c r="H74" s="192" t="s">
        <v>647</v>
      </c>
      <c r="I74" s="157">
        <f>K11</f>
        <v>0</v>
      </c>
      <c r="J74" s="193" t="s">
        <v>33</v>
      </c>
      <c r="K74" s="157" t="str">
        <f>'5'!F48</f>
        <v>glikol propylenowy:  30%        (-14˚C)</v>
      </c>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row>
    <row r="75" spans="3:53" ht="17.399999999999999" customHeight="1">
      <c r="C75" s="1" t="s">
        <v>32</v>
      </c>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row>
    <row r="76" spans="3:53" ht="17.399999999999999" customHeight="1">
      <c r="D76" s="1" t="s">
        <v>58</v>
      </c>
      <c r="E76" s="184">
        <f>E72*E73</f>
        <v>27.636932707355218</v>
      </c>
      <c r="F76" s="157" t="s">
        <v>230</v>
      </c>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row>
    <row r="77" spans="3:53" ht="17.399999999999999" customHeight="1">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row>
    <row r="78" spans="3:53" ht="17.399999999999999" customHeight="1">
      <c r="C78" s="183" t="s">
        <v>37</v>
      </c>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row>
    <row r="79" spans="3:53" ht="17.399999999999999" customHeight="1">
      <c r="E79" s="194"/>
      <c r="F79" s="194"/>
      <c r="G79" s="188"/>
      <c r="H79" s="188"/>
      <c r="I79" s="188"/>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row>
    <row r="80" spans="3:53" ht="17.399999999999999" customHeight="1">
      <c r="G80" s="157" t="s">
        <v>21</v>
      </c>
      <c r="H80" s="157" t="s">
        <v>38</v>
      </c>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row>
    <row r="81" spans="3:53" ht="17.399999999999999" customHeight="1">
      <c r="C81" s="1" t="s">
        <v>0</v>
      </c>
      <c r="E81" s="1"/>
      <c r="F81" s="1"/>
      <c r="G81" s="189"/>
      <c r="H81" s="189"/>
      <c r="I81" s="188"/>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row>
    <row r="82" spans="3:53" ht="17.399999999999999" customHeight="1">
      <c r="D82" s="157" t="s">
        <v>22</v>
      </c>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row>
    <row r="83" spans="3:53" ht="17.399999999999999" customHeight="1">
      <c r="D83" s="157" t="s">
        <v>475</v>
      </c>
      <c r="I83" s="157" t="s">
        <v>473</v>
      </c>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row>
    <row r="84" spans="3:53" ht="17.399999999999999" customHeight="1">
      <c r="C84" s="183"/>
      <c r="D84" s="157" t="s">
        <v>27</v>
      </c>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row>
    <row r="85" spans="3:53" ht="17.399999999999999" customHeight="1">
      <c r="C85" s="183"/>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row>
    <row r="86" spans="3:53" ht="17.399999999999999" customHeight="1">
      <c r="C86" s="1" t="s">
        <v>28</v>
      </c>
      <c r="E86" s="1"/>
      <c r="F86" s="1"/>
      <c r="G86" s="195"/>
      <c r="H86" s="195"/>
      <c r="I86" s="188"/>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row>
    <row r="87" spans="3:53" ht="17.399999999999999" customHeight="1">
      <c r="D87" s="1" t="s">
        <v>57</v>
      </c>
      <c r="E87" s="190">
        <f>L19*1000</f>
        <v>300</v>
      </c>
      <c r="F87" s="157" t="s">
        <v>21</v>
      </c>
      <c r="G87" s="196"/>
      <c r="H87" s="196"/>
      <c r="I87" s="197"/>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row>
    <row r="88" spans="3:53" ht="17.399999999999999" customHeight="1">
      <c r="D88" s="1" t="s">
        <v>476</v>
      </c>
      <c r="E88" s="157">
        <f>K30</f>
        <v>0.5</v>
      </c>
      <c r="F88" s="157" t="s">
        <v>264</v>
      </c>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row>
    <row r="89" spans="3:53" ht="17.399999999999999" customHeight="1">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row>
    <row r="90" spans="3:53" ht="17.399999999999999" customHeight="1">
      <c r="C90" s="1" t="s">
        <v>32</v>
      </c>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row>
    <row r="91" spans="3:53" ht="17.399999999999999" customHeight="1">
      <c r="D91" s="1" t="s">
        <v>61</v>
      </c>
      <c r="E91" s="184">
        <f>IF('5'!C70&lt;3,3,'5'!C70)</f>
        <v>3</v>
      </c>
      <c r="F91" s="157" t="s">
        <v>230</v>
      </c>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row>
    <row r="92" spans="3:53" ht="17.399999999999999" customHeight="1">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row>
    <row r="93" spans="3:53" ht="17.399999999999999" customHeight="1">
      <c r="C93" s="183" t="s">
        <v>40</v>
      </c>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row>
    <row r="94" spans="3:53" ht="17.399999999999999" customHeight="1">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row>
    <row r="95" spans="3:53" ht="17.399999999999999" customHeight="1">
      <c r="G95" s="157" t="s">
        <v>41</v>
      </c>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row>
    <row r="96" spans="3:53" ht="17.399999999999999" customHeight="1">
      <c r="C96" s="1" t="s">
        <v>0</v>
      </c>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row>
    <row r="97" spans="3:53" ht="17.399999999999999" customHeight="1">
      <c r="D97" s="157" t="s">
        <v>42</v>
      </c>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row>
    <row r="98" spans="3:53" ht="17.399999999999999" customHeight="1">
      <c r="C98" s="183"/>
      <c r="D98" s="157" t="s">
        <v>43</v>
      </c>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row>
    <row r="99" spans="3:53" ht="17.399999999999999" customHeight="1">
      <c r="D99" s="157" t="s">
        <v>44</v>
      </c>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row>
    <row r="100" spans="3:53" ht="17.399999999999999" customHeight="1">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row>
    <row r="101" spans="3:53" ht="17.399999999999999" customHeight="1">
      <c r="C101" s="1" t="s">
        <v>28</v>
      </c>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row>
    <row r="102" spans="3:53" ht="17.399999999999999" customHeight="1">
      <c r="D102" s="1" t="s">
        <v>62</v>
      </c>
      <c r="E102" s="157">
        <f>K21</f>
        <v>7</v>
      </c>
      <c r="F102" s="157" t="s">
        <v>231</v>
      </c>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row>
    <row r="103" spans="3:53" ht="17.399999999999999" customHeight="1">
      <c r="D103" s="1" t="s">
        <v>63</v>
      </c>
      <c r="E103" s="157">
        <f>IF(K9&gt;100,'5'!C71,0)</f>
        <v>0.90999999999999992</v>
      </c>
      <c r="F103" s="157" t="s">
        <v>41</v>
      </c>
      <c r="G103" s="191" t="s">
        <v>36</v>
      </c>
      <c r="H103" s="192" t="s">
        <v>60</v>
      </c>
      <c r="I103" s="157">
        <f>K9</f>
        <v>120</v>
      </c>
      <c r="J103" s="193" t="s">
        <v>33</v>
      </c>
      <c r="L103" s="198"/>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row>
    <row r="104" spans="3:53" ht="17.399999999999999" customHeight="1">
      <c r="C104" s="1" t="s">
        <v>32</v>
      </c>
      <c r="G104" s="191"/>
      <c r="H104" s="157" t="s">
        <v>34</v>
      </c>
      <c r="K104" s="157" t="str">
        <f>'5'!F48</f>
        <v>glikol propylenowy:  30%        (-14˚C)</v>
      </c>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row>
    <row r="105" spans="3:53" ht="17.399999999999999" customHeight="1">
      <c r="D105" s="1" t="s">
        <v>64</v>
      </c>
      <c r="E105" s="184">
        <f>E102/10+E103+0.3</f>
        <v>1.91</v>
      </c>
      <c r="F105" s="199" t="s">
        <v>3</v>
      </c>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row>
    <row r="106" spans="3:53" ht="17.399999999999999" customHeight="1">
      <c r="E106" s="1"/>
      <c r="F106" s="1"/>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row>
    <row r="107" spans="3:53" ht="17.399999999999999" customHeight="1">
      <c r="C107" s="183" t="s">
        <v>66</v>
      </c>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row>
    <row r="108" spans="3:53" ht="17.399999999999999" customHeight="1">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row>
    <row r="109" spans="3:53" ht="17.399999999999999" customHeight="1">
      <c r="G109" s="157" t="s">
        <v>41</v>
      </c>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row>
    <row r="110" spans="3:53" ht="17.399999999999999" customHeight="1">
      <c r="C110" s="1" t="s">
        <v>0</v>
      </c>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row>
    <row r="111" spans="3:53" ht="17.399999999999999" customHeight="1">
      <c r="D111" s="157" t="s">
        <v>65</v>
      </c>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row>
    <row r="112" spans="3:53" ht="17.399999999999999" customHeight="1">
      <c r="D112" s="157" t="s">
        <v>67</v>
      </c>
      <c r="E112" s="190"/>
      <c r="F112" s="190"/>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row>
    <row r="113" spans="3:53" ht="17.399999999999999" customHeight="1">
      <c r="D113" s="157" t="s">
        <v>68</v>
      </c>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row>
    <row r="114" spans="3:53" ht="17.399999999999999" customHeight="1">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row>
    <row r="115" spans="3:53" ht="17.399999999999999" customHeight="1">
      <c r="C115" s="1" t="s">
        <v>28</v>
      </c>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row>
    <row r="116" spans="3:53" ht="17.399999999999999" customHeight="1">
      <c r="D116" s="1" t="s">
        <v>69</v>
      </c>
      <c r="E116" s="184">
        <f>K23</f>
        <v>6</v>
      </c>
      <c r="F116" s="200" t="s">
        <v>41</v>
      </c>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row>
    <row r="117" spans="3:53" ht="17.399999999999999" customHeight="1">
      <c r="C117" s="1"/>
      <c r="D117" s="201" t="s">
        <v>70</v>
      </c>
      <c r="E117" s="202">
        <f>IF(E116&gt;5,0.1*E116,0.5)</f>
        <v>0.60000000000000009</v>
      </c>
      <c r="F117" s="200" t="s">
        <v>41</v>
      </c>
      <c r="G117" s="203"/>
      <c r="H117" s="203"/>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row>
    <row r="118" spans="3:53" ht="17.399999999999999" customHeight="1">
      <c r="C118" s="1" t="s">
        <v>32</v>
      </c>
      <c r="E118" s="204"/>
      <c r="F118" s="205"/>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row>
    <row r="119" spans="3:53" ht="17.399999999999999" customHeight="1">
      <c r="D119" s="1" t="s">
        <v>71</v>
      </c>
      <c r="E119" s="184">
        <f>E116-E117</f>
        <v>5.4</v>
      </c>
      <c r="F119" s="200" t="s">
        <v>3</v>
      </c>
      <c r="J119" s="485"/>
      <c r="K119" s="486"/>
      <c r="L119" s="188"/>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row>
    <row r="120" spans="3:53" ht="17.399999999999999" customHeight="1">
      <c r="I120" s="206"/>
      <c r="J120" s="207"/>
      <c r="K120" s="183"/>
      <c r="L120" s="183"/>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row>
    <row r="121" spans="3:53" ht="17.399999999999999" customHeight="1">
      <c r="C121" s="183" t="s">
        <v>72</v>
      </c>
      <c r="J121" s="207"/>
      <c r="K121" s="183"/>
      <c r="L121" s="183"/>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row>
    <row r="122" spans="3:53" ht="17.399999999999999" customHeight="1">
      <c r="J122" s="207"/>
      <c r="K122" s="183"/>
      <c r="L122" s="183"/>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row>
    <row r="123" spans="3:53" ht="17.399999999999999" customHeight="1">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row>
    <row r="124" spans="3:53" ht="17.399999999999999" customHeight="1">
      <c r="C124" s="1" t="s">
        <v>0</v>
      </c>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row>
    <row r="125" spans="3:53" ht="17.399999999999999" customHeight="1">
      <c r="D125" s="157" t="s">
        <v>73</v>
      </c>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row>
    <row r="126" spans="3:53" ht="17.399999999999999" customHeight="1">
      <c r="D126" s="157" t="s">
        <v>65</v>
      </c>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row>
    <row r="127" spans="3:53" ht="17.399999999999999" customHeight="1">
      <c r="D127" s="157" t="s">
        <v>74</v>
      </c>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row>
    <row r="128" spans="3:53" ht="17.399999999999999" customHeight="1">
      <c r="C128" s="208"/>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row>
    <row r="129" spans="3:53" ht="17.399999999999999" customHeight="1">
      <c r="C129" s="1" t="s">
        <v>28</v>
      </c>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row>
    <row r="130" spans="3:53" ht="17.399999999999999" customHeight="1">
      <c r="D130" s="1" t="s">
        <v>71</v>
      </c>
      <c r="E130" s="184">
        <f>E119</f>
        <v>5.4</v>
      </c>
      <c r="F130" s="200" t="s">
        <v>41</v>
      </c>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row>
    <row r="131" spans="3:53" ht="17.399999999999999" customHeight="1">
      <c r="D131" s="1" t="s">
        <v>64</v>
      </c>
      <c r="E131" s="184">
        <f>E105</f>
        <v>1.91</v>
      </c>
      <c r="F131" s="200" t="s">
        <v>41</v>
      </c>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row>
    <row r="132" spans="3:53" ht="17.399999999999999" customHeight="1">
      <c r="C132" s="1" t="s">
        <v>32</v>
      </c>
      <c r="J132" s="207"/>
      <c r="K132" s="183"/>
      <c r="L132" s="183"/>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row>
    <row r="133" spans="3:53" ht="17.399999999999999" customHeight="1">
      <c r="D133" s="1" t="s">
        <v>75</v>
      </c>
      <c r="E133" s="204">
        <f>(E130+1)/(E130-E131)</f>
        <v>1.8338108882521489</v>
      </c>
      <c r="J133" s="209"/>
      <c r="K133" s="183"/>
      <c r="L133" s="183"/>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row>
    <row r="134" spans="3:53" ht="17.399999999999999" customHeight="1">
      <c r="J134" s="207"/>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row>
    <row r="135" spans="3:53" ht="17.399999999999999" customHeight="1">
      <c r="C135" s="183" t="s">
        <v>76</v>
      </c>
      <c r="J135" s="207"/>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row>
    <row r="136" spans="3:53" ht="17.399999999999999" customHeight="1">
      <c r="J136" s="207"/>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row>
    <row r="137" spans="3:53" ht="17.399999999999999" customHeight="1">
      <c r="C137" s="1" t="s">
        <v>28</v>
      </c>
      <c r="J137" s="207"/>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row>
    <row r="138" spans="3:53" ht="17.399999999999999" customHeight="1">
      <c r="D138" s="1" t="s">
        <v>58</v>
      </c>
      <c r="E138" s="184">
        <f>E76</f>
        <v>27.636932707355218</v>
      </c>
      <c r="F138" s="157" t="s">
        <v>21</v>
      </c>
      <c r="J138" s="207"/>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row>
    <row r="139" spans="3:53" ht="17.399999999999999" customHeight="1">
      <c r="D139" s="1" t="s">
        <v>61</v>
      </c>
      <c r="E139" s="184">
        <f>E91</f>
        <v>3</v>
      </c>
      <c r="F139" s="157" t="s">
        <v>21</v>
      </c>
      <c r="J139" s="207"/>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row>
    <row r="140" spans="3:53" ht="17.399999999999999" customHeight="1">
      <c r="D140" s="1" t="s">
        <v>471</v>
      </c>
      <c r="E140" s="184">
        <f>L28*1000</f>
        <v>80</v>
      </c>
      <c r="F140" s="157" t="s">
        <v>21</v>
      </c>
      <c r="J140" s="207"/>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row>
    <row r="141" spans="3:53" ht="17.399999999999999" customHeight="1">
      <c r="D141" s="1" t="s">
        <v>71</v>
      </c>
      <c r="E141" s="184">
        <f>E119</f>
        <v>5.4</v>
      </c>
      <c r="F141" s="200" t="s">
        <v>41</v>
      </c>
      <c r="J141" s="207"/>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row>
    <row r="142" spans="3:53" ht="17.399999999999999" customHeight="1">
      <c r="D142" s="1" t="s">
        <v>64</v>
      </c>
      <c r="E142" s="184">
        <f>E105</f>
        <v>1.91</v>
      </c>
      <c r="F142" s="200" t="s">
        <v>41</v>
      </c>
      <c r="J142" s="207"/>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row>
    <row r="143" spans="3:53" ht="17.399999999999999" customHeight="1">
      <c r="C143" s="1" t="s">
        <v>32</v>
      </c>
      <c r="J143" s="207"/>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row>
    <row r="144" spans="3:53" ht="17.399999999999999" customHeight="1">
      <c r="D144" s="275" t="s">
        <v>685</v>
      </c>
      <c r="E144" s="239">
        <f>(E138+E139+1.1*E140+'5'!D67)*E133</f>
        <v>217.55769894758549</v>
      </c>
      <c r="F144" s="217" t="s">
        <v>664</v>
      </c>
      <c r="J144" s="207"/>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row>
    <row r="145" spans="2:53" ht="17.399999999999999" customHeight="1">
      <c r="J145" s="207"/>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row>
    <row r="146" spans="2:53" ht="17.399999999999999" customHeight="1">
      <c r="C146" s="183" t="s">
        <v>123</v>
      </c>
      <c r="J146" s="207"/>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row>
    <row r="147" spans="2:53" ht="17.399999999999999" customHeight="1">
      <c r="B147" s="160"/>
      <c r="C147" s="160"/>
      <c r="D147" s="160"/>
      <c r="E147" s="160"/>
      <c r="F147" s="160"/>
      <c r="G147" s="160"/>
      <c r="H147" s="160"/>
      <c r="I147" s="160"/>
      <c r="J147" s="297"/>
      <c r="K147" s="160"/>
      <c r="L147" s="160"/>
      <c r="M147" s="160"/>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row>
    <row r="148" spans="2:53" ht="17.399999999999999" customHeight="1">
      <c r="B148" s="160"/>
      <c r="C148" s="160"/>
      <c r="D148" s="160"/>
      <c r="E148" s="160"/>
      <c r="F148" s="303" t="s">
        <v>124</v>
      </c>
      <c r="G148" s="150">
        <v>1</v>
      </c>
      <c r="H148" s="162" t="s">
        <v>1</v>
      </c>
      <c r="I148" s="160"/>
      <c r="J148" s="298"/>
      <c r="K148" s="160"/>
      <c r="L148" s="160"/>
      <c r="M148" s="160"/>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row>
    <row r="149" spans="2:53" ht="17.399999999999999" customHeight="1">
      <c r="B149" s="160"/>
      <c r="C149" s="339" t="str">
        <f>C169</f>
        <v>Dobrane naczynia spełniają wymagania normy PN-EN-12828</v>
      </c>
      <c r="D149" s="160"/>
      <c r="E149" s="160"/>
      <c r="F149" s="299"/>
      <c r="G149" s="160"/>
      <c r="H149" s="160"/>
      <c r="I149" s="160"/>
      <c r="J149" s="298"/>
      <c r="K149" s="160"/>
      <c r="L149" s="160"/>
      <c r="M149" s="160"/>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row>
    <row r="150" spans="2:53" ht="17.399999999999999" customHeight="1">
      <c r="B150" s="160"/>
      <c r="C150" s="272" t="str">
        <f>C170</f>
        <v/>
      </c>
      <c r="D150" s="160"/>
      <c r="E150" s="160"/>
      <c r="F150" s="299"/>
      <c r="G150" s="160"/>
      <c r="H150" s="160"/>
      <c r="I150" s="160"/>
      <c r="J150" s="298"/>
      <c r="K150" s="160"/>
      <c r="L150" s="160"/>
      <c r="M150" s="160"/>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row>
    <row r="151" spans="2:53" ht="17.399999999999999" customHeight="1">
      <c r="B151" s="160"/>
      <c r="C151" s="272" t="str">
        <f>IF('5'!F70&lt;'NW do inst. solarnej'!K23,"Ciśnienie nominalne dla naczynia wzbiorczego jest mniejsze niż wybrane PSV","")</f>
        <v/>
      </c>
      <c r="D151" s="160"/>
      <c r="E151" s="300"/>
      <c r="F151" s="300"/>
      <c r="G151" s="301"/>
      <c r="H151" s="301"/>
      <c r="I151" s="302"/>
      <c r="J151" s="298"/>
      <c r="K151" s="160"/>
      <c r="L151" s="160"/>
      <c r="M151" s="160"/>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row>
    <row r="152" spans="2:53" ht="17.399999999999999" customHeight="1">
      <c r="B152" s="160"/>
      <c r="C152" s="272" t="str">
        <f>IF(C151="Ciśnienie nominalne dla naczynia wzbiorczego jest mniejsze niż wybrane PSV","Wybierz naczynie o wyższym ciśnieniu nominalnym!!!","")</f>
        <v/>
      </c>
      <c r="D152" s="160"/>
      <c r="E152" s="300"/>
      <c r="F152" s="300"/>
      <c r="G152" s="301"/>
      <c r="H152" s="301"/>
      <c r="I152" s="302"/>
      <c r="J152" s="298"/>
      <c r="K152" s="160"/>
      <c r="L152" s="160"/>
      <c r="M152" s="160"/>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row>
    <row r="153" spans="2:53" ht="17.399999999999999" customHeight="1">
      <c r="C153" s="157" t="s">
        <v>129</v>
      </c>
      <c r="I153" s="157" t="str">
        <f>VLOOKUP('5'!B73,'5'!A75:F120,2,0)</f>
        <v>Statico SU 300.6</v>
      </c>
      <c r="K153" s="157" t="s">
        <v>130</v>
      </c>
      <c r="L153" s="188">
        <f>G148</f>
        <v>1</v>
      </c>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row>
    <row r="154" spans="2:53" ht="17.399999999999999" customHeight="1">
      <c r="C154" s="157" t="s">
        <v>131</v>
      </c>
      <c r="F154" s="157">
        <f>'5'!F69*'NW do inst. solarnej'!L153</f>
        <v>300</v>
      </c>
      <c r="G154" s="157" t="s">
        <v>230</v>
      </c>
      <c r="L154" s="158"/>
      <c r="O154" s="159"/>
      <c r="P154" s="180" t="s">
        <v>226</v>
      </c>
      <c r="Q154" s="180"/>
      <c r="R154" s="180"/>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row>
    <row r="155" spans="2:53" ht="17.399999999999999" customHeight="1">
      <c r="O155" s="159"/>
      <c r="P155" s="180" t="s">
        <v>227</v>
      </c>
      <c r="R155" s="151" t="s">
        <v>229</v>
      </c>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row>
    <row r="156" spans="2:53" ht="17.399999999999999" customHeight="1">
      <c r="C156" s="183" t="s">
        <v>679</v>
      </c>
      <c r="O156" s="159"/>
      <c r="P156" s="180" t="s">
        <v>228</v>
      </c>
      <c r="R156" s="151" t="s">
        <v>229</v>
      </c>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row>
    <row r="157" spans="2:53" ht="17.399999999999999" customHeight="1">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row>
    <row r="158" spans="2:53" ht="17.399999999999999" customHeight="1">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row>
    <row r="159" spans="2:53" ht="17.399999999999999" customHeight="1">
      <c r="C159" s="1" t="s">
        <v>0</v>
      </c>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row>
    <row r="160" spans="2:53" ht="17.399999999999999" customHeight="1">
      <c r="D160" s="157" t="s">
        <v>132</v>
      </c>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row>
    <row r="161" spans="3:53" ht="17.399999999999999" customHeight="1">
      <c r="D161" s="157" t="s">
        <v>133</v>
      </c>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row>
    <row r="162" spans="3:53" ht="17.399999999999999" customHeight="1">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row>
    <row r="163" spans="3:53" ht="17.399999999999999" customHeight="1">
      <c r="C163" s="1" t="s">
        <v>28</v>
      </c>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row>
    <row r="164" spans="3:53" ht="17.399999999999999" customHeight="1">
      <c r="D164" s="1" t="s">
        <v>136</v>
      </c>
      <c r="E164" s="187">
        <f>E144</f>
        <v>217.55769894758549</v>
      </c>
      <c r="F164" s="157" t="s">
        <v>21</v>
      </c>
      <c r="G164" s="158"/>
      <c r="H164" s="158"/>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row>
    <row r="165" spans="3:53" ht="17.399999999999999" customHeight="1">
      <c r="D165" s="1" t="s">
        <v>137</v>
      </c>
      <c r="E165" s="1">
        <f>F154</f>
        <v>300</v>
      </c>
      <c r="F165" s="157" t="s">
        <v>21</v>
      </c>
      <c r="G165" s="158"/>
      <c r="H165" s="158"/>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row>
    <row r="166" spans="3:53" ht="17.399999999999999" customHeight="1">
      <c r="E166" s="1"/>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row>
    <row r="167" spans="3:53" ht="17.399999999999999" customHeight="1">
      <c r="F167" s="157" t="s">
        <v>135</v>
      </c>
      <c r="G167" s="157" t="str">
        <f>IF(E165&gt;E164,"większe od",IF(E165=E164,"równe","mniejsze od"))</f>
        <v>większe od</v>
      </c>
      <c r="I167" s="157" t="s">
        <v>134</v>
      </c>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row>
    <row r="168" spans="3:53" ht="17.399999999999999" customHeight="1">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row>
    <row r="169" spans="3:53" ht="17.399999999999999" customHeight="1">
      <c r="C169" s="225" t="str">
        <f>IF('5'!F70&lt;'NW do inst. solarnej'!K23,"Dobrane naczynia nie spełniają wymogów normy PN-EN-12828",IF(G167="mniejsze od","Dobrane naczynia nie spełniają wymogów normy PN-EN-12828","Dobrane naczynia spełniają wymagania normy PN-EN-12828"))</f>
        <v>Dobrane naczynia spełniają wymagania normy PN-EN-12828</v>
      </c>
      <c r="J169" s="212"/>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row>
    <row r="170" spans="3:53" ht="17.399999999999999" customHeight="1">
      <c r="C170" s="212" t="str">
        <f>IF(G167="mniejsze od","Dobierz naczynie wzbiorcze o większej pojemności lub zwiększ ich liczbę!!!","")</f>
        <v/>
      </c>
      <c r="I170" s="212"/>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row>
    <row r="171" spans="3:53" ht="17.399999999999999" customHeight="1">
      <c r="C171" s="183" t="s">
        <v>680</v>
      </c>
      <c r="I171" s="212"/>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row>
    <row r="172" spans="3:53" ht="17.399999999999999" customHeight="1">
      <c r="C172" s="212"/>
      <c r="I172" s="212"/>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row>
    <row r="173" spans="3:53" ht="17.399999999999999" customHeight="1">
      <c r="C173" s="212"/>
      <c r="G173" s="157" t="s">
        <v>211</v>
      </c>
      <c r="I173" s="212"/>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row>
    <row r="174" spans="3:53" ht="17.399999999999999" customHeight="1">
      <c r="C174" s="1" t="s">
        <v>0</v>
      </c>
      <c r="I174" s="212"/>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row>
    <row r="175" spans="3:53" ht="17.399999999999999" customHeight="1">
      <c r="D175" s="157" t="s">
        <v>215</v>
      </c>
      <c r="I175" s="212"/>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row>
    <row r="176" spans="3:53" ht="17.399999999999999" customHeight="1">
      <c r="D176" s="157" t="s">
        <v>23</v>
      </c>
      <c r="I176" s="212"/>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row>
    <row r="177" spans="3:53" ht="17.399999999999999" customHeight="1">
      <c r="C177" s="1" t="s">
        <v>28</v>
      </c>
      <c r="I177" s="212"/>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row>
    <row r="178" spans="3:53" ht="17.399999999999999" customHeight="1">
      <c r="D178" s="1" t="s">
        <v>58</v>
      </c>
      <c r="E178" s="187">
        <f>E76</f>
        <v>27.636932707355218</v>
      </c>
      <c r="F178" s="157" t="s">
        <v>21</v>
      </c>
      <c r="I178" s="212"/>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row>
    <row r="179" spans="3:53" ht="17.399999999999999" customHeight="1">
      <c r="C179" s="1" t="s">
        <v>32</v>
      </c>
      <c r="E179" s="1"/>
      <c r="I179" s="212"/>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row>
    <row r="180" spans="3:53" ht="17.399999999999999" customHeight="1">
      <c r="D180" s="1" t="s">
        <v>213</v>
      </c>
      <c r="E180" s="190">
        <f>IF('5'!F56&lt;21,20,'5'!F56)</f>
        <v>20</v>
      </c>
      <c r="F180" s="157" t="s">
        <v>214</v>
      </c>
      <c r="I180" s="212"/>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row>
    <row r="181" spans="3:53" ht="17.399999999999999" customHeight="1">
      <c r="C181" s="212"/>
      <c r="I181" s="212"/>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row>
    <row r="182" spans="3:53" ht="17.399999999999999" customHeight="1">
      <c r="C182" s="183" t="s">
        <v>681</v>
      </c>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row>
    <row r="183" spans="3:53" ht="17.399999999999999" customHeight="1">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row>
    <row r="184" spans="3:53" ht="17.399999999999999" customHeight="1">
      <c r="C184" s="157" t="s">
        <v>139</v>
      </c>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row>
    <row r="185" spans="3:53" ht="17.399999999999999" customHeight="1">
      <c r="D185" s="183" t="str">
        <f>I153</f>
        <v>Statico SU 300.6</v>
      </c>
      <c r="F185" s="157" t="s">
        <v>130</v>
      </c>
      <c r="I185" s="183">
        <f>G148</f>
        <v>1</v>
      </c>
      <c r="J185" s="183" t="s">
        <v>1</v>
      </c>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row>
    <row r="186" spans="3:53" ht="17.399999999999999" customHeight="1">
      <c r="D186" s="157" t="s">
        <v>140</v>
      </c>
      <c r="I186" s="157">
        <f>VLOOKUP('5'!B73,'5'!A75:F120,3,0)</f>
        <v>300</v>
      </c>
      <c r="J186" s="188" t="s">
        <v>141</v>
      </c>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row>
    <row r="187" spans="3:53" ht="17.399999999999999" customHeight="1">
      <c r="D187" s="157" t="s">
        <v>159</v>
      </c>
      <c r="I187" s="157">
        <f>VLOOKUP('5'!B73,'5'!A75:F120,4,0)</f>
        <v>6</v>
      </c>
      <c r="J187" s="188" t="s">
        <v>3</v>
      </c>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row>
    <row r="188" spans="3:53" ht="17.399999999999999" customHeight="1">
      <c r="D188" s="157" t="s">
        <v>142</v>
      </c>
      <c r="I188" s="229">
        <f>VLOOKUP('5'!B73,'5'!A75:F120,6,0)</f>
        <v>7102010</v>
      </c>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row>
    <row r="189" spans="3:53" ht="17.399999999999999" customHeight="1">
      <c r="D189" s="157" t="s">
        <v>145</v>
      </c>
      <c r="I189" s="157">
        <f>I186+'5'!F71</f>
        <v>343</v>
      </c>
      <c r="J189" s="188" t="s">
        <v>146</v>
      </c>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row>
    <row r="190" spans="3:53" ht="17.399999999999999" customHeight="1">
      <c r="D190" s="157" t="s">
        <v>147</v>
      </c>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row>
    <row r="191" spans="3:53" ht="17.399999999999999" customHeight="1">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row>
    <row r="192" spans="3:53" ht="17.399999999999999" customHeight="1">
      <c r="C192" s="183" t="s">
        <v>705</v>
      </c>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row>
    <row r="193" spans="3:53" ht="17.399999999999999" customHeight="1">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row>
    <row r="194" spans="3:53" ht="17.399999999999999" customHeight="1">
      <c r="C194" s="157" t="s">
        <v>148</v>
      </c>
      <c r="H194" s="214">
        <f>1/E133</f>
        <v>0.54531250000000009</v>
      </c>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row>
    <row r="195" spans="3:53" ht="17.399999999999999" customHeight="1">
      <c r="C195" s="215" t="str">
        <f>IF(H194&lt;15%,"Wybierz zawór bezpieczeństwa o wyższym PSV lub dobierz urządzenie automatyczne!!!","")</f>
        <v/>
      </c>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row>
    <row r="196" spans="3:53" ht="17.399999999999999" customHeight="1">
      <c r="C196" s="157" t="s">
        <v>653</v>
      </c>
      <c r="H196" s="214"/>
      <c r="J196" s="158" t="s">
        <v>149</v>
      </c>
      <c r="K196" s="214">
        <f>(I186/(E144/G148))-1</f>
        <v>0.3789445349496765</v>
      </c>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row>
    <row r="197" spans="3:53" ht="17.399999999999999" customHeight="1">
      <c r="C197" s="157" t="s">
        <v>150</v>
      </c>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row>
    <row r="198" spans="3:53" ht="17.399999999999999" customHeight="1">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row>
    <row r="199" spans="3:53" ht="17.399999999999999" customHeight="1">
      <c r="H199" s="157" t="s">
        <v>41</v>
      </c>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row>
    <row r="200" spans="3:53" ht="17.25" customHeight="1">
      <c r="C200" s="1" t="s">
        <v>0</v>
      </c>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row>
    <row r="201" spans="3:53" ht="17.399999999999999" customHeight="1">
      <c r="D201" s="157" t="s">
        <v>155</v>
      </c>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row>
    <row r="202" spans="3:53" ht="17.399999999999999" customHeight="1">
      <c r="D202" s="157" t="s">
        <v>74</v>
      </c>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row>
    <row r="203" spans="3:53" ht="17.399999999999999" customHeight="1">
      <c r="D203" s="157" t="s">
        <v>151</v>
      </c>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row>
    <row r="204" spans="3:53" ht="17.399999999999999" customHeight="1">
      <c r="D204" s="157" t="s">
        <v>153</v>
      </c>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row>
    <row r="205" spans="3:53" ht="17.399999999999999" customHeight="1">
      <c r="C205" s="1" t="s">
        <v>28</v>
      </c>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row>
    <row r="206" spans="3:53" ht="17.399999999999999" customHeight="1">
      <c r="D206" s="1" t="s">
        <v>137</v>
      </c>
      <c r="E206" s="187">
        <f>I186</f>
        <v>300</v>
      </c>
      <c r="F206" s="157" t="s">
        <v>21</v>
      </c>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row>
    <row r="207" spans="3:53" ht="17.399999999999999" customHeight="1">
      <c r="D207" s="1" t="s">
        <v>152</v>
      </c>
      <c r="E207" s="187">
        <f>E91</f>
        <v>3</v>
      </c>
      <c r="F207" s="157" t="s">
        <v>21</v>
      </c>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row>
    <row r="208" spans="3:53" ht="17.399999999999999" customHeight="1">
      <c r="D208" s="1" t="s">
        <v>64</v>
      </c>
      <c r="E208" s="184">
        <f>E142</f>
        <v>1.91</v>
      </c>
      <c r="F208" s="200" t="s">
        <v>41</v>
      </c>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row>
    <row r="209" spans="3:53" ht="17.399999999999999" customHeight="1">
      <c r="C209" s="1" t="s">
        <v>32</v>
      </c>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row>
    <row r="210" spans="3:53" ht="17.399999999999999" customHeight="1">
      <c r="D210" s="1" t="s">
        <v>154</v>
      </c>
      <c r="E210" s="184">
        <f>((E206*(E208+1))/(E206-E207))-1</f>
        <v>1.9393939393939394</v>
      </c>
      <c r="F210" s="157" t="s">
        <v>3</v>
      </c>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row>
    <row r="211" spans="3:53" ht="17.399999999999999" customHeight="1">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row>
    <row r="212" spans="3:53" ht="17.399999999999999" customHeight="1">
      <c r="C212" s="183" t="s">
        <v>706</v>
      </c>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row>
    <row r="213" spans="3:53" ht="17.399999999999999" customHeight="1">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row>
    <row r="214" spans="3:53" ht="17.399999999999999" customHeight="1">
      <c r="H214" s="1" t="s">
        <v>21</v>
      </c>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row>
    <row r="215" spans="3:53" ht="17.399999999999999" customHeight="1">
      <c r="C215" s="1" t="s">
        <v>28</v>
      </c>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row>
    <row r="216" spans="3:53" ht="17.399999999999999" customHeight="1">
      <c r="C216" s="1"/>
      <c r="D216" s="1" t="s">
        <v>137</v>
      </c>
      <c r="E216" s="187">
        <f>E206</f>
        <v>300</v>
      </c>
      <c r="F216" s="157" t="s">
        <v>21</v>
      </c>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row>
    <row r="217" spans="3:53" ht="17.399999999999999" customHeight="1">
      <c r="D217" s="1" t="s">
        <v>64</v>
      </c>
      <c r="E217" s="184">
        <f>E208</f>
        <v>1.91</v>
      </c>
      <c r="F217" s="200" t="s">
        <v>41</v>
      </c>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row>
    <row r="218" spans="3:53" ht="24" customHeight="1">
      <c r="D218" s="1" t="s">
        <v>156</v>
      </c>
      <c r="E218" s="253">
        <f>IF('5'!G36&gt;0,'5'!G40,E205)</f>
        <v>1.9394098230055707</v>
      </c>
      <c r="F218" s="200" t="s">
        <v>41</v>
      </c>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row>
    <row r="219" spans="3:53" ht="17.399999999999999" customHeight="1">
      <c r="C219" s="1" t="s">
        <v>32</v>
      </c>
      <c r="E219" s="187"/>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row>
    <row r="220" spans="3:53" ht="17.399999999999999" customHeight="1">
      <c r="D220" s="1" t="s">
        <v>61</v>
      </c>
      <c r="E220" s="184">
        <f>IF('5'!F55&lt;0,0,'5'!F55)</f>
        <v>3.0016048910966902</v>
      </c>
      <c r="F220" s="157" t="s">
        <v>230</v>
      </c>
      <c r="H220" s="158" t="s">
        <v>149</v>
      </c>
      <c r="I220" s="214">
        <f>E220/E216</f>
        <v>1.0005349636988967E-2</v>
      </c>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row>
    <row r="221" spans="3:53" ht="17.399999999999999" customHeight="1">
      <c r="C221" s="215"/>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row>
    <row r="222" spans="3:53" ht="17.399999999999999" customHeight="1">
      <c r="C222" s="183" t="s">
        <v>682</v>
      </c>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row>
    <row r="223" spans="3:53" ht="17.399999999999999" customHeight="1">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row>
    <row r="224" spans="3:53" ht="17.399999999999999" customHeight="1">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row>
    <row r="225" spans="3:53" ht="17.399999999999999" customHeight="1">
      <c r="C225" s="254">
        <f>E218</f>
        <v>1.9394098230055707</v>
      </c>
      <c r="D225" s="183" t="s">
        <v>3</v>
      </c>
      <c r="L225" s="216">
        <f>E119</f>
        <v>5.4</v>
      </c>
      <c r="M225" s="183" t="s">
        <v>3</v>
      </c>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row>
    <row r="226" spans="3:53" ht="17.399999999999999" customHeight="1">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row>
    <row r="227" spans="3:53" ht="17.399999999999999" customHeight="1">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row>
    <row r="228" spans="3:53" ht="17.399999999999999" customHeight="1">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row>
    <row r="229" spans="3:53" ht="17.399999999999999" customHeight="1">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row>
    <row r="230" spans="3:53" ht="17.399999999999999" customHeight="1">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row>
    <row r="231" spans="3:53" ht="17.399999999999999" customHeight="1">
      <c r="C231" s="216">
        <f>E105</f>
        <v>1.91</v>
      </c>
      <c r="D231" s="183" t="s">
        <v>3</v>
      </c>
      <c r="L231" s="216">
        <f>K23</f>
        <v>6</v>
      </c>
      <c r="M231" s="183" t="s">
        <v>3</v>
      </c>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row>
    <row r="232" spans="3:53" ht="17.399999999999999" customHeight="1">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row>
    <row r="233" spans="3:53" ht="17.399999999999999" customHeight="1">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row>
    <row r="234" spans="3:53" ht="17.399999999999999" customHeight="1">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row>
    <row r="235" spans="3:53" ht="17.399999999999999" customHeight="1">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row>
    <row r="236" spans="3:53" ht="17.399999999999999" customHeight="1">
      <c r="C236" s="183" t="s">
        <v>683</v>
      </c>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row>
    <row r="237" spans="3:53" ht="17.399999999999999" customHeight="1">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row>
    <row r="238" spans="3:53" ht="17.399999999999999" customHeight="1">
      <c r="C238" s="221" t="s">
        <v>160</v>
      </c>
      <c r="D238" s="221"/>
      <c r="E238" s="221"/>
      <c r="F238" s="221"/>
      <c r="G238" s="221"/>
      <c r="H238" s="221"/>
      <c r="I238" s="230"/>
      <c r="J238" s="231">
        <f>C231</f>
        <v>1.91</v>
      </c>
      <c r="K238" s="230" t="s">
        <v>3</v>
      </c>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row>
    <row r="239" spans="3:53" ht="17.399999999999999" customHeight="1">
      <c r="C239" s="221" t="s">
        <v>739</v>
      </c>
      <c r="D239" s="221"/>
      <c r="E239" s="221"/>
      <c r="F239" s="221"/>
      <c r="G239" s="221"/>
      <c r="H239" s="221"/>
      <c r="I239" s="335" t="s">
        <v>777</v>
      </c>
      <c r="J239" s="231">
        <f>C225</f>
        <v>1.9394098230055707</v>
      </c>
      <c r="K239" s="230" t="s">
        <v>3</v>
      </c>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row>
    <row r="240" spans="3:53" ht="17.399999999999999" customHeight="1">
      <c r="C240" s="221" t="s">
        <v>161</v>
      </c>
      <c r="D240" s="221"/>
      <c r="E240" s="221"/>
      <c r="F240" s="221"/>
      <c r="G240" s="221"/>
      <c r="H240" s="221"/>
      <c r="I240" s="230"/>
      <c r="J240" s="231">
        <f>L231</f>
        <v>6</v>
      </c>
      <c r="K240" s="230" t="s">
        <v>3</v>
      </c>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row>
    <row r="241" spans="3:53" ht="17.399999999999999" customHeight="1">
      <c r="C241" s="221" t="s">
        <v>216</v>
      </c>
      <c r="D241" s="221"/>
      <c r="E241" s="221"/>
      <c r="F241" s="221"/>
      <c r="G241" s="221"/>
      <c r="H241" s="221"/>
      <c r="I241" s="232" t="s">
        <v>213</v>
      </c>
      <c r="J241" s="233">
        <f>E180</f>
        <v>20</v>
      </c>
      <c r="K241" s="230" t="s">
        <v>214</v>
      </c>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row>
    <row r="242" spans="3:53" ht="17.399999999999999" customHeight="1">
      <c r="C242" s="218"/>
      <c r="D242" s="218"/>
      <c r="E242" s="218"/>
      <c r="F242" s="218"/>
      <c r="G242" s="218"/>
      <c r="H242" s="218"/>
      <c r="I242" s="218"/>
      <c r="J242" s="219"/>
      <c r="K242" s="218"/>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row>
    <row r="243" spans="3:53" ht="17.399999999999999" customHeight="1">
      <c r="C243" s="183" t="s">
        <v>729</v>
      </c>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row>
    <row r="244" spans="3:53" ht="17.399999999999999" customHeight="1">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row>
    <row r="245" spans="3:53" ht="17.399999999999999" customHeight="1">
      <c r="C245" s="157" t="s">
        <v>162</v>
      </c>
      <c r="I245" s="211" t="str">
        <f>IF(K245&gt;70,"TAK",IF(K245&lt;5,"TAK","NIE"))</f>
        <v>TAK</v>
      </c>
      <c r="J245" s="1" t="s">
        <v>732</v>
      </c>
      <c r="K245" s="157">
        <f>K15</f>
        <v>120</v>
      </c>
      <c r="L245" s="220" t="s">
        <v>33</v>
      </c>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row>
    <row r="246" spans="3:53" ht="17.399999999999999" customHeight="1">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row>
    <row r="247" spans="3:53" ht="17.399999999999999" customHeight="1">
      <c r="I247" s="157" t="s">
        <v>21</v>
      </c>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row>
    <row r="248" spans="3:53" ht="17.399999999999999" customHeight="1">
      <c r="C248" s="1" t="s">
        <v>0</v>
      </c>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row>
    <row r="249" spans="3:53" ht="17.399999999999999" customHeight="1">
      <c r="D249" s="157" t="s">
        <v>163</v>
      </c>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row>
    <row r="250" spans="3:53" ht="17.399999999999999" customHeight="1">
      <c r="D250" s="157" t="s">
        <v>26</v>
      </c>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row>
    <row r="251" spans="3:53" ht="17.399999999999999" customHeight="1">
      <c r="D251" s="220" t="s">
        <v>164</v>
      </c>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row>
    <row r="252" spans="3:53" ht="17.399999999999999" customHeight="1">
      <c r="D252" s="157" t="s">
        <v>472</v>
      </c>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row>
    <row r="253" spans="3:53" ht="17.399999999999999" customHeight="1">
      <c r="D253" s="157" t="s">
        <v>45</v>
      </c>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row>
    <row r="254" spans="3:53" ht="17.399999999999999" customHeight="1">
      <c r="C254" s="1" t="s">
        <v>28</v>
      </c>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row>
    <row r="255" spans="3:53" ht="17.399999999999999" customHeight="1">
      <c r="D255" s="1" t="s">
        <v>165</v>
      </c>
      <c r="E255" s="190">
        <f>E72</f>
        <v>300</v>
      </c>
      <c r="F255" s="157" t="s">
        <v>21</v>
      </c>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row>
    <row r="256" spans="3:53" ht="17.399999999999999" customHeight="1">
      <c r="D256" s="30" t="s">
        <v>166</v>
      </c>
      <c r="E256" s="12">
        <f>'5'!C35</f>
        <v>4.4235785080855468E-2</v>
      </c>
      <c r="F256" s="200"/>
      <c r="G256" s="1" t="s">
        <v>732</v>
      </c>
      <c r="H256" s="157">
        <f>K245</f>
        <v>120</v>
      </c>
      <c r="I256" s="220" t="s">
        <v>33</v>
      </c>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row>
    <row r="257" spans="2:53" ht="17.399999999999999" customHeight="1">
      <c r="D257" s="1" t="s">
        <v>471</v>
      </c>
      <c r="E257" s="184">
        <f>L28*1000</f>
        <v>80</v>
      </c>
      <c r="F257" s="157" t="s">
        <v>21</v>
      </c>
      <c r="G257" s="1"/>
      <c r="I257" s="220"/>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row>
    <row r="258" spans="2:53" ht="17.399999999999999" customHeight="1">
      <c r="C258" s="1" t="s">
        <v>32</v>
      </c>
      <c r="E258" s="187"/>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row>
    <row r="259" spans="2:53" ht="17.399999999999999" customHeight="1">
      <c r="D259" s="275" t="s">
        <v>738</v>
      </c>
      <c r="E259" s="309">
        <f>IF(AND(H256&lt;71,H256&gt;4),"     nie wymagane",E255*E256+E257*1.1+'5'!D67)</f>
        <v>101.27073552425664</v>
      </c>
      <c r="G259" s="157" t="s">
        <v>230</v>
      </c>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row>
    <row r="260" spans="2:53" ht="17.399999999999999" customHeight="1">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row>
    <row r="261" spans="2:53" ht="22.5" customHeight="1">
      <c r="C261" s="183" t="s">
        <v>209</v>
      </c>
      <c r="J261" s="207"/>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row>
    <row r="262" spans="2:53" ht="17.399999999999999" customHeight="1">
      <c r="B262" s="160"/>
      <c r="C262" s="160"/>
      <c r="D262" s="160"/>
      <c r="E262" s="160"/>
      <c r="F262" s="160"/>
      <c r="G262" s="160"/>
      <c r="H262" s="160"/>
      <c r="I262" s="160"/>
      <c r="J262" s="297"/>
      <c r="K262" s="160"/>
      <c r="L262" s="160"/>
      <c r="M262" s="160"/>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row>
    <row r="263" spans="2:53" ht="17.399999999999999" customHeight="1">
      <c r="B263" s="160"/>
      <c r="C263" s="160"/>
      <c r="D263" s="160"/>
      <c r="E263" s="160"/>
      <c r="F263" s="303" t="s">
        <v>124</v>
      </c>
      <c r="G263" s="150">
        <v>1</v>
      </c>
      <c r="H263" s="162" t="s">
        <v>1</v>
      </c>
      <c r="I263" s="160"/>
      <c r="J263" s="298"/>
      <c r="K263" s="160"/>
      <c r="L263" s="160"/>
      <c r="M263" s="160"/>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row>
    <row r="264" spans="2:53" ht="17.399999999999999" customHeight="1">
      <c r="B264" s="160"/>
      <c r="C264" s="339" t="str">
        <f>IF(F268&lt;E259,"Dobierz naczynie pośrednie o większej pojemności lub zwiększ ich liczbę!!!","Dobrane naczynie spełnia wymagania wg wytycznych Pneumatex")</f>
        <v>Dobrane naczynie spełnia wymagania wg wytycznych Pneumatex</v>
      </c>
      <c r="D264" s="160"/>
      <c r="E264" s="160"/>
      <c r="F264" s="303"/>
      <c r="G264" s="162"/>
      <c r="H264" s="162"/>
      <c r="I264" s="160"/>
      <c r="J264" s="298"/>
      <c r="K264" s="160"/>
      <c r="L264" s="160"/>
      <c r="M264" s="160"/>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row>
    <row r="265" spans="2:53" ht="17.399999999999999" customHeight="1">
      <c r="B265" s="160"/>
      <c r="C265" s="272" t="str">
        <f>IF('5'!F167&lt;K23,"Ciśnienie nominalne dla naczynia pośredniego jest mniejsze niż wybrane PSV","")</f>
        <v/>
      </c>
      <c r="D265" s="160"/>
      <c r="E265" s="300"/>
      <c r="F265" s="300"/>
      <c r="G265" s="301"/>
      <c r="H265" s="301"/>
      <c r="I265" s="302"/>
      <c r="J265" s="298"/>
      <c r="K265" s="160"/>
      <c r="L265" s="160"/>
      <c r="M265" s="160"/>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row>
    <row r="266" spans="2:53" ht="17.399999999999999" customHeight="1">
      <c r="B266" s="160"/>
      <c r="C266" s="272" t="str">
        <f>IF(C265="Ciśnienie nominalne dla naczynia pośredniego jest mniejsze niż wybrane PSV","Wybierz naczynie o wyższym ciśnieniu nominalnym!!!","")</f>
        <v/>
      </c>
      <c r="D266" s="160"/>
      <c r="E266" s="300"/>
      <c r="F266" s="300"/>
      <c r="G266" s="301"/>
      <c r="H266" s="301"/>
      <c r="I266" s="302"/>
      <c r="J266" s="298"/>
      <c r="K266" s="160"/>
      <c r="L266" s="160"/>
      <c r="M266" s="160"/>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row>
    <row r="267" spans="2:53" ht="17.399999999999999" customHeight="1">
      <c r="C267" s="157" t="s">
        <v>129</v>
      </c>
      <c r="I267" s="157" t="str">
        <f>VLOOKUP('5'!B122,'5'!A123:G164,2,0)</f>
        <v>DU 140.6</v>
      </c>
      <c r="K267" s="157" t="s">
        <v>130</v>
      </c>
      <c r="L267" s="188">
        <f>G263</f>
        <v>1</v>
      </c>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row>
    <row r="268" spans="2:53" ht="17.399999999999999" customHeight="1">
      <c r="C268" s="157" t="s">
        <v>131</v>
      </c>
      <c r="F268" s="188">
        <f>IF('5'!B122=1,"       nie dotyczy",'5'!F166*'NW do inst. solarnej'!L267)</f>
        <v>140</v>
      </c>
      <c r="H268" s="157" t="s">
        <v>230</v>
      </c>
      <c r="L268" s="158"/>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row>
    <row r="269" spans="2:53" ht="17.399999999999999" customHeight="1">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row>
    <row r="270" spans="2:53" ht="17.399999999999999" customHeight="1">
      <c r="C270" s="183" t="s">
        <v>712</v>
      </c>
      <c r="O270" s="159"/>
      <c r="P270" s="311" t="s">
        <v>226</v>
      </c>
      <c r="Q270" s="311"/>
      <c r="R270" s="311"/>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row>
    <row r="271" spans="2:53" ht="17.399999999999999" customHeight="1">
      <c r="O271" s="159"/>
      <c r="P271" s="311" t="s">
        <v>228</v>
      </c>
      <c r="Q271" s="221"/>
      <c r="R271" s="312" t="s">
        <v>229</v>
      </c>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row>
    <row r="272" spans="2:53" ht="17.399999999999999" customHeight="1">
      <c r="C272" s="183" t="s">
        <v>219</v>
      </c>
      <c r="H272" s="183" t="s">
        <v>220</v>
      </c>
      <c r="I272" s="183"/>
      <c r="J272" s="183" t="s">
        <v>221</v>
      </c>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row>
    <row r="273" spans="2:53" ht="17.399999999999999" customHeight="1">
      <c r="C273" s="183"/>
      <c r="H273" s="183"/>
      <c r="I273" s="183"/>
      <c r="J273" s="183"/>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row>
    <row r="274" spans="2:53" ht="17.399999999999999" customHeight="1">
      <c r="C274" s="157" t="str">
        <f>D185</f>
        <v>Statico SU 300.6</v>
      </c>
      <c r="H274" s="157">
        <f>I185</f>
        <v>1</v>
      </c>
      <c r="J274" s="157">
        <f>I188</f>
        <v>7102010</v>
      </c>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row>
    <row r="275" spans="2:53" ht="17.399999999999999" customHeight="1">
      <c r="C275" s="157" t="str">
        <f>'5'!E171</f>
        <v>DLV 20</v>
      </c>
      <c r="H275" s="157">
        <f>H274</f>
        <v>1</v>
      </c>
      <c r="J275" s="157">
        <f>IF('5'!E171="dobierz zawór typ DLV innego producenta","",VLOOKUP('5'!E171,'5'!B170:C171,2,0))</f>
        <v>5351434</v>
      </c>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row>
    <row r="276" spans="2:53" ht="17.399999999999999" customHeight="1">
      <c r="C276" s="157" t="str">
        <f>IF('5'!F169="nie dotyczy","",'5'!F169)</f>
        <v>DU 140.6</v>
      </c>
      <c r="H276" s="157">
        <f>IF(G263=0,"",G263)</f>
        <v>1</v>
      </c>
      <c r="J276" s="157">
        <f>IF('5'!F169="nie dotyczy","",'5'!F170)</f>
        <v>7141002</v>
      </c>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row>
    <row r="277" spans="2:53" ht="17.399999999999999" customHeight="1">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row>
    <row r="278" spans="2:53" ht="17.399999999999999" customHeight="1">
      <c r="C278" s="210" t="s">
        <v>8</v>
      </c>
      <c r="D278" s="210"/>
      <c r="E278" s="210"/>
      <c r="F278" s="210"/>
      <c r="G278" s="210"/>
      <c r="H278" s="210"/>
      <c r="M278" s="222"/>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row>
    <row r="279" spans="2:53" ht="17.399999999999999" customHeight="1">
      <c r="B279" s="156"/>
      <c r="C279" s="156"/>
      <c r="D279" s="156"/>
      <c r="E279" s="156"/>
      <c r="F279" s="156"/>
      <c r="G279" s="156"/>
      <c r="H279" s="156"/>
      <c r="I279" s="156"/>
      <c r="J279" s="223"/>
      <c r="K279" s="156"/>
      <c r="L279" s="156"/>
      <c r="M279" s="156"/>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row>
    <row r="280" spans="2:53" ht="17.399999999999999" customHeight="1">
      <c r="B280" s="156"/>
      <c r="C280" s="156"/>
      <c r="D280" s="156"/>
      <c r="E280" s="156"/>
      <c r="F280" s="156"/>
      <c r="G280" s="156"/>
      <c r="H280" s="156"/>
      <c r="I280" s="156"/>
      <c r="J280" s="223"/>
      <c r="K280" s="156"/>
      <c r="L280" s="156"/>
      <c r="M280" s="156"/>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row>
    <row r="281" spans="2:53" ht="17.399999999999999" customHeight="1">
      <c r="B281" s="156"/>
      <c r="C281" s="156"/>
      <c r="D281" s="156"/>
      <c r="E281" s="156"/>
      <c r="F281" s="156"/>
      <c r="G281" s="156"/>
      <c r="H281" s="156"/>
      <c r="I281" s="156"/>
      <c r="J281" s="223"/>
      <c r="K281" s="156"/>
      <c r="L281" s="156"/>
      <c r="M281" s="156"/>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row>
    <row r="282" spans="2:53" ht="17.399999999999999" customHeight="1">
      <c r="B282" s="156"/>
      <c r="C282" s="156"/>
      <c r="D282" s="156"/>
      <c r="E282" s="156"/>
      <c r="F282" s="156"/>
      <c r="G282" s="156"/>
      <c r="H282" s="156"/>
      <c r="I282" s="156"/>
      <c r="J282" s="223"/>
      <c r="K282" s="156"/>
      <c r="L282" s="156"/>
      <c r="M282" s="156"/>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row>
    <row r="283" spans="2:53" ht="17.399999999999999" customHeight="1">
      <c r="B283" s="156"/>
      <c r="C283" s="156"/>
      <c r="D283" s="156"/>
      <c r="E283" s="156"/>
      <c r="F283" s="156"/>
      <c r="G283" s="156"/>
      <c r="H283" s="156"/>
      <c r="I283" s="156"/>
      <c r="J283" s="223"/>
      <c r="K283" s="156"/>
      <c r="L283" s="156"/>
      <c r="M283" s="156"/>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row>
    <row r="284" spans="2:53" ht="17.399999999999999" customHeight="1">
      <c r="B284" s="159"/>
      <c r="C284" s="156"/>
      <c r="D284" s="156"/>
      <c r="E284" s="156"/>
      <c r="F284" s="156"/>
      <c r="G284" s="156"/>
      <c r="H284" s="156"/>
      <c r="I284" s="156"/>
      <c r="J284" s="223"/>
      <c r="K284" s="156"/>
      <c r="L284" s="156"/>
      <c r="M284" s="156"/>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row>
    <row r="285" spans="2:53" ht="17.399999999999999" customHeight="1">
      <c r="B285" s="159"/>
      <c r="C285" s="159"/>
      <c r="D285" s="159"/>
      <c r="E285" s="159"/>
      <c r="F285" s="159"/>
      <c r="G285" s="159"/>
      <c r="H285" s="159"/>
      <c r="I285" s="159"/>
      <c r="J285" s="224"/>
      <c r="K285" s="159"/>
      <c r="L285" s="159"/>
      <c r="M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row>
    <row r="286" spans="2:53" ht="17.399999999999999" customHeight="1">
      <c r="B286" s="159"/>
      <c r="C286" s="159"/>
      <c r="D286" s="159"/>
      <c r="E286" s="159"/>
      <c r="F286" s="159"/>
      <c r="G286" s="159"/>
      <c r="H286" s="159"/>
      <c r="I286" s="159"/>
      <c r="J286" s="224"/>
      <c r="K286" s="159"/>
      <c r="L286" s="159"/>
      <c r="M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row>
    <row r="287" spans="2:53" ht="17.399999999999999" customHeight="1">
      <c r="B287" s="159"/>
      <c r="C287" s="159"/>
      <c r="D287" s="159"/>
      <c r="E287" s="159"/>
      <c r="F287" s="159"/>
      <c r="G287" s="159"/>
      <c r="H287" s="159"/>
      <c r="I287" s="159"/>
      <c r="J287" s="224"/>
      <c r="K287" s="159"/>
      <c r="L287" s="159"/>
      <c r="M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row>
    <row r="288" spans="2:53" ht="17.399999999999999" customHeight="1">
      <c r="B288" s="159"/>
      <c r="C288" s="159"/>
      <c r="D288" s="159"/>
      <c r="E288" s="159"/>
      <c r="F288" s="159"/>
      <c r="G288" s="159"/>
      <c r="H288" s="159"/>
      <c r="I288" s="159"/>
      <c r="J288" s="224"/>
      <c r="K288" s="159"/>
      <c r="L288" s="159"/>
      <c r="M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row>
    <row r="289" spans="2:53" ht="17.399999999999999" customHeight="1">
      <c r="B289" s="159"/>
      <c r="C289" s="159"/>
      <c r="D289" s="159"/>
      <c r="E289" s="159"/>
      <c r="F289" s="159"/>
      <c r="G289" s="159"/>
      <c r="H289" s="159"/>
      <c r="I289" s="159"/>
      <c r="J289" s="224"/>
      <c r="K289" s="159"/>
      <c r="L289" s="159"/>
      <c r="M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row>
    <row r="290" spans="2:53" ht="17.399999999999999" customHeight="1">
      <c r="B290" s="159"/>
      <c r="C290" s="159"/>
      <c r="D290" s="159"/>
      <c r="E290" s="159"/>
      <c r="F290" s="159"/>
      <c r="G290" s="159"/>
      <c r="H290" s="159"/>
      <c r="I290" s="159"/>
      <c r="J290" s="224"/>
      <c r="K290" s="159"/>
      <c r="L290" s="159"/>
      <c r="M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row>
    <row r="291" spans="2:53" ht="17.399999999999999" customHeight="1">
      <c r="B291" s="159"/>
      <c r="C291" s="159"/>
      <c r="D291" s="159"/>
      <c r="E291" s="159"/>
      <c r="F291" s="159"/>
      <c r="G291" s="159"/>
      <c r="H291" s="159"/>
      <c r="I291" s="159"/>
      <c r="J291" s="224"/>
      <c r="K291" s="159"/>
      <c r="L291" s="159"/>
      <c r="M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row>
    <row r="292" spans="2:53" ht="17.399999999999999" customHeight="1">
      <c r="B292" s="159"/>
      <c r="C292" s="159"/>
      <c r="D292" s="159"/>
      <c r="E292" s="159"/>
      <c r="F292" s="159"/>
      <c r="G292" s="159"/>
      <c r="H292" s="159"/>
      <c r="I292" s="159"/>
      <c r="J292" s="224"/>
      <c r="K292" s="159"/>
      <c r="L292" s="159"/>
      <c r="M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row>
    <row r="293" spans="2:53" ht="17.399999999999999" customHeight="1">
      <c r="B293" s="159"/>
      <c r="C293" s="159"/>
      <c r="D293" s="159"/>
      <c r="E293" s="159"/>
      <c r="F293" s="159"/>
      <c r="G293" s="159"/>
      <c r="H293" s="159"/>
      <c r="I293" s="159"/>
      <c r="J293" s="224"/>
      <c r="K293" s="159"/>
      <c r="L293" s="159"/>
      <c r="M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row>
    <row r="294" spans="2:53" ht="17.399999999999999" customHeight="1">
      <c r="B294" s="159"/>
      <c r="C294" s="159"/>
      <c r="D294" s="159"/>
      <c r="E294" s="159"/>
      <c r="F294" s="159"/>
      <c r="G294" s="159"/>
      <c r="H294" s="159"/>
      <c r="I294" s="159"/>
      <c r="J294" s="224"/>
      <c r="K294" s="159"/>
      <c r="L294" s="159"/>
      <c r="M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row>
    <row r="295" spans="2:53" ht="17.399999999999999" customHeight="1">
      <c r="B295" s="159"/>
      <c r="C295" s="159"/>
      <c r="D295" s="159"/>
      <c r="E295" s="159"/>
      <c r="F295" s="159"/>
      <c r="G295" s="159"/>
      <c r="H295" s="159"/>
      <c r="I295" s="159"/>
      <c r="J295" s="224"/>
      <c r="K295" s="159"/>
      <c r="L295" s="159"/>
      <c r="M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row>
    <row r="296" spans="2:53" ht="17.399999999999999" customHeight="1">
      <c r="B296" s="159"/>
      <c r="C296" s="159"/>
      <c r="D296" s="159"/>
      <c r="E296" s="159"/>
      <c r="F296" s="159"/>
      <c r="G296" s="159"/>
      <c r="H296" s="159"/>
      <c r="I296" s="159"/>
      <c r="J296" s="224"/>
      <c r="K296" s="159"/>
      <c r="L296" s="159"/>
      <c r="M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row>
    <row r="297" spans="2:53" ht="17.399999999999999" customHeight="1">
      <c r="B297" s="159"/>
      <c r="C297" s="159"/>
      <c r="D297" s="159"/>
      <c r="E297" s="159"/>
      <c r="F297" s="159"/>
      <c r="G297" s="159"/>
      <c r="H297" s="159"/>
      <c r="I297" s="159"/>
      <c r="J297" s="224"/>
      <c r="K297" s="159"/>
      <c r="L297" s="159"/>
      <c r="M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row>
    <row r="298" spans="2:53" ht="17.399999999999999" customHeight="1">
      <c r="B298" s="159"/>
      <c r="C298" s="159"/>
      <c r="D298" s="159"/>
      <c r="E298" s="159"/>
      <c r="F298" s="159"/>
      <c r="G298" s="159"/>
      <c r="H298" s="159"/>
      <c r="I298" s="159"/>
      <c r="J298" s="224"/>
      <c r="K298" s="159"/>
      <c r="L298" s="159"/>
      <c r="M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row>
    <row r="299" spans="2:53" ht="17.399999999999999" customHeight="1">
      <c r="B299" s="159"/>
      <c r="C299" s="159"/>
      <c r="D299" s="159"/>
      <c r="E299" s="159"/>
      <c r="F299" s="159"/>
      <c r="G299" s="159"/>
      <c r="H299" s="159"/>
      <c r="I299" s="159"/>
      <c r="J299" s="224"/>
      <c r="K299" s="159"/>
      <c r="L299" s="159"/>
      <c r="M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row>
    <row r="300" spans="2:53" ht="17.399999999999999" customHeight="1">
      <c r="B300" s="159"/>
      <c r="C300" s="159"/>
      <c r="D300" s="159"/>
      <c r="E300" s="159"/>
      <c r="F300" s="159"/>
      <c r="G300" s="159"/>
      <c r="H300" s="159"/>
      <c r="I300" s="159"/>
      <c r="J300" s="224"/>
      <c r="K300" s="159"/>
      <c r="L300" s="159"/>
      <c r="M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row>
    <row r="301" spans="2:53" ht="17.399999999999999" customHeight="1">
      <c r="B301" s="159"/>
      <c r="C301" s="159"/>
      <c r="D301" s="159"/>
      <c r="E301" s="159"/>
      <c r="F301" s="159"/>
      <c r="G301" s="159"/>
      <c r="H301" s="159"/>
      <c r="I301" s="159"/>
      <c r="J301" s="224"/>
      <c r="K301" s="159"/>
      <c r="L301" s="159"/>
      <c r="M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row>
    <row r="302" spans="2:53" ht="17.399999999999999" customHeight="1">
      <c r="B302" s="159"/>
      <c r="C302" s="159"/>
      <c r="D302" s="159"/>
      <c r="E302" s="159"/>
      <c r="F302" s="159"/>
      <c r="G302" s="159"/>
      <c r="H302" s="159"/>
      <c r="I302" s="159"/>
      <c r="J302" s="224"/>
      <c r="K302" s="159"/>
      <c r="L302" s="159"/>
      <c r="M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row>
    <row r="303" spans="2:53" ht="17.399999999999999" customHeight="1">
      <c r="B303" s="159"/>
      <c r="C303" s="159"/>
      <c r="D303" s="159"/>
      <c r="E303" s="159"/>
      <c r="F303" s="159"/>
      <c r="G303" s="159"/>
      <c r="H303" s="159"/>
      <c r="I303" s="159"/>
      <c r="J303" s="224"/>
      <c r="K303" s="159"/>
      <c r="L303" s="159"/>
      <c r="M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row>
    <row r="304" spans="2:53" ht="17.399999999999999" customHeight="1">
      <c r="B304" s="159"/>
      <c r="C304" s="159"/>
      <c r="D304" s="159"/>
      <c r="E304" s="159"/>
      <c r="F304" s="159"/>
      <c r="G304" s="159"/>
      <c r="H304" s="159"/>
      <c r="I304" s="159"/>
      <c r="J304" s="224"/>
      <c r="K304" s="159"/>
      <c r="L304" s="159"/>
      <c r="M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row>
    <row r="305" spans="2:53" ht="17.399999999999999" customHeight="1">
      <c r="B305" s="159"/>
      <c r="C305" s="159"/>
      <c r="D305" s="159"/>
      <c r="E305" s="159"/>
      <c r="F305" s="159"/>
      <c r="G305" s="159"/>
      <c r="H305" s="159"/>
      <c r="I305" s="159"/>
      <c r="J305" s="224"/>
      <c r="K305" s="159"/>
      <c r="L305" s="159"/>
      <c r="M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row>
    <row r="306" spans="2:53" ht="17.399999999999999" customHeight="1">
      <c r="B306" s="159"/>
      <c r="C306" s="159"/>
      <c r="D306" s="159"/>
      <c r="E306" s="159"/>
      <c r="F306" s="159"/>
      <c r="G306" s="159"/>
      <c r="H306" s="159"/>
      <c r="I306" s="159"/>
      <c r="J306" s="224"/>
      <c r="K306" s="159"/>
      <c r="L306" s="159"/>
      <c r="M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row>
    <row r="307" spans="2:53" ht="17.399999999999999" customHeight="1">
      <c r="B307" s="159"/>
      <c r="C307" s="159"/>
      <c r="D307" s="159"/>
      <c r="E307" s="159"/>
      <c r="F307" s="159"/>
      <c r="G307" s="159"/>
      <c r="H307" s="159"/>
      <c r="I307" s="159"/>
      <c r="J307" s="224"/>
      <c r="K307" s="159"/>
      <c r="L307" s="159"/>
      <c r="M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row>
    <row r="308" spans="2:53" ht="17.399999999999999" customHeight="1">
      <c r="B308" s="159"/>
      <c r="C308" s="159"/>
      <c r="D308" s="159"/>
      <c r="E308" s="159"/>
      <c r="F308" s="159"/>
      <c r="G308" s="159"/>
      <c r="H308" s="159"/>
      <c r="I308" s="159"/>
      <c r="J308" s="224"/>
      <c r="K308" s="159"/>
      <c r="L308" s="159"/>
      <c r="M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row>
    <row r="309" spans="2:53" ht="17.399999999999999" customHeight="1">
      <c r="B309" s="159"/>
      <c r="C309" s="159"/>
      <c r="D309" s="159"/>
      <c r="E309" s="159"/>
      <c r="F309" s="159"/>
      <c r="G309" s="159"/>
      <c r="H309" s="159"/>
      <c r="I309" s="159"/>
      <c r="J309" s="224"/>
      <c r="K309" s="159"/>
      <c r="L309" s="159"/>
      <c r="M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row>
    <row r="310" spans="2:53" ht="17.399999999999999" customHeight="1">
      <c r="B310" s="159"/>
      <c r="C310" s="159"/>
      <c r="D310" s="159"/>
      <c r="E310" s="159"/>
      <c r="F310" s="159"/>
      <c r="G310" s="159"/>
      <c r="H310" s="159"/>
      <c r="I310" s="159"/>
      <c r="J310" s="224"/>
      <c r="K310" s="159"/>
      <c r="L310" s="159"/>
      <c r="M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row>
    <row r="311" spans="2:53" ht="17.399999999999999" customHeight="1">
      <c r="B311" s="159"/>
      <c r="C311" s="159"/>
      <c r="D311" s="159"/>
      <c r="E311" s="159"/>
      <c r="F311" s="159"/>
      <c r="G311" s="159"/>
      <c r="H311" s="159"/>
      <c r="I311" s="159"/>
      <c r="J311" s="224"/>
      <c r="K311" s="159"/>
      <c r="L311" s="159"/>
      <c r="M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row>
    <row r="312" spans="2:53" ht="17.399999999999999" customHeight="1">
      <c r="B312" s="159"/>
      <c r="C312" s="159"/>
      <c r="D312" s="159"/>
      <c r="E312" s="159"/>
      <c r="F312" s="159"/>
      <c r="G312" s="159"/>
      <c r="H312" s="159"/>
      <c r="I312" s="159"/>
      <c r="J312" s="224"/>
      <c r="K312" s="159"/>
      <c r="L312" s="159"/>
      <c r="M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row>
    <row r="313" spans="2:53" ht="17.399999999999999" customHeight="1">
      <c r="B313" s="159"/>
      <c r="C313" s="159"/>
      <c r="D313" s="159"/>
      <c r="E313" s="159"/>
      <c r="F313" s="159"/>
      <c r="G313" s="159"/>
      <c r="H313" s="159"/>
      <c r="I313" s="159"/>
      <c r="J313" s="224"/>
      <c r="K313" s="159"/>
      <c r="L313" s="159"/>
      <c r="M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row>
    <row r="314" spans="2:53" ht="17.399999999999999" customHeight="1">
      <c r="B314" s="159"/>
      <c r="C314" s="159"/>
      <c r="D314" s="159"/>
      <c r="E314" s="159"/>
      <c r="F314" s="159"/>
      <c r="G314" s="159"/>
      <c r="H314" s="159"/>
      <c r="I314" s="159"/>
      <c r="J314" s="224"/>
      <c r="K314" s="159"/>
      <c r="L314" s="159"/>
      <c r="M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row>
    <row r="315" spans="2:53" ht="17.399999999999999" customHeight="1">
      <c r="B315" s="159"/>
      <c r="C315" s="159"/>
      <c r="D315" s="159"/>
      <c r="E315" s="159"/>
      <c r="F315" s="159"/>
      <c r="G315" s="159"/>
      <c r="H315" s="159"/>
      <c r="I315" s="159"/>
      <c r="J315" s="224"/>
      <c r="K315" s="159"/>
      <c r="L315" s="159"/>
      <c r="M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row>
    <row r="316" spans="2:53" ht="17.399999999999999" customHeight="1">
      <c r="B316" s="159"/>
      <c r="C316" s="159"/>
      <c r="D316" s="159"/>
      <c r="E316" s="159"/>
      <c r="F316" s="159"/>
      <c r="G316" s="159"/>
      <c r="H316" s="159"/>
      <c r="I316" s="159"/>
      <c r="J316" s="224"/>
      <c r="K316" s="159"/>
      <c r="L316" s="159"/>
      <c r="M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row>
    <row r="317" spans="2:53" ht="17.399999999999999" customHeight="1">
      <c r="B317" s="159"/>
      <c r="C317" s="159"/>
      <c r="D317" s="159"/>
      <c r="E317" s="159"/>
      <c r="F317" s="159"/>
      <c r="G317" s="159"/>
      <c r="H317" s="159"/>
      <c r="I317" s="159"/>
      <c r="J317" s="224"/>
      <c r="K317" s="159"/>
      <c r="L317" s="159"/>
      <c r="M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row>
    <row r="318" spans="2:53" ht="17.399999999999999" customHeight="1">
      <c r="B318" s="159"/>
      <c r="C318" s="159"/>
      <c r="D318" s="159"/>
      <c r="E318" s="159"/>
      <c r="F318" s="159"/>
      <c r="G318" s="159"/>
      <c r="H318" s="159"/>
      <c r="I318" s="159"/>
      <c r="J318" s="224"/>
      <c r="K318" s="159"/>
      <c r="L318" s="159"/>
      <c r="M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row>
    <row r="319" spans="2:53" ht="17.399999999999999" customHeight="1">
      <c r="B319" s="159"/>
      <c r="C319" s="159"/>
      <c r="D319" s="159"/>
      <c r="E319" s="159"/>
      <c r="F319" s="159"/>
      <c r="G319" s="159"/>
      <c r="H319" s="159"/>
      <c r="I319" s="159"/>
      <c r="J319" s="224"/>
      <c r="K319" s="159"/>
      <c r="L319" s="159"/>
      <c r="M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row>
    <row r="320" spans="2:53" ht="17.399999999999999" customHeight="1">
      <c r="B320" s="159"/>
      <c r="C320" s="159"/>
      <c r="D320" s="159"/>
      <c r="E320" s="159"/>
      <c r="F320" s="159"/>
      <c r="G320" s="159"/>
      <c r="H320" s="159"/>
      <c r="I320" s="159"/>
      <c r="J320" s="224"/>
      <c r="K320" s="159"/>
      <c r="L320" s="159"/>
      <c r="M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row>
    <row r="321" spans="2:53" ht="17.399999999999999" customHeight="1">
      <c r="B321" s="159"/>
      <c r="C321" s="159"/>
      <c r="D321" s="159"/>
      <c r="E321" s="159"/>
      <c r="F321" s="159"/>
      <c r="G321" s="159"/>
      <c r="H321" s="159"/>
      <c r="I321" s="159"/>
      <c r="J321" s="224"/>
      <c r="K321" s="159"/>
      <c r="L321" s="159"/>
      <c r="M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row>
    <row r="322" spans="2:53" ht="17.399999999999999" customHeight="1">
      <c r="B322" s="159"/>
      <c r="C322" s="159"/>
      <c r="D322" s="159"/>
      <c r="E322" s="159"/>
      <c r="F322" s="159"/>
      <c r="G322" s="159"/>
      <c r="H322" s="159"/>
      <c r="I322" s="159"/>
      <c r="J322" s="224"/>
      <c r="K322" s="159"/>
      <c r="L322" s="159"/>
      <c r="M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row>
    <row r="323" spans="2:53" ht="17.399999999999999" customHeight="1">
      <c r="B323" s="159"/>
      <c r="C323" s="159"/>
      <c r="D323" s="159"/>
      <c r="E323" s="159"/>
      <c r="F323" s="159"/>
      <c r="G323" s="159"/>
      <c r="H323" s="159"/>
      <c r="I323" s="159"/>
      <c r="J323" s="224"/>
      <c r="K323" s="159"/>
      <c r="L323" s="159"/>
      <c r="M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row>
    <row r="324" spans="2:53" ht="17.399999999999999" customHeight="1">
      <c r="B324" s="159"/>
      <c r="C324" s="159"/>
      <c r="D324" s="159"/>
      <c r="E324" s="159"/>
      <c r="F324" s="159"/>
      <c r="G324" s="159"/>
      <c r="H324" s="159"/>
      <c r="I324" s="159"/>
      <c r="J324" s="224"/>
      <c r="K324" s="159"/>
      <c r="L324" s="159"/>
      <c r="M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row>
    <row r="325" spans="2:53" ht="17.399999999999999" customHeight="1">
      <c r="B325" s="159"/>
      <c r="C325" s="159"/>
      <c r="D325" s="159"/>
      <c r="E325" s="159"/>
      <c r="F325" s="159"/>
      <c r="G325" s="159"/>
      <c r="H325" s="159"/>
      <c r="I325" s="159"/>
      <c r="J325" s="224"/>
      <c r="K325" s="159"/>
      <c r="L325" s="159"/>
      <c r="M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row>
    <row r="326" spans="2:53" ht="17.399999999999999" customHeight="1">
      <c r="B326" s="159"/>
      <c r="C326" s="159"/>
      <c r="D326" s="159"/>
      <c r="E326" s="159"/>
      <c r="F326" s="159"/>
      <c r="G326" s="159"/>
      <c r="H326" s="159"/>
      <c r="I326" s="159"/>
      <c r="J326" s="224"/>
      <c r="K326" s="159"/>
      <c r="L326" s="159"/>
      <c r="M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row>
    <row r="327" spans="2:53" ht="17.399999999999999" customHeight="1">
      <c r="B327" s="159"/>
      <c r="C327" s="159"/>
      <c r="D327" s="159"/>
      <c r="E327" s="159"/>
      <c r="F327" s="159"/>
      <c r="G327" s="159"/>
      <c r="H327" s="159"/>
      <c r="I327" s="159"/>
      <c r="J327" s="224"/>
      <c r="K327" s="159"/>
      <c r="L327" s="159"/>
      <c r="M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row>
    <row r="328" spans="2:53" ht="17.399999999999999" customHeight="1">
      <c r="B328" s="159"/>
      <c r="C328" s="159"/>
      <c r="D328" s="159"/>
      <c r="E328" s="159"/>
      <c r="F328" s="159"/>
      <c r="G328" s="159"/>
      <c r="H328" s="159"/>
      <c r="I328" s="159"/>
      <c r="J328" s="224"/>
      <c r="K328" s="159"/>
      <c r="L328" s="159"/>
      <c r="M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row>
    <row r="329" spans="2:53" ht="17.399999999999999" customHeight="1">
      <c r="B329" s="159"/>
      <c r="C329" s="159"/>
      <c r="D329" s="159"/>
      <c r="E329" s="159"/>
      <c r="F329" s="159"/>
      <c r="G329" s="159"/>
      <c r="H329" s="159"/>
      <c r="I329" s="159"/>
      <c r="J329" s="224"/>
      <c r="K329" s="159"/>
      <c r="L329" s="159"/>
      <c r="M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row>
    <row r="330" spans="2:53" ht="17.399999999999999" customHeight="1">
      <c r="B330" s="159"/>
      <c r="C330" s="159"/>
      <c r="D330" s="159"/>
      <c r="E330" s="159"/>
      <c r="F330" s="159"/>
      <c r="G330" s="159"/>
      <c r="H330" s="159"/>
      <c r="I330" s="159"/>
      <c r="J330" s="224"/>
      <c r="K330" s="159"/>
      <c r="L330" s="159"/>
      <c r="M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row>
    <row r="331" spans="2:53" ht="17.399999999999999" customHeight="1">
      <c r="B331" s="159"/>
      <c r="C331" s="159"/>
      <c r="D331" s="159"/>
      <c r="E331" s="159"/>
      <c r="F331" s="159"/>
      <c r="G331" s="159"/>
      <c r="H331" s="159"/>
      <c r="I331" s="159"/>
      <c r="J331" s="224"/>
      <c r="K331" s="159"/>
      <c r="L331" s="159"/>
      <c r="M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row>
    <row r="332" spans="2:53" ht="17.399999999999999" customHeight="1">
      <c r="B332" s="159"/>
      <c r="C332" s="159"/>
      <c r="D332" s="159"/>
      <c r="E332" s="159"/>
      <c r="F332" s="159"/>
      <c r="G332" s="159"/>
      <c r="H332" s="159"/>
      <c r="I332" s="159"/>
      <c r="J332" s="224"/>
      <c r="K332" s="159"/>
      <c r="L332" s="159"/>
      <c r="M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row>
    <row r="333" spans="2:53" ht="17.399999999999999" customHeight="1">
      <c r="B333" s="159"/>
      <c r="C333" s="159"/>
      <c r="D333" s="159"/>
      <c r="E333" s="159"/>
      <c r="F333" s="159"/>
      <c r="G333" s="159"/>
      <c r="H333" s="159"/>
      <c r="I333" s="159"/>
      <c r="J333" s="224"/>
      <c r="K333" s="159"/>
      <c r="L333" s="159"/>
      <c r="M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row>
    <row r="334" spans="2:53" ht="17.399999999999999" customHeight="1">
      <c r="B334" s="159"/>
      <c r="C334" s="159"/>
      <c r="D334" s="159"/>
      <c r="E334" s="159"/>
      <c r="F334" s="159"/>
      <c r="G334" s="159"/>
      <c r="H334" s="159"/>
      <c r="I334" s="159"/>
      <c r="J334" s="224"/>
      <c r="K334" s="159"/>
      <c r="L334" s="159"/>
      <c r="M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row>
    <row r="335" spans="2:53" ht="17.399999999999999" customHeight="1">
      <c r="B335" s="159"/>
      <c r="C335" s="159"/>
      <c r="D335" s="159"/>
      <c r="E335" s="159"/>
      <c r="F335" s="159"/>
      <c r="G335" s="159"/>
      <c r="H335" s="159"/>
      <c r="I335" s="159"/>
      <c r="J335" s="224"/>
      <c r="K335" s="159"/>
      <c r="L335" s="159"/>
      <c r="M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row>
    <row r="336" spans="2:53" ht="17.399999999999999" customHeight="1">
      <c r="B336" s="159"/>
      <c r="C336" s="159"/>
      <c r="D336" s="159"/>
      <c r="E336" s="159"/>
      <c r="F336" s="159"/>
      <c r="G336" s="159"/>
      <c r="H336" s="159"/>
      <c r="I336" s="159"/>
      <c r="J336" s="224"/>
      <c r="K336" s="159"/>
      <c r="L336" s="159"/>
      <c r="M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row>
    <row r="337" spans="2:53" ht="17.399999999999999" customHeight="1">
      <c r="B337" s="159"/>
      <c r="C337" s="159"/>
      <c r="D337" s="159"/>
      <c r="E337" s="159"/>
      <c r="F337" s="159"/>
      <c r="G337" s="159"/>
      <c r="H337" s="159"/>
      <c r="I337" s="159"/>
      <c r="J337" s="224"/>
      <c r="K337" s="159"/>
      <c r="L337" s="159"/>
      <c r="M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row>
    <row r="338" spans="2:53" ht="17.399999999999999" customHeight="1">
      <c r="B338" s="159"/>
      <c r="C338" s="159"/>
      <c r="D338" s="159"/>
      <c r="E338" s="159"/>
      <c r="F338" s="159"/>
      <c r="G338" s="159"/>
      <c r="H338" s="159"/>
      <c r="I338" s="159"/>
      <c r="J338" s="224"/>
      <c r="K338" s="159"/>
      <c r="L338" s="159"/>
      <c r="M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row>
    <row r="339" spans="2:53" ht="17.399999999999999" customHeight="1">
      <c r="B339" s="159"/>
      <c r="C339" s="159"/>
      <c r="D339" s="159"/>
      <c r="E339" s="159"/>
      <c r="F339" s="159"/>
      <c r="G339" s="159"/>
      <c r="H339" s="159"/>
      <c r="I339" s="159"/>
      <c r="J339" s="224"/>
      <c r="K339" s="159"/>
      <c r="L339" s="159"/>
      <c r="M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row>
    <row r="340" spans="2:53" ht="17.399999999999999" customHeight="1">
      <c r="B340" s="159"/>
      <c r="C340" s="159"/>
      <c r="D340" s="159"/>
      <c r="E340" s="159"/>
      <c r="F340" s="159"/>
      <c r="G340" s="159"/>
      <c r="H340" s="159"/>
      <c r="I340" s="159"/>
      <c r="J340" s="224"/>
      <c r="K340" s="159"/>
      <c r="L340" s="159"/>
      <c r="M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row>
    <row r="341" spans="2:53" ht="17.399999999999999" customHeight="1">
      <c r="B341" s="159"/>
      <c r="C341" s="159"/>
      <c r="D341" s="159"/>
      <c r="E341" s="159"/>
      <c r="F341" s="159"/>
      <c r="G341" s="159"/>
      <c r="H341" s="159"/>
      <c r="I341" s="159"/>
      <c r="J341" s="224"/>
      <c r="K341" s="159"/>
      <c r="L341" s="159"/>
      <c r="M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row>
    <row r="342" spans="2:53" ht="17.399999999999999" customHeight="1">
      <c r="B342" s="159"/>
      <c r="C342" s="159"/>
      <c r="D342" s="159"/>
      <c r="E342" s="159"/>
      <c r="F342" s="159"/>
      <c r="G342" s="159"/>
      <c r="H342" s="159"/>
      <c r="I342" s="159"/>
      <c r="J342" s="224"/>
      <c r="K342" s="159"/>
      <c r="L342" s="159"/>
      <c r="M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row>
    <row r="343" spans="2:53" ht="17.399999999999999" customHeight="1">
      <c r="B343" s="159"/>
      <c r="C343" s="159"/>
      <c r="D343" s="159"/>
      <c r="E343" s="159"/>
      <c r="F343" s="159"/>
      <c r="G343" s="159"/>
      <c r="H343" s="159"/>
      <c r="I343" s="159"/>
      <c r="J343" s="224"/>
      <c r="K343" s="159"/>
      <c r="L343" s="159"/>
      <c r="M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row>
    <row r="344" spans="2:53" ht="17.399999999999999" customHeight="1">
      <c r="B344" s="159"/>
      <c r="C344" s="159"/>
      <c r="D344" s="159"/>
      <c r="E344" s="159"/>
      <c r="F344" s="159"/>
      <c r="G344" s="159"/>
      <c r="H344" s="159"/>
      <c r="I344" s="159"/>
      <c r="J344" s="224"/>
      <c r="K344" s="159"/>
      <c r="L344" s="159"/>
      <c r="M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row>
    <row r="345" spans="2:53" ht="17.399999999999999" customHeight="1">
      <c r="B345" s="159"/>
      <c r="C345" s="159"/>
      <c r="D345" s="159"/>
      <c r="E345" s="159"/>
      <c r="F345" s="159"/>
      <c r="G345" s="159"/>
      <c r="H345" s="159"/>
      <c r="I345" s="159"/>
      <c r="J345" s="224"/>
      <c r="K345" s="159"/>
      <c r="L345" s="159"/>
      <c r="M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c r="AT345" s="159"/>
      <c r="AU345" s="159"/>
      <c r="AV345" s="159"/>
      <c r="AW345" s="159"/>
      <c r="AX345" s="159"/>
      <c r="AY345" s="159"/>
      <c r="AZ345" s="159"/>
      <c r="BA345" s="159"/>
    </row>
    <row r="346" spans="2:53" ht="17.399999999999999" customHeight="1">
      <c r="B346" s="159"/>
      <c r="C346" s="159"/>
      <c r="D346" s="159"/>
      <c r="E346" s="159"/>
      <c r="F346" s="159"/>
      <c r="G346" s="159"/>
      <c r="H346" s="159"/>
      <c r="I346" s="159"/>
      <c r="J346" s="224"/>
      <c r="K346" s="159"/>
      <c r="L346" s="159"/>
      <c r="M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row>
    <row r="347" spans="2:53" ht="17.399999999999999" customHeight="1">
      <c r="B347" s="159"/>
      <c r="C347" s="159"/>
      <c r="D347" s="159"/>
      <c r="E347" s="159"/>
      <c r="F347" s="159"/>
      <c r="G347" s="159"/>
      <c r="H347" s="159"/>
      <c r="I347" s="159"/>
      <c r="J347" s="224"/>
      <c r="K347" s="159"/>
      <c r="L347" s="159"/>
      <c r="M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row>
    <row r="348" spans="2:53" ht="17.399999999999999" customHeight="1">
      <c r="B348" s="159"/>
      <c r="C348" s="159"/>
      <c r="D348" s="159"/>
      <c r="E348" s="159"/>
      <c r="F348" s="159"/>
      <c r="G348" s="159"/>
      <c r="H348" s="159"/>
      <c r="I348" s="159"/>
      <c r="J348" s="224"/>
      <c r="K348" s="159"/>
      <c r="L348" s="159"/>
      <c r="M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59"/>
      <c r="AY348" s="159"/>
      <c r="AZ348" s="159"/>
      <c r="BA348" s="159"/>
    </row>
    <row r="349" spans="2:53" ht="17.399999999999999" customHeight="1">
      <c r="B349" s="159"/>
      <c r="C349" s="159"/>
      <c r="D349" s="159"/>
      <c r="E349" s="159"/>
      <c r="F349" s="159"/>
      <c r="G349" s="159"/>
      <c r="H349" s="159"/>
      <c r="I349" s="159"/>
      <c r="J349" s="224"/>
      <c r="K349" s="159"/>
      <c r="L349" s="159"/>
      <c r="M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c r="AT349" s="159"/>
      <c r="AU349" s="159"/>
      <c r="AV349" s="159"/>
      <c r="AW349" s="159"/>
      <c r="AX349" s="159"/>
      <c r="AY349" s="159"/>
      <c r="AZ349" s="159"/>
      <c r="BA349" s="159"/>
    </row>
    <row r="350" spans="2:53" ht="17.399999999999999" customHeight="1">
      <c r="B350" s="159"/>
      <c r="C350" s="159"/>
      <c r="D350" s="159"/>
      <c r="E350" s="159"/>
      <c r="F350" s="159"/>
      <c r="G350" s="159"/>
      <c r="H350" s="159"/>
      <c r="I350" s="159"/>
      <c r="J350" s="224"/>
      <c r="K350" s="159"/>
      <c r="L350" s="159"/>
      <c r="M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c r="AT350" s="159"/>
      <c r="AU350" s="159"/>
      <c r="AV350" s="159"/>
      <c r="AW350" s="159"/>
      <c r="AX350" s="159"/>
      <c r="AY350" s="159"/>
      <c r="AZ350" s="159"/>
      <c r="BA350" s="159"/>
    </row>
    <row r="351" spans="2:53" ht="17.399999999999999" customHeight="1">
      <c r="B351" s="159"/>
      <c r="C351" s="159"/>
      <c r="D351" s="159"/>
      <c r="E351" s="159"/>
      <c r="F351" s="159"/>
      <c r="G351" s="159"/>
      <c r="H351" s="159"/>
      <c r="I351" s="159"/>
      <c r="J351" s="224"/>
      <c r="K351" s="159"/>
      <c r="L351" s="159"/>
      <c r="M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c r="AT351" s="159"/>
      <c r="AU351" s="159"/>
      <c r="AV351" s="159"/>
      <c r="AW351" s="159"/>
      <c r="AX351" s="159"/>
      <c r="AY351" s="159"/>
      <c r="AZ351" s="159"/>
      <c r="BA351" s="159"/>
    </row>
    <row r="352" spans="2:53" ht="17.399999999999999" customHeight="1">
      <c r="B352" s="159"/>
      <c r="C352" s="159"/>
      <c r="D352" s="159"/>
      <c r="E352" s="159"/>
      <c r="F352" s="159"/>
      <c r="G352" s="159"/>
      <c r="H352" s="159"/>
      <c r="I352" s="159"/>
      <c r="J352" s="224"/>
      <c r="K352" s="159"/>
      <c r="L352" s="159"/>
      <c r="M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row>
    <row r="353" spans="2:53" ht="17.399999999999999" customHeight="1">
      <c r="B353" s="159"/>
      <c r="C353" s="159"/>
      <c r="D353" s="159"/>
      <c r="E353" s="159"/>
      <c r="F353" s="159"/>
      <c r="G353" s="159"/>
      <c r="H353" s="159"/>
      <c r="I353" s="159"/>
      <c r="J353" s="224"/>
      <c r="K353" s="159"/>
      <c r="L353" s="159"/>
      <c r="M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row>
    <row r="354" spans="2:53" ht="17.399999999999999" customHeight="1">
      <c r="B354" s="159"/>
      <c r="C354" s="159"/>
      <c r="D354" s="159"/>
      <c r="E354" s="159"/>
      <c r="F354" s="159"/>
      <c r="G354" s="159"/>
      <c r="H354" s="159"/>
      <c r="I354" s="159"/>
      <c r="J354" s="224"/>
      <c r="K354" s="159"/>
      <c r="L354" s="159"/>
      <c r="M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row>
    <row r="355" spans="2:53" ht="17.399999999999999" customHeight="1">
      <c r="B355" s="159"/>
      <c r="C355" s="159"/>
      <c r="D355" s="159"/>
      <c r="E355" s="159"/>
      <c r="F355" s="159"/>
      <c r="G355" s="159"/>
      <c r="H355" s="159"/>
      <c r="I355" s="159"/>
      <c r="J355" s="224"/>
      <c r="K355" s="159"/>
      <c r="L355" s="159"/>
      <c r="M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row>
    <row r="356" spans="2:53" ht="17.399999999999999" customHeight="1">
      <c r="B356" s="159"/>
      <c r="C356" s="159"/>
      <c r="D356" s="159"/>
      <c r="E356" s="159"/>
      <c r="F356" s="159"/>
      <c r="G356" s="159"/>
      <c r="H356" s="159"/>
      <c r="I356" s="159"/>
      <c r="J356" s="224"/>
      <c r="K356" s="159"/>
      <c r="L356" s="159"/>
      <c r="M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row>
    <row r="357" spans="2:53" ht="17.399999999999999" customHeight="1">
      <c r="B357" s="159"/>
      <c r="C357" s="159"/>
      <c r="D357" s="159"/>
      <c r="E357" s="159"/>
      <c r="F357" s="159"/>
      <c r="G357" s="159"/>
      <c r="H357" s="159"/>
      <c r="I357" s="159"/>
      <c r="J357" s="224"/>
      <c r="K357" s="159"/>
      <c r="L357" s="159"/>
      <c r="M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row>
    <row r="358" spans="2:53" ht="17.399999999999999" customHeight="1">
      <c r="B358" s="159"/>
      <c r="C358" s="159"/>
      <c r="D358" s="159"/>
      <c r="E358" s="159"/>
      <c r="F358" s="159"/>
      <c r="G358" s="159"/>
      <c r="H358" s="159"/>
      <c r="I358" s="159"/>
      <c r="J358" s="224"/>
      <c r="K358" s="159"/>
      <c r="L358" s="159"/>
      <c r="M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row>
    <row r="359" spans="2:53" ht="17.399999999999999" customHeight="1">
      <c r="B359" s="159"/>
      <c r="C359" s="159"/>
      <c r="D359" s="159"/>
      <c r="E359" s="159"/>
      <c r="F359" s="159"/>
      <c r="G359" s="159"/>
      <c r="H359" s="159"/>
      <c r="I359" s="159"/>
      <c r="J359" s="224"/>
      <c r="K359" s="159"/>
      <c r="L359" s="159"/>
      <c r="M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row>
    <row r="360" spans="2:53" ht="17.399999999999999" customHeight="1">
      <c r="B360" s="159"/>
      <c r="C360" s="159"/>
      <c r="D360" s="159"/>
      <c r="E360" s="159"/>
      <c r="F360" s="159"/>
      <c r="G360" s="159"/>
      <c r="H360" s="159"/>
      <c r="I360" s="159"/>
      <c r="J360" s="224"/>
      <c r="K360" s="159"/>
      <c r="L360" s="159"/>
      <c r="M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row>
    <row r="361" spans="2:53" ht="17.399999999999999" customHeight="1">
      <c r="B361" s="159"/>
      <c r="C361" s="159"/>
      <c r="D361" s="159"/>
      <c r="E361" s="159"/>
      <c r="F361" s="159"/>
      <c r="G361" s="159"/>
      <c r="H361" s="159"/>
      <c r="I361" s="159"/>
      <c r="J361" s="224"/>
      <c r="K361" s="159"/>
      <c r="L361" s="159"/>
      <c r="M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row>
    <row r="362" spans="2:53" ht="17.399999999999999" customHeight="1">
      <c r="B362" s="159"/>
      <c r="C362" s="159"/>
      <c r="D362" s="159"/>
      <c r="E362" s="159"/>
      <c r="F362" s="159"/>
      <c r="G362" s="159"/>
      <c r="H362" s="159"/>
      <c r="I362" s="159"/>
      <c r="J362" s="224"/>
      <c r="K362" s="159"/>
      <c r="L362" s="159"/>
      <c r="M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row>
    <row r="363" spans="2:53" ht="17.399999999999999" customHeight="1">
      <c r="B363" s="159"/>
      <c r="C363" s="159"/>
      <c r="D363" s="159"/>
      <c r="E363" s="159"/>
      <c r="F363" s="159"/>
      <c r="G363" s="159"/>
      <c r="H363" s="159"/>
      <c r="I363" s="159"/>
      <c r="J363" s="224"/>
      <c r="K363" s="159"/>
      <c r="L363" s="159"/>
      <c r="M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c r="AT363" s="159"/>
      <c r="AU363" s="159"/>
      <c r="AV363" s="159"/>
      <c r="AW363" s="159"/>
      <c r="AX363" s="159"/>
      <c r="AY363" s="159"/>
      <c r="AZ363" s="159"/>
      <c r="BA363" s="159"/>
    </row>
    <row r="364" spans="2:53" ht="17.399999999999999" customHeight="1">
      <c r="B364" s="159"/>
      <c r="C364" s="159"/>
      <c r="D364" s="159"/>
      <c r="E364" s="159"/>
      <c r="F364" s="159"/>
      <c r="G364" s="159"/>
      <c r="H364" s="159"/>
      <c r="I364" s="159"/>
      <c r="J364" s="224"/>
      <c r="K364" s="159"/>
      <c r="L364" s="159"/>
      <c r="M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c r="AT364" s="159"/>
      <c r="AU364" s="159"/>
      <c r="AV364" s="159"/>
      <c r="AW364" s="159"/>
      <c r="AX364" s="159"/>
      <c r="AY364" s="159"/>
      <c r="AZ364" s="159"/>
      <c r="BA364" s="159"/>
    </row>
    <row r="365" spans="2:53" ht="17.399999999999999" customHeight="1">
      <c r="B365" s="159"/>
      <c r="C365" s="159"/>
      <c r="D365" s="159"/>
      <c r="E365" s="159"/>
      <c r="F365" s="159"/>
      <c r="G365" s="159"/>
      <c r="H365" s="159"/>
      <c r="I365" s="159"/>
      <c r="J365" s="224"/>
      <c r="K365" s="159"/>
      <c r="L365" s="159"/>
      <c r="M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c r="AT365" s="159"/>
      <c r="AU365" s="159"/>
      <c r="AV365" s="159"/>
      <c r="AW365" s="159"/>
      <c r="AX365" s="159"/>
      <c r="AY365" s="159"/>
      <c r="AZ365" s="159"/>
      <c r="BA365" s="159"/>
    </row>
    <row r="366" spans="2:53" ht="17.399999999999999" customHeight="1">
      <c r="B366" s="159"/>
      <c r="C366" s="159"/>
      <c r="D366" s="159"/>
      <c r="E366" s="159"/>
      <c r="F366" s="159"/>
      <c r="G366" s="159"/>
      <c r="H366" s="159"/>
      <c r="I366" s="159"/>
      <c r="J366" s="224"/>
      <c r="K366" s="159"/>
      <c r="L366" s="159"/>
      <c r="M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row>
    <row r="367" spans="2:53" ht="17.399999999999999" customHeight="1">
      <c r="B367" s="159"/>
      <c r="C367" s="159"/>
      <c r="D367" s="159"/>
      <c r="E367" s="159"/>
      <c r="F367" s="159"/>
      <c r="G367" s="159"/>
      <c r="H367" s="159"/>
      <c r="I367" s="159"/>
      <c r="J367" s="224"/>
      <c r="K367" s="159"/>
      <c r="L367" s="159"/>
      <c r="M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c r="AT367" s="159"/>
      <c r="AU367" s="159"/>
      <c r="AV367" s="159"/>
      <c r="AW367" s="159"/>
      <c r="AX367" s="159"/>
      <c r="AY367" s="159"/>
      <c r="AZ367" s="159"/>
      <c r="BA367" s="159"/>
    </row>
    <row r="368" spans="2:53" ht="17.399999999999999" customHeight="1">
      <c r="B368" s="159"/>
      <c r="C368" s="159"/>
      <c r="D368" s="159"/>
      <c r="E368" s="159"/>
      <c r="F368" s="159"/>
      <c r="G368" s="159"/>
      <c r="H368" s="159"/>
      <c r="I368" s="159"/>
      <c r="J368" s="224"/>
      <c r="K368" s="159"/>
      <c r="L368" s="159"/>
      <c r="M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59"/>
      <c r="AY368" s="159"/>
      <c r="AZ368" s="159"/>
      <c r="BA368" s="159"/>
    </row>
    <row r="369" spans="2:53" ht="17.399999999999999" customHeight="1">
      <c r="B369" s="159"/>
      <c r="C369" s="159"/>
      <c r="D369" s="159"/>
      <c r="E369" s="159"/>
      <c r="F369" s="159"/>
      <c r="G369" s="159"/>
      <c r="H369" s="159"/>
      <c r="I369" s="159"/>
      <c r="J369" s="224"/>
      <c r="K369" s="159"/>
      <c r="L369" s="159"/>
      <c r="M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c r="AT369" s="159"/>
      <c r="AU369" s="159"/>
      <c r="AV369" s="159"/>
      <c r="AW369" s="159"/>
      <c r="AX369" s="159"/>
      <c r="AY369" s="159"/>
      <c r="AZ369" s="159"/>
      <c r="BA369" s="159"/>
    </row>
    <row r="370" spans="2:53" ht="17.399999999999999" customHeight="1">
      <c r="B370" s="159"/>
      <c r="C370" s="159"/>
      <c r="D370" s="159"/>
      <c r="E370" s="159"/>
      <c r="F370" s="159"/>
      <c r="G370" s="159"/>
      <c r="H370" s="159"/>
      <c r="I370" s="159"/>
      <c r="J370" s="224"/>
      <c r="K370" s="159"/>
      <c r="L370" s="159"/>
      <c r="M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c r="AT370" s="159"/>
      <c r="AU370" s="159"/>
      <c r="AV370" s="159"/>
      <c r="AW370" s="159"/>
      <c r="AX370" s="159"/>
      <c r="AY370" s="159"/>
      <c r="AZ370" s="159"/>
      <c r="BA370" s="159"/>
    </row>
    <row r="371" spans="2:53" ht="17.399999999999999" customHeight="1">
      <c r="B371" s="159"/>
      <c r="C371" s="159"/>
      <c r="D371" s="159"/>
      <c r="E371" s="159"/>
      <c r="F371" s="159"/>
      <c r="G371" s="159"/>
      <c r="H371" s="159"/>
      <c r="I371" s="159"/>
      <c r="J371" s="224"/>
      <c r="K371" s="159"/>
      <c r="L371" s="159"/>
      <c r="M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c r="AT371" s="159"/>
      <c r="AU371" s="159"/>
      <c r="AV371" s="159"/>
      <c r="AW371" s="159"/>
      <c r="AX371" s="159"/>
      <c r="AY371" s="159"/>
      <c r="AZ371" s="159"/>
      <c r="BA371" s="159"/>
    </row>
    <row r="372" spans="2:53" ht="17.399999999999999" customHeight="1">
      <c r="B372" s="159"/>
      <c r="C372" s="159"/>
      <c r="D372" s="159"/>
      <c r="E372" s="159"/>
      <c r="F372" s="159"/>
      <c r="G372" s="159"/>
      <c r="H372" s="159"/>
      <c r="I372" s="159"/>
      <c r="J372" s="224"/>
      <c r="K372" s="159"/>
      <c r="L372" s="159"/>
      <c r="M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c r="AT372" s="159"/>
      <c r="AU372" s="159"/>
      <c r="AV372" s="159"/>
      <c r="AW372" s="159"/>
      <c r="AX372" s="159"/>
      <c r="AY372" s="159"/>
      <c r="AZ372" s="159"/>
      <c r="BA372" s="159"/>
    </row>
    <row r="373" spans="2:53" ht="17.399999999999999" customHeight="1">
      <c r="B373" s="159"/>
      <c r="C373" s="159"/>
      <c r="D373" s="159"/>
      <c r="E373" s="159"/>
      <c r="F373" s="159"/>
      <c r="G373" s="159"/>
      <c r="H373" s="159"/>
      <c r="I373" s="159"/>
      <c r="J373" s="224"/>
      <c r="K373" s="159"/>
      <c r="L373" s="159"/>
      <c r="M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c r="AT373" s="159"/>
      <c r="AU373" s="159"/>
      <c r="AV373" s="159"/>
      <c r="AW373" s="159"/>
      <c r="AX373" s="159"/>
      <c r="AY373" s="159"/>
      <c r="AZ373" s="159"/>
      <c r="BA373" s="159"/>
    </row>
    <row r="374" spans="2:53" ht="17.399999999999999" customHeight="1">
      <c r="B374" s="159"/>
      <c r="C374" s="159"/>
      <c r="D374" s="159"/>
      <c r="E374" s="159"/>
      <c r="F374" s="159"/>
      <c r="G374" s="159"/>
      <c r="H374" s="159"/>
      <c r="I374" s="159"/>
      <c r="J374" s="224"/>
      <c r="K374" s="159"/>
      <c r="L374" s="159"/>
      <c r="M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row>
    <row r="375" spans="2:53" ht="17.399999999999999" customHeight="1">
      <c r="B375" s="159"/>
      <c r="C375" s="159"/>
      <c r="D375" s="159"/>
      <c r="E375" s="159"/>
      <c r="F375" s="159"/>
      <c r="G375" s="159"/>
      <c r="H375" s="159"/>
      <c r="I375" s="159"/>
      <c r="J375" s="224"/>
      <c r="K375" s="159"/>
      <c r="L375" s="159"/>
      <c r="M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c r="AT375" s="159"/>
      <c r="AU375" s="159"/>
      <c r="AV375" s="159"/>
      <c r="AW375" s="159"/>
      <c r="AX375" s="159"/>
      <c r="AY375" s="159"/>
      <c r="AZ375" s="159"/>
      <c r="BA375" s="159"/>
    </row>
    <row r="376" spans="2:53" ht="17.399999999999999" customHeight="1">
      <c r="B376" s="159"/>
      <c r="C376" s="159"/>
      <c r="D376" s="159"/>
      <c r="E376" s="159"/>
      <c r="F376" s="159"/>
      <c r="G376" s="159"/>
      <c r="H376" s="159"/>
      <c r="I376" s="159"/>
      <c r="J376" s="224"/>
      <c r="K376" s="159"/>
      <c r="L376" s="159"/>
      <c r="M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c r="AT376" s="159"/>
      <c r="AU376" s="159"/>
      <c r="AV376" s="159"/>
      <c r="AW376" s="159"/>
      <c r="AX376" s="159"/>
      <c r="AY376" s="159"/>
      <c r="AZ376" s="159"/>
      <c r="BA376" s="159"/>
    </row>
    <row r="377" spans="2:53" ht="17.399999999999999" customHeight="1">
      <c r="B377" s="159"/>
      <c r="C377" s="159"/>
      <c r="D377" s="159"/>
      <c r="E377" s="159"/>
      <c r="F377" s="159"/>
      <c r="G377" s="159"/>
      <c r="H377" s="159"/>
      <c r="I377" s="159"/>
      <c r="J377" s="224"/>
      <c r="K377" s="159"/>
      <c r="L377" s="159"/>
      <c r="M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c r="AT377" s="159"/>
      <c r="AU377" s="159"/>
      <c r="AV377" s="159"/>
      <c r="AW377" s="159"/>
      <c r="AX377" s="159"/>
      <c r="AY377" s="159"/>
      <c r="AZ377" s="159"/>
      <c r="BA377" s="159"/>
    </row>
    <row r="378" spans="2:53" ht="17.399999999999999" customHeight="1">
      <c r="B378" s="159"/>
      <c r="C378" s="159"/>
      <c r="D378" s="159"/>
      <c r="E378" s="159"/>
      <c r="F378" s="159"/>
      <c r="G378" s="159"/>
      <c r="H378" s="159"/>
      <c r="I378" s="159"/>
      <c r="J378" s="224"/>
      <c r="K378" s="159"/>
      <c r="L378" s="159"/>
      <c r="M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c r="AT378" s="159"/>
      <c r="AU378" s="159"/>
      <c r="AV378" s="159"/>
      <c r="AW378" s="159"/>
      <c r="AX378" s="159"/>
      <c r="AY378" s="159"/>
      <c r="AZ378" s="159"/>
      <c r="BA378" s="159"/>
    </row>
    <row r="379" spans="2:53" ht="17.399999999999999" customHeight="1">
      <c r="B379" s="159"/>
      <c r="C379" s="159"/>
      <c r="D379" s="159"/>
      <c r="E379" s="159"/>
      <c r="F379" s="159"/>
      <c r="G379" s="159"/>
      <c r="H379" s="159"/>
      <c r="I379" s="159"/>
      <c r="J379" s="224"/>
      <c r="K379" s="159"/>
      <c r="L379" s="159"/>
      <c r="M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c r="AT379" s="159"/>
      <c r="AU379" s="159"/>
      <c r="AV379" s="159"/>
      <c r="AW379" s="159"/>
      <c r="AX379" s="159"/>
      <c r="AY379" s="159"/>
      <c r="AZ379" s="159"/>
      <c r="BA379" s="159"/>
    </row>
    <row r="380" spans="2:53" ht="17.399999999999999" customHeight="1">
      <c r="B380" s="159"/>
      <c r="C380" s="159"/>
      <c r="D380" s="159"/>
      <c r="E380" s="159"/>
      <c r="F380" s="159"/>
      <c r="G380" s="159"/>
      <c r="H380" s="159"/>
      <c r="I380" s="159"/>
      <c r="J380" s="224"/>
      <c r="K380" s="159"/>
      <c r="L380" s="159"/>
      <c r="M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c r="AT380" s="159"/>
      <c r="AU380" s="159"/>
      <c r="AV380" s="159"/>
      <c r="AW380" s="159"/>
      <c r="AX380" s="159"/>
      <c r="AY380" s="159"/>
      <c r="AZ380" s="159"/>
      <c r="BA380" s="159"/>
    </row>
    <row r="381" spans="2:53" ht="17.399999999999999" customHeight="1">
      <c r="B381" s="159"/>
      <c r="C381" s="159"/>
      <c r="D381" s="159"/>
      <c r="E381" s="159"/>
      <c r="F381" s="159"/>
      <c r="G381" s="159"/>
      <c r="H381" s="159"/>
      <c r="I381" s="159"/>
      <c r="J381" s="224"/>
      <c r="K381" s="159"/>
      <c r="L381" s="159"/>
      <c r="M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row>
    <row r="382" spans="2:53" ht="17.399999999999999" customHeight="1">
      <c r="B382" s="159"/>
      <c r="C382" s="159"/>
      <c r="D382" s="159"/>
      <c r="E382" s="159"/>
      <c r="F382" s="159"/>
      <c r="G382" s="159"/>
      <c r="H382" s="159"/>
      <c r="I382" s="159"/>
      <c r="J382" s="224"/>
      <c r="K382" s="159"/>
      <c r="L382" s="159"/>
      <c r="M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c r="AT382" s="159"/>
      <c r="AU382" s="159"/>
      <c r="AV382" s="159"/>
      <c r="AW382" s="159"/>
      <c r="AX382" s="159"/>
      <c r="AY382" s="159"/>
      <c r="AZ382" s="159"/>
      <c r="BA382" s="159"/>
    </row>
    <row r="383" spans="2:53" ht="17.399999999999999" customHeight="1">
      <c r="B383" s="159"/>
      <c r="C383" s="159"/>
      <c r="D383" s="159"/>
      <c r="E383" s="159"/>
      <c r="F383" s="159"/>
      <c r="G383" s="159"/>
      <c r="H383" s="159"/>
      <c r="I383" s="159"/>
      <c r="J383" s="224"/>
      <c r="K383" s="159"/>
      <c r="L383" s="159"/>
      <c r="M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row>
    <row r="384" spans="2:53" ht="17.399999999999999" customHeight="1">
      <c r="B384" s="159"/>
      <c r="C384" s="159"/>
      <c r="D384" s="159"/>
      <c r="E384" s="159"/>
      <c r="F384" s="159"/>
      <c r="G384" s="159"/>
      <c r="H384" s="159"/>
      <c r="I384" s="159"/>
      <c r="J384" s="224"/>
      <c r="K384" s="159"/>
      <c r="L384" s="159"/>
      <c r="M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c r="AT384" s="159"/>
      <c r="AU384" s="159"/>
      <c r="AV384" s="159"/>
      <c r="AW384" s="159"/>
      <c r="AX384" s="159"/>
      <c r="AY384" s="159"/>
      <c r="AZ384" s="159"/>
      <c r="BA384" s="159"/>
    </row>
    <row r="385" spans="2:53" ht="17.399999999999999" customHeight="1">
      <c r="B385" s="159"/>
      <c r="C385" s="159"/>
      <c r="D385" s="159"/>
      <c r="E385" s="159"/>
      <c r="F385" s="159"/>
      <c r="G385" s="159"/>
      <c r="H385" s="159"/>
      <c r="I385" s="159"/>
      <c r="J385" s="224"/>
      <c r="K385" s="159"/>
      <c r="L385" s="159"/>
      <c r="M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c r="AT385" s="159"/>
      <c r="AU385" s="159"/>
      <c r="AV385" s="159"/>
      <c r="AW385" s="159"/>
      <c r="AX385" s="159"/>
      <c r="AY385" s="159"/>
      <c r="AZ385" s="159"/>
      <c r="BA385" s="159"/>
    </row>
    <row r="386" spans="2:53" ht="17.399999999999999" customHeight="1">
      <c r="B386" s="159"/>
      <c r="C386" s="159"/>
      <c r="D386" s="159"/>
      <c r="E386" s="159"/>
      <c r="F386" s="159"/>
      <c r="G386" s="159"/>
      <c r="H386" s="159"/>
      <c r="I386" s="159"/>
      <c r="J386" s="224"/>
      <c r="K386" s="159"/>
      <c r="L386" s="159"/>
      <c r="M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c r="AT386" s="159"/>
      <c r="AU386" s="159"/>
      <c r="AV386" s="159"/>
      <c r="AW386" s="159"/>
      <c r="AX386" s="159"/>
      <c r="AY386" s="159"/>
      <c r="AZ386" s="159"/>
      <c r="BA386" s="159"/>
    </row>
    <row r="387" spans="2:53" ht="17.399999999999999" customHeight="1">
      <c r="B387" s="159"/>
      <c r="C387" s="159"/>
      <c r="D387" s="159"/>
      <c r="E387" s="159"/>
      <c r="F387" s="159"/>
      <c r="G387" s="159"/>
      <c r="H387" s="159"/>
      <c r="I387" s="159"/>
      <c r="J387" s="224"/>
      <c r="K387" s="159"/>
      <c r="L387" s="159"/>
      <c r="M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row>
    <row r="388" spans="2:53" ht="17.399999999999999" customHeight="1">
      <c r="B388" s="159"/>
      <c r="C388" s="159"/>
      <c r="D388" s="159"/>
      <c r="E388" s="159"/>
      <c r="F388" s="159"/>
      <c r="G388" s="159"/>
      <c r="H388" s="159"/>
      <c r="I388" s="159"/>
      <c r="J388" s="224"/>
      <c r="K388" s="159"/>
      <c r="L388" s="159"/>
      <c r="M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159"/>
      <c r="AU388" s="159"/>
      <c r="AV388" s="159"/>
      <c r="AW388" s="159"/>
      <c r="AX388" s="159"/>
      <c r="AY388" s="159"/>
      <c r="AZ388" s="159"/>
      <c r="BA388" s="159"/>
    </row>
    <row r="389" spans="2:53" ht="17.399999999999999" customHeight="1">
      <c r="B389" s="159"/>
      <c r="C389" s="159"/>
      <c r="D389" s="159"/>
      <c r="E389" s="159"/>
      <c r="F389" s="159"/>
      <c r="G389" s="159"/>
      <c r="H389" s="159"/>
      <c r="I389" s="159"/>
      <c r="J389" s="224"/>
      <c r="K389" s="159"/>
      <c r="L389" s="159"/>
      <c r="M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row>
    <row r="390" spans="2:53" ht="17.399999999999999" customHeight="1">
      <c r="B390" s="159"/>
      <c r="C390" s="159"/>
      <c r="D390" s="159"/>
      <c r="E390" s="159"/>
      <c r="F390" s="159"/>
      <c r="G390" s="159"/>
      <c r="H390" s="159"/>
      <c r="I390" s="159"/>
      <c r="J390" s="224"/>
      <c r="K390" s="159"/>
      <c r="L390" s="159"/>
      <c r="M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row>
    <row r="391" spans="2:53" ht="17.399999999999999" customHeight="1">
      <c r="B391" s="159"/>
      <c r="C391" s="159"/>
      <c r="D391" s="159"/>
      <c r="E391" s="159"/>
      <c r="F391" s="159"/>
      <c r="G391" s="159"/>
      <c r="H391" s="159"/>
      <c r="I391" s="159"/>
      <c r="J391" s="224"/>
      <c r="K391" s="159"/>
      <c r="L391" s="159"/>
      <c r="M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row>
    <row r="392" spans="2:53" ht="17.399999999999999" customHeight="1">
      <c r="B392" s="159"/>
      <c r="C392" s="159"/>
      <c r="D392" s="159"/>
      <c r="E392" s="159"/>
      <c r="F392" s="159"/>
      <c r="G392" s="159"/>
      <c r="H392" s="159"/>
      <c r="I392" s="159"/>
      <c r="J392" s="224"/>
      <c r="K392" s="159"/>
      <c r="L392" s="159"/>
      <c r="M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row>
    <row r="393" spans="2:53" ht="17.399999999999999" customHeight="1">
      <c r="B393" s="159"/>
      <c r="C393" s="159"/>
      <c r="D393" s="159"/>
      <c r="E393" s="159"/>
      <c r="F393" s="159"/>
      <c r="G393" s="159"/>
      <c r="H393" s="159"/>
      <c r="I393" s="159"/>
      <c r="J393" s="224"/>
      <c r="K393" s="159"/>
      <c r="L393" s="159"/>
      <c r="M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row>
    <row r="394" spans="2:53" ht="17.399999999999999" customHeight="1">
      <c r="B394" s="159"/>
      <c r="C394" s="159"/>
      <c r="D394" s="159"/>
      <c r="E394" s="159"/>
      <c r="F394" s="159"/>
      <c r="G394" s="159"/>
      <c r="H394" s="159"/>
      <c r="I394" s="159"/>
      <c r="J394" s="224"/>
      <c r="K394" s="159"/>
      <c r="L394" s="159"/>
      <c r="M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row>
    <row r="395" spans="2:53" ht="17.399999999999999" customHeight="1">
      <c r="B395" s="159"/>
      <c r="C395" s="159"/>
      <c r="D395" s="159"/>
      <c r="E395" s="159"/>
      <c r="F395" s="159"/>
      <c r="G395" s="159"/>
      <c r="H395" s="159"/>
      <c r="I395" s="159"/>
      <c r="J395" s="224"/>
      <c r="K395" s="159"/>
      <c r="L395" s="159"/>
      <c r="M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c r="AT395" s="159"/>
      <c r="AU395" s="159"/>
      <c r="AV395" s="159"/>
      <c r="AW395" s="159"/>
      <c r="AX395" s="159"/>
      <c r="AY395" s="159"/>
      <c r="AZ395" s="159"/>
      <c r="BA395" s="159"/>
    </row>
    <row r="396" spans="2:53" ht="17.399999999999999" customHeight="1">
      <c r="B396" s="159"/>
      <c r="C396" s="159"/>
      <c r="D396" s="159"/>
      <c r="E396" s="159"/>
      <c r="F396" s="159"/>
      <c r="G396" s="159"/>
      <c r="H396" s="159"/>
      <c r="I396" s="159"/>
      <c r="J396" s="224"/>
      <c r="K396" s="159"/>
      <c r="L396" s="159"/>
      <c r="M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c r="AT396" s="159"/>
      <c r="AU396" s="159"/>
      <c r="AV396" s="159"/>
      <c r="AW396" s="159"/>
      <c r="AX396" s="159"/>
      <c r="AY396" s="159"/>
      <c r="AZ396" s="159"/>
      <c r="BA396" s="159"/>
    </row>
    <row r="397" spans="2:53" ht="17.399999999999999" customHeight="1">
      <c r="B397" s="159"/>
      <c r="C397" s="159"/>
      <c r="D397" s="159"/>
      <c r="E397" s="159"/>
      <c r="F397" s="159"/>
      <c r="G397" s="159"/>
      <c r="H397" s="159"/>
      <c r="I397" s="159"/>
      <c r="J397" s="224"/>
      <c r="K397" s="159"/>
      <c r="L397" s="159"/>
      <c r="M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row>
    <row r="398" spans="2:53" ht="17.399999999999999" customHeight="1">
      <c r="B398" s="159"/>
      <c r="C398" s="159"/>
      <c r="D398" s="159"/>
      <c r="E398" s="159"/>
      <c r="F398" s="159"/>
      <c r="G398" s="159"/>
      <c r="H398" s="159"/>
      <c r="I398" s="159"/>
      <c r="J398" s="224"/>
      <c r="K398" s="159"/>
      <c r="L398" s="159"/>
      <c r="M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c r="AT398" s="159"/>
      <c r="AU398" s="159"/>
      <c r="AV398" s="159"/>
      <c r="AW398" s="159"/>
      <c r="AX398" s="159"/>
      <c r="AY398" s="159"/>
      <c r="AZ398" s="159"/>
      <c r="BA398" s="159"/>
    </row>
    <row r="399" spans="2:53" ht="17.399999999999999" customHeight="1">
      <c r="B399" s="159"/>
      <c r="C399" s="159"/>
      <c r="D399" s="159"/>
      <c r="E399" s="159"/>
      <c r="F399" s="159"/>
      <c r="G399" s="159"/>
      <c r="H399" s="159"/>
      <c r="I399" s="159"/>
      <c r="J399" s="224"/>
      <c r="K399" s="159"/>
      <c r="L399" s="159"/>
      <c r="M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c r="AT399" s="159"/>
      <c r="AU399" s="159"/>
      <c r="AV399" s="159"/>
      <c r="AW399" s="159"/>
      <c r="AX399" s="159"/>
      <c r="AY399" s="159"/>
      <c r="AZ399" s="159"/>
      <c r="BA399" s="159"/>
    </row>
    <row r="400" spans="2:53" ht="17.399999999999999" customHeight="1">
      <c r="B400" s="159"/>
      <c r="C400" s="159"/>
      <c r="D400" s="159"/>
      <c r="E400" s="159"/>
      <c r="F400" s="159"/>
      <c r="G400" s="159"/>
      <c r="H400" s="159"/>
      <c r="I400" s="159"/>
      <c r="J400" s="224"/>
      <c r="K400" s="159"/>
      <c r="L400" s="159"/>
      <c r="M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c r="AT400" s="159"/>
      <c r="AU400" s="159"/>
      <c r="AV400" s="159"/>
      <c r="AW400" s="159"/>
      <c r="AX400" s="159"/>
      <c r="AY400" s="159"/>
      <c r="AZ400" s="159"/>
      <c r="BA400" s="159"/>
    </row>
    <row r="401" spans="2:53" ht="17.399999999999999" customHeight="1">
      <c r="B401" s="159"/>
      <c r="C401" s="159"/>
      <c r="D401" s="159"/>
      <c r="E401" s="159"/>
      <c r="F401" s="159"/>
      <c r="G401" s="159"/>
      <c r="H401" s="159"/>
      <c r="I401" s="159"/>
      <c r="J401" s="224"/>
      <c r="K401" s="159"/>
      <c r="L401" s="159"/>
      <c r="M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c r="AT401" s="159"/>
      <c r="AU401" s="159"/>
      <c r="AV401" s="159"/>
      <c r="AW401" s="159"/>
      <c r="AX401" s="159"/>
      <c r="AY401" s="159"/>
      <c r="AZ401" s="159"/>
      <c r="BA401" s="159"/>
    </row>
    <row r="402" spans="2:53" ht="17.399999999999999" customHeight="1">
      <c r="B402" s="159"/>
      <c r="C402" s="159"/>
      <c r="D402" s="159"/>
      <c r="E402" s="159"/>
      <c r="F402" s="159"/>
      <c r="G402" s="159"/>
      <c r="H402" s="159"/>
      <c r="I402" s="159"/>
      <c r="J402" s="224"/>
      <c r="K402" s="159"/>
      <c r="L402" s="159"/>
      <c r="M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c r="AT402" s="159"/>
      <c r="AU402" s="159"/>
      <c r="AV402" s="159"/>
      <c r="AW402" s="159"/>
      <c r="AX402" s="159"/>
      <c r="AY402" s="159"/>
      <c r="AZ402" s="159"/>
      <c r="BA402" s="159"/>
    </row>
    <row r="403" spans="2:53" ht="17.399999999999999" customHeight="1">
      <c r="B403" s="159"/>
      <c r="C403" s="159"/>
      <c r="D403" s="159"/>
      <c r="E403" s="159"/>
      <c r="F403" s="159"/>
      <c r="G403" s="159"/>
      <c r="H403" s="159"/>
      <c r="I403" s="159"/>
      <c r="J403" s="224"/>
      <c r="K403" s="159"/>
      <c r="L403" s="159"/>
      <c r="M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c r="AT403" s="159"/>
      <c r="AU403" s="159"/>
      <c r="AV403" s="159"/>
      <c r="AW403" s="159"/>
      <c r="AX403" s="159"/>
      <c r="AY403" s="159"/>
      <c r="AZ403" s="159"/>
      <c r="BA403" s="159"/>
    </row>
    <row r="404" spans="2:53" ht="17.399999999999999" customHeight="1">
      <c r="B404" s="159"/>
      <c r="C404" s="159"/>
      <c r="D404" s="159"/>
      <c r="E404" s="159"/>
      <c r="F404" s="159"/>
      <c r="G404" s="159"/>
      <c r="H404" s="159"/>
      <c r="I404" s="159"/>
      <c r="J404" s="224"/>
      <c r="K404" s="159"/>
      <c r="L404" s="159"/>
      <c r="M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c r="AT404" s="159"/>
      <c r="AU404" s="159"/>
      <c r="AV404" s="159"/>
      <c r="AW404" s="159"/>
      <c r="AX404" s="159"/>
      <c r="AY404" s="159"/>
      <c r="AZ404" s="159"/>
      <c r="BA404" s="159"/>
    </row>
    <row r="405" spans="2:53" ht="17.399999999999999" customHeight="1">
      <c r="B405" s="159"/>
      <c r="C405" s="159"/>
      <c r="D405" s="159"/>
      <c r="E405" s="159"/>
      <c r="F405" s="159"/>
      <c r="G405" s="159"/>
      <c r="H405" s="159"/>
      <c r="I405" s="159"/>
      <c r="J405" s="224"/>
      <c r="K405" s="159"/>
      <c r="L405" s="159"/>
      <c r="M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c r="AT405" s="159"/>
      <c r="AU405" s="159"/>
      <c r="AV405" s="159"/>
      <c r="AW405" s="159"/>
      <c r="AX405" s="159"/>
      <c r="AY405" s="159"/>
      <c r="AZ405" s="159"/>
      <c r="BA405" s="159"/>
    </row>
    <row r="406" spans="2:53" ht="17.399999999999999" customHeight="1">
      <c r="B406" s="159"/>
      <c r="C406" s="159"/>
      <c r="D406" s="159"/>
      <c r="E406" s="159"/>
      <c r="F406" s="159"/>
      <c r="G406" s="159"/>
      <c r="H406" s="159"/>
      <c r="I406" s="159"/>
      <c r="J406" s="224"/>
      <c r="K406" s="159"/>
      <c r="L406" s="159"/>
      <c r="M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row>
    <row r="407" spans="2:53" ht="17.399999999999999" customHeight="1">
      <c r="B407" s="159"/>
      <c r="C407" s="159"/>
      <c r="D407" s="159"/>
      <c r="E407" s="159"/>
      <c r="F407" s="159"/>
      <c r="G407" s="159"/>
      <c r="H407" s="159"/>
      <c r="I407" s="159"/>
      <c r="J407" s="224"/>
      <c r="K407" s="159"/>
      <c r="L407" s="159"/>
      <c r="M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c r="AT407" s="159"/>
      <c r="AU407" s="159"/>
      <c r="AV407" s="159"/>
      <c r="AW407" s="159"/>
      <c r="AX407" s="159"/>
      <c r="AY407" s="159"/>
      <c r="AZ407" s="159"/>
      <c r="BA407" s="159"/>
    </row>
    <row r="408" spans="2:53" ht="17.399999999999999" customHeight="1">
      <c r="B408" s="159"/>
      <c r="C408" s="159"/>
      <c r="D408" s="159"/>
      <c r="E408" s="159"/>
      <c r="F408" s="159"/>
      <c r="G408" s="159"/>
      <c r="H408" s="159"/>
      <c r="I408" s="159"/>
      <c r="J408" s="224"/>
      <c r="K408" s="159"/>
      <c r="L408" s="159"/>
      <c r="M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c r="AT408" s="159"/>
      <c r="AU408" s="159"/>
      <c r="AV408" s="159"/>
      <c r="AW408" s="159"/>
      <c r="AX408" s="159"/>
      <c r="AY408" s="159"/>
      <c r="AZ408" s="159"/>
      <c r="BA408" s="159"/>
    </row>
    <row r="409" spans="2:53" ht="17.399999999999999" customHeight="1">
      <c r="B409" s="159"/>
      <c r="C409" s="159"/>
      <c r="D409" s="159"/>
      <c r="E409" s="159"/>
      <c r="F409" s="159"/>
      <c r="G409" s="159"/>
      <c r="H409" s="159"/>
      <c r="I409" s="159"/>
      <c r="J409" s="224"/>
      <c r="K409" s="159"/>
      <c r="L409" s="159"/>
      <c r="M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c r="AT409" s="159"/>
      <c r="AU409" s="159"/>
      <c r="AV409" s="159"/>
      <c r="AW409" s="159"/>
      <c r="AX409" s="159"/>
      <c r="AY409" s="159"/>
      <c r="AZ409" s="159"/>
      <c r="BA409" s="159"/>
    </row>
    <row r="410" spans="2:53" ht="17.399999999999999" customHeight="1">
      <c r="B410" s="159"/>
      <c r="C410" s="159"/>
      <c r="D410" s="159"/>
      <c r="E410" s="159"/>
      <c r="F410" s="159"/>
      <c r="G410" s="159"/>
      <c r="H410" s="159"/>
      <c r="I410" s="159"/>
      <c r="J410" s="224"/>
      <c r="K410" s="159"/>
      <c r="L410" s="159"/>
      <c r="M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c r="AT410" s="159"/>
      <c r="AU410" s="159"/>
      <c r="AV410" s="159"/>
      <c r="AW410" s="159"/>
      <c r="AX410" s="159"/>
      <c r="AY410" s="159"/>
      <c r="AZ410" s="159"/>
      <c r="BA410" s="159"/>
    </row>
    <row r="411" spans="2:53" ht="17.399999999999999" customHeight="1">
      <c r="B411" s="159"/>
      <c r="C411" s="159"/>
      <c r="D411" s="159"/>
      <c r="E411" s="159"/>
      <c r="F411" s="159"/>
      <c r="G411" s="159"/>
      <c r="H411" s="159"/>
      <c r="I411" s="159"/>
      <c r="J411" s="224"/>
      <c r="K411" s="159"/>
      <c r="L411" s="159"/>
      <c r="M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c r="AT411" s="159"/>
      <c r="AU411" s="159"/>
      <c r="AV411" s="159"/>
      <c r="AW411" s="159"/>
      <c r="AX411" s="159"/>
      <c r="AY411" s="159"/>
      <c r="AZ411" s="159"/>
      <c r="BA411" s="159"/>
    </row>
    <row r="412" spans="2:53" ht="17.399999999999999" customHeight="1">
      <c r="B412" s="159"/>
      <c r="C412" s="159"/>
      <c r="D412" s="159"/>
      <c r="E412" s="159"/>
      <c r="F412" s="159"/>
      <c r="G412" s="159"/>
      <c r="H412" s="159"/>
      <c r="I412" s="159"/>
      <c r="J412" s="224"/>
      <c r="K412" s="159"/>
      <c r="L412" s="159"/>
      <c r="M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c r="AT412" s="159"/>
      <c r="AU412" s="159"/>
      <c r="AV412" s="159"/>
      <c r="AW412" s="159"/>
      <c r="AX412" s="159"/>
      <c r="AY412" s="159"/>
      <c r="AZ412" s="159"/>
      <c r="BA412" s="159"/>
    </row>
    <row r="413" spans="2:53" ht="17.399999999999999" customHeight="1">
      <c r="B413" s="159"/>
      <c r="C413" s="159"/>
      <c r="D413" s="159"/>
      <c r="E413" s="159"/>
      <c r="F413" s="159"/>
      <c r="G413" s="159"/>
      <c r="H413" s="159"/>
      <c r="I413" s="159"/>
      <c r="J413" s="224"/>
      <c r="K413" s="159"/>
      <c r="L413" s="159"/>
      <c r="M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c r="AT413" s="159"/>
      <c r="AU413" s="159"/>
      <c r="AV413" s="159"/>
      <c r="AW413" s="159"/>
      <c r="AX413" s="159"/>
      <c r="AY413" s="159"/>
      <c r="AZ413" s="159"/>
      <c r="BA413" s="159"/>
    </row>
    <row r="414" spans="2:53" ht="17.399999999999999" customHeight="1">
      <c r="B414" s="159"/>
      <c r="C414" s="159"/>
      <c r="D414" s="159"/>
      <c r="E414" s="159"/>
      <c r="F414" s="159"/>
      <c r="G414" s="159"/>
      <c r="H414" s="159"/>
      <c r="I414" s="159"/>
      <c r="J414" s="224"/>
      <c r="K414" s="159"/>
      <c r="L414" s="159"/>
      <c r="M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c r="AT414" s="159"/>
      <c r="AU414" s="159"/>
      <c r="AV414" s="159"/>
      <c r="AW414" s="159"/>
      <c r="AX414" s="159"/>
      <c r="AY414" s="159"/>
      <c r="AZ414" s="159"/>
      <c r="BA414" s="159"/>
    </row>
    <row r="415" spans="2:53" ht="17.399999999999999" customHeight="1">
      <c r="B415" s="159"/>
      <c r="C415" s="159"/>
      <c r="D415" s="159"/>
      <c r="E415" s="159"/>
      <c r="F415" s="159"/>
      <c r="G415" s="159"/>
      <c r="H415" s="159"/>
      <c r="I415" s="159"/>
      <c r="J415" s="224"/>
      <c r="K415" s="159"/>
      <c r="L415" s="159"/>
      <c r="M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c r="AT415" s="159"/>
      <c r="AU415" s="159"/>
      <c r="AV415" s="159"/>
      <c r="AW415" s="159"/>
      <c r="AX415" s="159"/>
      <c r="AY415" s="159"/>
      <c r="AZ415" s="159"/>
      <c r="BA415" s="159"/>
    </row>
    <row r="416" spans="2:53" ht="17.399999999999999" customHeight="1">
      <c r="B416" s="159"/>
      <c r="C416" s="159"/>
      <c r="D416" s="159"/>
      <c r="E416" s="159"/>
      <c r="F416" s="159"/>
      <c r="G416" s="159"/>
      <c r="H416" s="159"/>
      <c r="I416" s="159"/>
      <c r="J416" s="224"/>
      <c r="K416" s="159"/>
      <c r="L416" s="159"/>
      <c r="M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c r="AT416" s="159"/>
      <c r="AU416" s="159"/>
      <c r="AV416" s="159"/>
      <c r="AW416" s="159"/>
      <c r="AX416" s="159"/>
      <c r="AY416" s="159"/>
      <c r="AZ416" s="159"/>
      <c r="BA416" s="159"/>
    </row>
    <row r="417" spans="2:53" ht="17.399999999999999" customHeight="1">
      <c r="B417" s="159"/>
      <c r="C417" s="159"/>
      <c r="D417" s="159"/>
      <c r="E417" s="159"/>
      <c r="F417" s="159"/>
      <c r="G417" s="159"/>
      <c r="H417" s="159"/>
      <c r="I417" s="159"/>
      <c r="J417" s="224"/>
      <c r="K417" s="159"/>
      <c r="L417" s="159"/>
      <c r="M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c r="AT417" s="159"/>
      <c r="AU417" s="159"/>
      <c r="AV417" s="159"/>
      <c r="AW417" s="159"/>
      <c r="AX417" s="159"/>
      <c r="AY417" s="159"/>
      <c r="AZ417" s="159"/>
      <c r="BA417" s="159"/>
    </row>
    <row r="418" spans="2:53" ht="17.399999999999999" customHeight="1">
      <c r="B418" s="159"/>
      <c r="C418" s="159"/>
      <c r="D418" s="159"/>
      <c r="E418" s="159"/>
      <c r="F418" s="159"/>
      <c r="G418" s="159"/>
      <c r="H418" s="159"/>
      <c r="I418" s="159"/>
      <c r="J418" s="224"/>
      <c r="K418" s="159"/>
      <c r="L418" s="159"/>
      <c r="M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c r="AT418" s="159"/>
      <c r="AU418" s="159"/>
      <c r="AV418" s="159"/>
      <c r="AW418" s="159"/>
      <c r="AX418" s="159"/>
      <c r="AY418" s="159"/>
      <c r="AZ418" s="159"/>
      <c r="BA418" s="159"/>
    </row>
    <row r="419" spans="2:53" ht="17.399999999999999" customHeight="1">
      <c r="B419" s="159"/>
      <c r="C419" s="159"/>
      <c r="D419" s="159"/>
      <c r="E419" s="159"/>
      <c r="F419" s="159"/>
      <c r="G419" s="159"/>
      <c r="H419" s="159"/>
      <c r="I419" s="159"/>
      <c r="J419" s="224"/>
      <c r="K419" s="159"/>
      <c r="L419" s="159"/>
      <c r="M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c r="AT419" s="159"/>
      <c r="AU419" s="159"/>
      <c r="AV419" s="159"/>
      <c r="AW419" s="159"/>
      <c r="AX419" s="159"/>
      <c r="AY419" s="159"/>
      <c r="AZ419" s="159"/>
      <c r="BA419" s="159"/>
    </row>
    <row r="420" spans="2:53" ht="17.399999999999999" customHeight="1">
      <c r="B420" s="159"/>
      <c r="C420" s="159"/>
      <c r="D420" s="159"/>
      <c r="E420" s="159"/>
      <c r="F420" s="159"/>
      <c r="G420" s="159"/>
      <c r="H420" s="159"/>
      <c r="I420" s="159"/>
      <c r="J420" s="224"/>
      <c r="K420" s="159"/>
      <c r="L420" s="159"/>
      <c r="M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c r="AT420" s="159"/>
      <c r="AU420" s="159"/>
      <c r="AV420" s="159"/>
      <c r="AW420" s="159"/>
      <c r="AX420" s="159"/>
      <c r="AY420" s="159"/>
      <c r="AZ420" s="159"/>
      <c r="BA420" s="159"/>
    </row>
    <row r="421" spans="2:53" ht="17.399999999999999" customHeight="1">
      <c r="B421" s="159"/>
      <c r="C421" s="159"/>
      <c r="D421" s="159"/>
      <c r="E421" s="159"/>
      <c r="F421" s="159"/>
      <c r="G421" s="159"/>
      <c r="H421" s="159"/>
      <c r="I421" s="159"/>
      <c r="J421" s="224"/>
      <c r="K421" s="159"/>
      <c r="L421" s="159"/>
      <c r="M421" s="159"/>
      <c r="O421" s="159"/>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c r="AT421" s="159"/>
      <c r="AU421" s="159"/>
      <c r="AV421" s="159"/>
      <c r="AW421" s="159"/>
      <c r="AX421" s="159"/>
      <c r="AY421" s="159"/>
      <c r="AZ421" s="159"/>
      <c r="BA421" s="159"/>
    </row>
    <row r="422" spans="2:53" ht="17.399999999999999" customHeight="1">
      <c r="B422" s="159"/>
      <c r="C422" s="159"/>
      <c r="D422" s="159"/>
      <c r="E422" s="159"/>
      <c r="F422" s="159"/>
      <c r="G422" s="159"/>
      <c r="H422" s="159"/>
      <c r="I422" s="159"/>
      <c r="J422" s="224"/>
      <c r="K422" s="159"/>
      <c r="L422" s="159"/>
      <c r="M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c r="AT422" s="159"/>
      <c r="AU422" s="159"/>
      <c r="AV422" s="159"/>
      <c r="AW422" s="159"/>
      <c r="AX422" s="159"/>
      <c r="AY422" s="159"/>
      <c r="AZ422" s="159"/>
      <c r="BA422" s="159"/>
    </row>
    <row r="423" spans="2:53" ht="17.399999999999999" customHeight="1">
      <c r="B423" s="159"/>
      <c r="C423" s="159"/>
      <c r="D423" s="159"/>
      <c r="E423" s="159"/>
      <c r="F423" s="159"/>
      <c r="G423" s="159"/>
      <c r="H423" s="159"/>
      <c r="I423" s="159"/>
      <c r="J423" s="224"/>
      <c r="K423" s="159"/>
      <c r="L423" s="159"/>
      <c r="M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c r="AT423" s="159"/>
      <c r="AU423" s="159"/>
      <c r="AV423" s="159"/>
      <c r="AW423" s="159"/>
      <c r="AX423" s="159"/>
      <c r="AY423" s="159"/>
      <c r="AZ423" s="159"/>
      <c r="BA423" s="159"/>
    </row>
    <row r="424" spans="2:53" ht="17.399999999999999" customHeight="1">
      <c r="B424" s="159"/>
      <c r="C424" s="159"/>
      <c r="D424" s="159"/>
      <c r="E424" s="159"/>
      <c r="F424" s="159"/>
      <c r="G424" s="159"/>
      <c r="H424" s="159"/>
      <c r="I424" s="159"/>
      <c r="J424" s="224"/>
      <c r="K424" s="159"/>
      <c r="L424" s="159"/>
      <c r="M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c r="AT424" s="159"/>
      <c r="AU424" s="159"/>
      <c r="AV424" s="159"/>
      <c r="AW424" s="159"/>
      <c r="AX424" s="159"/>
      <c r="AY424" s="159"/>
      <c r="AZ424" s="159"/>
      <c r="BA424" s="159"/>
    </row>
    <row r="425" spans="2:53" ht="17.399999999999999" customHeight="1">
      <c r="B425" s="159"/>
      <c r="C425" s="159"/>
      <c r="D425" s="159"/>
      <c r="E425" s="159"/>
      <c r="F425" s="159"/>
      <c r="G425" s="159"/>
      <c r="H425" s="159"/>
      <c r="I425" s="159"/>
      <c r="J425" s="224"/>
      <c r="K425" s="159"/>
      <c r="L425" s="159"/>
      <c r="M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c r="AT425" s="159"/>
      <c r="AU425" s="159"/>
      <c r="AV425" s="159"/>
      <c r="AW425" s="159"/>
      <c r="AX425" s="159"/>
      <c r="AY425" s="159"/>
      <c r="AZ425" s="159"/>
      <c r="BA425" s="159"/>
    </row>
    <row r="426" spans="2:53" ht="17.399999999999999" customHeight="1">
      <c r="B426" s="159"/>
      <c r="C426" s="159"/>
      <c r="D426" s="159"/>
      <c r="E426" s="159"/>
      <c r="F426" s="159"/>
      <c r="G426" s="159"/>
      <c r="H426" s="159"/>
      <c r="I426" s="159"/>
      <c r="J426" s="224"/>
      <c r="K426" s="159"/>
      <c r="L426" s="159"/>
      <c r="M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c r="AT426" s="159"/>
      <c r="AU426" s="159"/>
      <c r="AV426" s="159"/>
      <c r="AW426" s="159"/>
      <c r="AX426" s="159"/>
      <c r="AY426" s="159"/>
      <c r="AZ426" s="159"/>
      <c r="BA426" s="159"/>
    </row>
    <row r="427" spans="2:53" ht="17.399999999999999" customHeight="1">
      <c r="B427" s="159"/>
      <c r="C427" s="159"/>
      <c r="D427" s="159"/>
      <c r="E427" s="159"/>
      <c r="F427" s="159"/>
      <c r="G427" s="159"/>
      <c r="H427" s="159"/>
      <c r="I427" s="159"/>
      <c r="J427" s="224"/>
      <c r="K427" s="159"/>
      <c r="L427" s="159"/>
      <c r="M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c r="AT427" s="159"/>
      <c r="AU427" s="159"/>
      <c r="AV427" s="159"/>
      <c r="AW427" s="159"/>
      <c r="AX427" s="159"/>
      <c r="AY427" s="159"/>
      <c r="AZ427" s="159"/>
      <c r="BA427" s="159"/>
    </row>
    <row r="428" spans="2:53" ht="17.399999999999999" customHeight="1">
      <c r="B428" s="159"/>
      <c r="C428" s="159"/>
      <c r="D428" s="159"/>
      <c r="E428" s="159"/>
      <c r="F428" s="159"/>
      <c r="G428" s="159"/>
      <c r="H428" s="159"/>
      <c r="I428" s="159"/>
      <c r="J428" s="224"/>
      <c r="K428" s="159"/>
      <c r="L428" s="159"/>
      <c r="M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c r="AT428" s="159"/>
      <c r="AU428" s="159"/>
      <c r="AV428" s="159"/>
      <c r="AW428" s="159"/>
      <c r="AX428" s="159"/>
      <c r="AY428" s="159"/>
      <c r="AZ428" s="159"/>
      <c r="BA428" s="159"/>
    </row>
    <row r="429" spans="2:53" ht="17.399999999999999" customHeight="1">
      <c r="B429" s="159"/>
      <c r="C429" s="159"/>
      <c r="D429" s="159"/>
      <c r="E429" s="159"/>
      <c r="F429" s="159"/>
      <c r="G429" s="159"/>
      <c r="H429" s="159"/>
      <c r="I429" s="159"/>
      <c r="J429" s="224"/>
      <c r="K429" s="159"/>
      <c r="L429" s="159"/>
      <c r="M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c r="AT429" s="159"/>
      <c r="AU429" s="159"/>
      <c r="AV429" s="159"/>
      <c r="AW429" s="159"/>
      <c r="AX429" s="159"/>
      <c r="AY429" s="159"/>
      <c r="AZ429" s="159"/>
      <c r="BA429" s="159"/>
    </row>
    <row r="430" spans="2:53" ht="17.399999999999999" customHeight="1">
      <c r="B430" s="159"/>
      <c r="C430" s="159"/>
      <c r="D430" s="159"/>
      <c r="E430" s="159"/>
      <c r="F430" s="159"/>
      <c r="G430" s="159"/>
      <c r="H430" s="159"/>
      <c r="I430" s="159"/>
      <c r="J430" s="224"/>
      <c r="K430" s="159"/>
      <c r="L430" s="159"/>
      <c r="M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c r="AT430" s="159"/>
      <c r="AU430" s="159"/>
      <c r="AV430" s="159"/>
      <c r="AW430" s="159"/>
      <c r="AX430" s="159"/>
      <c r="AY430" s="159"/>
      <c r="AZ430" s="159"/>
      <c r="BA430" s="159"/>
    </row>
    <row r="431" spans="2:53" ht="17.399999999999999" customHeight="1">
      <c r="B431" s="159"/>
      <c r="C431" s="159"/>
      <c r="D431" s="159"/>
      <c r="E431" s="159"/>
      <c r="F431" s="159"/>
      <c r="G431" s="159"/>
      <c r="H431" s="159"/>
      <c r="I431" s="159"/>
      <c r="J431" s="224"/>
      <c r="K431" s="159"/>
      <c r="L431" s="159"/>
      <c r="M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c r="AT431" s="159"/>
      <c r="AU431" s="159"/>
      <c r="AV431" s="159"/>
      <c r="AW431" s="159"/>
      <c r="AX431" s="159"/>
      <c r="AY431" s="159"/>
      <c r="AZ431" s="159"/>
      <c r="BA431" s="159"/>
    </row>
    <row r="432" spans="2:53" ht="17.399999999999999" customHeight="1">
      <c r="B432" s="159"/>
      <c r="C432" s="159"/>
      <c r="D432" s="159"/>
      <c r="E432" s="159"/>
      <c r="F432" s="159"/>
      <c r="G432" s="159"/>
      <c r="H432" s="159"/>
      <c r="I432" s="159"/>
      <c r="J432" s="224"/>
      <c r="K432" s="159"/>
      <c r="L432" s="159"/>
      <c r="M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c r="AT432" s="159"/>
      <c r="AU432" s="159"/>
      <c r="AV432" s="159"/>
      <c r="AW432" s="159"/>
      <c r="AX432" s="159"/>
      <c r="AY432" s="159"/>
      <c r="AZ432" s="159"/>
      <c r="BA432" s="159"/>
    </row>
    <row r="433" spans="2:53" ht="17.399999999999999" customHeight="1">
      <c r="B433" s="159"/>
      <c r="C433" s="159"/>
      <c r="D433" s="159"/>
      <c r="E433" s="159"/>
      <c r="F433" s="159"/>
      <c r="G433" s="159"/>
      <c r="H433" s="159"/>
      <c r="I433" s="159"/>
      <c r="J433" s="224"/>
      <c r="K433" s="159"/>
      <c r="L433" s="159"/>
      <c r="M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c r="AT433" s="159"/>
      <c r="AU433" s="159"/>
      <c r="AV433" s="159"/>
      <c r="AW433" s="159"/>
      <c r="AX433" s="159"/>
      <c r="AY433" s="159"/>
      <c r="AZ433" s="159"/>
      <c r="BA433" s="159"/>
    </row>
    <row r="434" spans="2:53" ht="17.399999999999999" customHeight="1">
      <c r="B434" s="159"/>
      <c r="C434" s="159"/>
      <c r="D434" s="159"/>
      <c r="E434" s="159"/>
      <c r="F434" s="159"/>
      <c r="G434" s="159"/>
      <c r="H434" s="159"/>
      <c r="I434" s="159"/>
      <c r="J434" s="224"/>
      <c r="K434" s="159"/>
      <c r="L434" s="159"/>
      <c r="M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c r="AT434" s="159"/>
      <c r="AU434" s="159"/>
      <c r="AV434" s="159"/>
      <c r="AW434" s="159"/>
      <c r="AX434" s="159"/>
      <c r="AY434" s="159"/>
      <c r="AZ434" s="159"/>
      <c r="BA434" s="159"/>
    </row>
    <row r="435" spans="2:53" ht="17.399999999999999" customHeight="1">
      <c r="B435" s="159"/>
      <c r="C435" s="159"/>
      <c r="D435" s="159"/>
      <c r="E435" s="159"/>
      <c r="F435" s="159"/>
      <c r="G435" s="159"/>
      <c r="H435" s="159"/>
      <c r="I435" s="159"/>
      <c r="J435" s="224"/>
      <c r="K435" s="159"/>
      <c r="L435" s="159"/>
      <c r="M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c r="AT435" s="159"/>
      <c r="AU435" s="159"/>
      <c r="AV435" s="159"/>
      <c r="AW435" s="159"/>
      <c r="AX435" s="159"/>
      <c r="AY435" s="159"/>
      <c r="AZ435" s="159"/>
      <c r="BA435" s="159"/>
    </row>
    <row r="436" spans="2:53" ht="17.399999999999999" customHeight="1">
      <c r="B436" s="159"/>
      <c r="C436" s="159"/>
      <c r="D436" s="159"/>
      <c r="E436" s="159"/>
      <c r="F436" s="159"/>
      <c r="G436" s="159"/>
      <c r="H436" s="159"/>
      <c r="I436" s="159"/>
      <c r="J436" s="224"/>
      <c r="K436" s="159"/>
      <c r="L436" s="159"/>
      <c r="M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c r="AT436" s="159"/>
      <c r="AU436" s="159"/>
      <c r="AV436" s="159"/>
      <c r="AW436" s="159"/>
      <c r="AX436" s="159"/>
      <c r="AY436" s="159"/>
      <c r="AZ436" s="159"/>
      <c r="BA436" s="159"/>
    </row>
    <row r="437" spans="2:53" ht="17.399999999999999" customHeight="1">
      <c r="B437" s="159"/>
      <c r="C437" s="159"/>
      <c r="D437" s="159"/>
      <c r="E437" s="159"/>
      <c r="F437" s="159"/>
      <c r="G437" s="159"/>
      <c r="H437" s="159"/>
      <c r="I437" s="159"/>
      <c r="J437" s="224"/>
      <c r="K437" s="159"/>
      <c r="L437" s="159"/>
      <c r="M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c r="AT437" s="159"/>
      <c r="AU437" s="159"/>
      <c r="AV437" s="159"/>
      <c r="AW437" s="159"/>
      <c r="AX437" s="159"/>
      <c r="AY437" s="159"/>
      <c r="AZ437" s="159"/>
      <c r="BA437" s="159"/>
    </row>
    <row r="438" spans="2:53" ht="17.399999999999999" customHeight="1">
      <c r="B438" s="159"/>
      <c r="C438" s="159"/>
      <c r="D438" s="159"/>
      <c r="E438" s="159"/>
      <c r="F438" s="159"/>
      <c r="G438" s="159"/>
      <c r="H438" s="159"/>
      <c r="I438" s="159"/>
      <c r="J438" s="224"/>
      <c r="K438" s="159"/>
      <c r="L438" s="159"/>
      <c r="M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c r="AT438" s="159"/>
      <c r="AU438" s="159"/>
      <c r="AV438" s="159"/>
      <c r="AW438" s="159"/>
      <c r="AX438" s="159"/>
      <c r="AY438" s="159"/>
      <c r="AZ438" s="159"/>
      <c r="BA438" s="159"/>
    </row>
    <row r="439" spans="2:53" ht="17.399999999999999" customHeight="1">
      <c r="B439" s="159"/>
      <c r="C439" s="159"/>
      <c r="D439" s="159"/>
      <c r="E439" s="159"/>
      <c r="F439" s="159"/>
      <c r="G439" s="159"/>
      <c r="H439" s="159"/>
      <c r="I439" s="159"/>
      <c r="J439" s="224"/>
      <c r="K439" s="159"/>
      <c r="L439" s="159"/>
      <c r="M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c r="AT439" s="159"/>
      <c r="AU439" s="159"/>
      <c r="AV439" s="159"/>
      <c r="AW439" s="159"/>
      <c r="AX439" s="159"/>
      <c r="AY439" s="159"/>
      <c r="AZ439" s="159"/>
      <c r="BA439" s="159"/>
    </row>
    <row r="440" spans="2:53" ht="17.399999999999999" customHeight="1">
      <c r="B440" s="159"/>
      <c r="C440" s="159"/>
      <c r="D440" s="159"/>
      <c r="E440" s="159"/>
      <c r="F440" s="159"/>
      <c r="G440" s="159"/>
      <c r="H440" s="159"/>
      <c r="I440" s="159"/>
      <c r="J440" s="224"/>
      <c r="K440" s="159"/>
      <c r="L440" s="159"/>
      <c r="M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c r="AT440" s="159"/>
      <c r="AU440" s="159"/>
      <c r="AV440" s="159"/>
      <c r="AW440" s="159"/>
      <c r="AX440" s="159"/>
      <c r="AY440" s="159"/>
      <c r="AZ440" s="159"/>
      <c r="BA440" s="159"/>
    </row>
    <row r="441" spans="2:53" ht="17.399999999999999" customHeight="1">
      <c r="B441" s="159"/>
      <c r="C441" s="159"/>
      <c r="D441" s="159"/>
      <c r="E441" s="159"/>
      <c r="F441" s="159"/>
      <c r="G441" s="159"/>
      <c r="H441" s="159"/>
      <c r="I441" s="159"/>
      <c r="J441" s="224"/>
      <c r="K441" s="159"/>
      <c r="L441" s="159"/>
      <c r="M441" s="159"/>
      <c r="O441" s="159"/>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c r="AT441" s="159"/>
      <c r="AU441" s="159"/>
      <c r="AV441" s="159"/>
      <c r="AW441" s="159"/>
      <c r="AX441" s="159"/>
      <c r="AY441" s="159"/>
      <c r="AZ441" s="159"/>
      <c r="BA441" s="159"/>
    </row>
    <row r="442" spans="2:53" ht="17.399999999999999" customHeight="1">
      <c r="B442" s="159"/>
      <c r="C442" s="159"/>
      <c r="D442" s="159"/>
      <c r="E442" s="159"/>
      <c r="F442" s="159"/>
      <c r="G442" s="159"/>
      <c r="H442" s="159"/>
      <c r="I442" s="159"/>
      <c r="J442" s="224"/>
      <c r="K442" s="159"/>
      <c r="L442" s="159"/>
      <c r="M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c r="AT442" s="159"/>
      <c r="AU442" s="159"/>
      <c r="AV442" s="159"/>
      <c r="AW442" s="159"/>
      <c r="AX442" s="159"/>
      <c r="AY442" s="159"/>
      <c r="AZ442" s="159"/>
      <c r="BA442" s="159"/>
    </row>
    <row r="443" spans="2:53" ht="17.399999999999999" customHeight="1">
      <c r="B443" s="159"/>
      <c r="C443" s="159"/>
      <c r="D443" s="159"/>
      <c r="E443" s="159"/>
      <c r="F443" s="159"/>
      <c r="G443" s="159"/>
      <c r="H443" s="159"/>
      <c r="I443" s="159"/>
      <c r="J443" s="224"/>
      <c r="K443" s="159"/>
      <c r="L443" s="159"/>
      <c r="M443" s="159"/>
      <c r="O443" s="159"/>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c r="AT443" s="159"/>
      <c r="AU443" s="159"/>
      <c r="AV443" s="159"/>
      <c r="AW443" s="159"/>
      <c r="AX443" s="159"/>
      <c r="AY443" s="159"/>
      <c r="AZ443" s="159"/>
      <c r="BA443" s="159"/>
    </row>
    <row r="444" spans="2:53" ht="17.399999999999999" customHeight="1">
      <c r="B444" s="159"/>
      <c r="C444" s="159"/>
      <c r="D444" s="159"/>
      <c r="E444" s="159"/>
      <c r="F444" s="159"/>
      <c r="G444" s="159"/>
      <c r="H444" s="159"/>
      <c r="I444" s="159"/>
      <c r="J444" s="224"/>
      <c r="K444" s="159"/>
      <c r="L444" s="159"/>
      <c r="M444" s="159"/>
      <c r="O444" s="159"/>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c r="AT444" s="159"/>
      <c r="AU444" s="159"/>
      <c r="AV444" s="159"/>
      <c r="AW444" s="159"/>
      <c r="AX444" s="159"/>
      <c r="AY444" s="159"/>
      <c r="AZ444" s="159"/>
      <c r="BA444" s="159"/>
    </row>
    <row r="445" spans="2:53" ht="17.399999999999999" customHeight="1">
      <c r="B445" s="159"/>
      <c r="C445" s="159"/>
      <c r="D445" s="159"/>
      <c r="E445" s="159"/>
      <c r="F445" s="159"/>
      <c r="G445" s="159"/>
      <c r="H445" s="159"/>
      <c r="I445" s="159"/>
      <c r="J445" s="224"/>
      <c r="K445" s="159"/>
      <c r="L445" s="159"/>
      <c r="M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c r="AT445" s="159"/>
      <c r="AU445" s="159"/>
      <c r="AV445" s="159"/>
      <c r="AW445" s="159"/>
      <c r="AX445" s="159"/>
      <c r="AY445" s="159"/>
      <c r="AZ445" s="159"/>
      <c r="BA445" s="159"/>
    </row>
    <row r="446" spans="2:53" ht="17.399999999999999" customHeight="1">
      <c r="B446" s="159"/>
      <c r="C446" s="159"/>
      <c r="D446" s="159"/>
      <c r="E446" s="159"/>
      <c r="F446" s="159"/>
      <c r="G446" s="159"/>
      <c r="H446" s="159"/>
      <c r="I446" s="159"/>
      <c r="J446" s="224"/>
      <c r="K446" s="159"/>
      <c r="L446" s="159"/>
      <c r="M446" s="159"/>
      <c r="O446" s="159"/>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c r="AT446" s="159"/>
      <c r="AU446" s="159"/>
      <c r="AV446" s="159"/>
      <c r="AW446" s="159"/>
      <c r="AX446" s="159"/>
      <c r="AY446" s="159"/>
      <c r="AZ446" s="159"/>
      <c r="BA446" s="159"/>
    </row>
    <row r="447" spans="2:53" ht="17.399999999999999" customHeight="1">
      <c r="B447" s="159"/>
      <c r="C447" s="159"/>
      <c r="D447" s="159"/>
      <c r="E447" s="159"/>
      <c r="F447" s="159"/>
      <c r="G447" s="159"/>
      <c r="H447" s="159"/>
      <c r="I447" s="159"/>
      <c r="J447" s="224"/>
      <c r="K447" s="159"/>
      <c r="L447" s="159"/>
      <c r="M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c r="AT447" s="159"/>
      <c r="AU447" s="159"/>
      <c r="AV447" s="159"/>
      <c r="AW447" s="159"/>
      <c r="AX447" s="159"/>
      <c r="AY447" s="159"/>
      <c r="AZ447" s="159"/>
      <c r="BA447" s="159"/>
    </row>
    <row r="448" spans="2:53" ht="17.399999999999999" customHeight="1">
      <c r="B448" s="159"/>
      <c r="C448" s="159"/>
      <c r="D448" s="159"/>
      <c r="E448" s="159"/>
      <c r="F448" s="159"/>
      <c r="G448" s="159"/>
      <c r="H448" s="159"/>
      <c r="I448" s="159"/>
      <c r="J448" s="224"/>
      <c r="K448" s="159"/>
      <c r="L448" s="159"/>
      <c r="M448" s="159"/>
      <c r="O448" s="159"/>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c r="AT448" s="159"/>
      <c r="AU448" s="159"/>
      <c r="AV448" s="159"/>
      <c r="AW448" s="159"/>
      <c r="AX448" s="159"/>
      <c r="AY448" s="159"/>
      <c r="AZ448" s="159"/>
      <c r="BA448" s="159"/>
    </row>
    <row r="449" spans="2:53" ht="17.399999999999999" customHeight="1">
      <c r="B449" s="159"/>
      <c r="C449" s="159"/>
      <c r="D449" s="159"/>
      <c r="E449" s="159"/>
      <c r="F449" s="159"/>
      <c r="G449" s="159"/>
      <c r="H449" s="159"/>
      <c r="I449" s="159"/>
      <c r="J449" s="224"/>
      <c r="K449" s="159"/>
      <c r="L449" s="159"/>
      <c r="M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c r="AT449" s="159"/>
      <c r="AU449" s="159"/>
      <c r="AV449" s="159"/>
      <c r="AW449" s="159"/>
      <c r="AX449" s="159"/>
      <c r="AY449" s="159"/>
      <c r="AZ449" s="159"/>
      <c r="BA449" s="159"/>
    </row>
    <row r="450" spans="2:53" ht="17.399999999999999" customHeight="1">
      <c r="B450" s="159"/>
      <c r="C450" s="159"/>
      <c r="D450" s="159"/>
      <c r="E450" s="159"/>
      <c r="F450" s="159"/>
      <c r="G450" s="159"/>
      <c r="H450" s="159"/>
      <c r="I450" s="159"/>
      <c r="J450" s="224"/>
      <c r="K450" s="159"/>
      <c r="L450" s="159"/>
      <c r="M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c r="AT450" s="159"/>
      <c r="AU450" s="159"/>
      <c r="AV450" s="159"/>
      <c r="AW450" s="159"/>
      <c r="AX450" s="159"/>
      <c r="AY450" s="159"/>
      <c r="AZ450" s="159"/>
      <c r="BA450" s="159"/>
    </row>
    <row r="451" spans="2:53" ht="17.399999999999999" customHeight="1">
      <c r="B451" s="159"/>
      <c r="C451" s="159"/>
      <c r="D451" s="159"/>
      <c r="E451" s="159"/>
      <c r="F451" s="159"/>
      <c r="G451" s="159"/>
      <c r="H451" s="159"/>
      <c r="I451" s="159"/>
      <c r="J451" s="224"/>
      <c r="K451" s="159"/>
      <c r="L451" s="159"/>
      <c r="M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c r="AT451" s="159"/>
      <c r="AU451" s="159"/>
      <c r="AV451" s="159"/>
      <c r="AW451" s="159"/>
      <c r="AX451" s="159"/>
      <c r="AY451" s="159"/>
      <c r="AZ451" s="159"/>
      <c r="BA451" s="159"/>
    </row>
    <row r="452" spans="2:53" ht="17.399999999999999" customHeight="1">
      <c r="B452" s="159"/>
      <c r="C452" s="159"/>
      <c r="D452" s="159"/>
      <c r="E452" s="159"/>
      <c r="F452" s="159"/>
      <c r="G452" s="159"/>
      <c r="H452" s="159"/>
      <c r="I452" s="159"/>
      <c r="J452" s="224"/>
      <c r="K452" s="159"/>
      <c r="L452" s="159"/>
      <c r="M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c r="AT452" s="159"/>
      <c r="AU452" s="159"/>
      <c r="AV452" s="159"/>
      <c r="AW452" s="159"/>
      <c r="AX452" s="159"/>
      <c r="AY452" s="159"/>
      <c r="AZ452" s="159"/>
      <c r="BA452" s="159"/>
    </row>
    <row r="453" spans="2:53" ht="17.399999999999999" customHeight="1">
      <c r="B453" s="159"/>
      <c r="C453" s="159"/>
      <c r="D453" s="159"/>
      <c r="E453" s="159"/>
      <c r="F453" s="159"/>
      <c r="G453" s="159"/>
      <c r="H453" s="159"/>
      <c r="I453" s="159"/>
      <c r="J453" s="224"/>
      <c r="K453" s="159"/>
      <c r="L453" s="159"/>
      <c r="M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c r="AT453" s="159"/>
      <c r="AU453" s="159"/>
      <c r="AV453" s="159"/>
      <c r="AW453" s="159"/>
      <c r="AX453" s="159"/>
      <c r="AY453" s="159"/>
      <c r="AZ453" s="159"/>
      <c r="BA453" s="159"/>
    </row>
    <row r="454" spans="2:53" ht="17.399999999999999" customHeight="1">
      <c r="B454" s="159"/>
      <c r="C454" s="159"/>
      <c r="D454" s="159"/>
      <c r="E454" s="159"/>
      <c r="F454" s="159"/>
      <c r="G454" s="159"/>
      <c r="H454" s="159"/>
      <c r="I454" s="159"/>
      <c r="J454" s="224"/>
      <c r="K454" s="159"/>
      <c r="L454" s="159"/>
      <c r="M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c r="AT454" s="159"/>
      <c r="AU454" s="159"/>
      <c r="AV454" s="159"/>
      <c r="AW454" s="159"/>
      <c r="AX454" s="159"/>
      <c r="AY454" s="159"/>
      <c r="AZ454" s="159"/>
      <c r="BA454" s="159"/>
    </row>
    <row r="455" spans="2:53" ht="17.399999999999999" customHeight="1">
      <c r="B455" s="159"/>
      <c r="C455" s="159"/>
      <c r="D455" s="159"/>
      <c r="E455" s="159"/>
      <c r="F455" s="159"/>
      <c r="G455" s="159"/>
      <c r="H455" s="159"/>
      <c r="I455" s="159"/>
      <c r="J455" s="224"/>
      <c r="K455" s="159"/>
      <c r="L455" s="159"/>
      <c r="M455" s="159"/>
      <c r="O455" s="159"/>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c r="AR455" s="159"/>
      <c r="AS455" s="159"/>
      <c r="AT455" s="159"/>
      <c r="AU455" s="159"/>
      <c r="AV455" s="159"/>
      <c r="AW455" s="159"/>
      <c r="AX455" s="159"/>
      <c r="AY455" s="159"/>
      <c r="AZ455" s="159"/>
      <c r="BA455" s="159"/>
    </row>
    <row r="456" spans="2:53" ht="17.399999999999999" customHeight="1">
      <c r="B456" s="159"/>
      <c r="C456" s="159"/>
      <c r="D456" s="159"/>
      <c r="E456" s="159"/>
      <c r="F456" s="159"/>
      <c r="G456" s="159"/>
      <c r="H456" s="159"/>
      <c r="I456" s="159"/>
      <c r="J456" s="224"/>
      <c r="K456" s="159"/>
      <c r="L456" s="159"/>
      <c r="M456" s="159"/>
      <c r="O456" s="159"/>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c r="AT456" s="159"/>
      <c r="AU456" s="159"/>
      <c r="AV456" s="159"/>
      <c r="AW456" s="159"/>
      <c r="AX456" s="159"/>
      <c r="AY456" s="159"/>
      <c r="AZ456" s="159"/>
      <c r="BA456" s="159"/>
    </row>
    <row r="457" spans="2:53" ht="17.399999999999999" customHeight="1">
      <c r="B457" s="159"/>
      <c r="C457" s="159"/>
      <c r="D457" s="159"/>
      <c r="E457" s="159"/>
      <c r="F457" s="159"/>
      <c r="G457" s="159"/>
      <c r="H457" s="159"/>
      <c r="I457" s="159"/>
      <c r="J457" s="224"/>
      <c r="K457" s="159"/>
      <c r="L457" s="159"/>
      <c r="M457" s="159"/>
      <c r="O457" s="159"/>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c r="AT457" s="159"/>
      <c r="AU457" s="159"/>
      <c r="AV457" s="159"/>
      <c r="AW457" s="159"/>
      <c r="AX457" s="159"/>
      <c r="AY457" s="159"/>
      <c r="AZ457" s="159"/>
      <c r="BA457" s="159"/>
    </row>
    <row r="458" spans="2:53" ht="17.399999999999999" customHeight="1">
      <c r="B458" s="159"/>
      <c r="C458" s="159"/>
      <c r="D458" s="159"/>
      <c r="E458" s="159"/>
      <c r="F458" s="159"/>
      <c r="G458" s="159"/>
      <c r="H458" s="159"/>
      <c r="I458" s="159"/>
      <c r="J458" s="224"/>
      <c r="K458" s="159"/>
      <c r="L458" s="159"/>
      <c r="M458" s="159"/>
      <c r="O458" s="159"/>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c r="AT458" s="159"/>
      <c r="AU458" s="159"/>
      <c r="AV458" s="159"/>
      <c r="AW458" s="159"/>
      <c r="AX458" s="159"/>
      <c r="AY458" s="159"/>
      <c r="AZ458" s="159"/>
      <c r="BA458" s="159"/>
    </row>
    <row r="459" spans="2:53" ht="17.399999999999999" customHeight="1">
      <c r="B459" s="159"/>
      <c r="C459" s="159"/>
      <c r="D459" s="159"/>
      <c r="E459" s="159"/>
      <c r="F459" s="159"/>
      <c r="G459" s="159"/>
      <c r="H459" s="159"/>
      <c r="I459" s="159"/>
      <c r="J459" s="224"/>
      <c r="K459" s="159"/>
      <c r="L459" s="159"/>
      <c r="M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c r="AT459" s="159"/>
      <c r="AU459" s="159"/>
      <c r="AV459" s="159"/>
      <c r="AW459" s="159"/>
      <c r="AX459" s="159"/>
      <c r="AY459" s="159"/>
      <c r="AZ459" s="159"/>
      <c r="BA459" s="159"/>
    </row>
    <row r="460" spans="2:53" ht="17.399999999999999" customHeight="1">
      <c r="B460" s="159"/>
      <c r="C460" s="159"/>
      <c r="D460" s="159"/>
      <c r="E460" s="159"/>
      <c r="F460" s="159"/>
      <c r="G460" s="159"/>
      <c r="H460" s="159"/>
      <c r="I460" s="159"/>
      <c r="J460" s="224"/>
      <c r="K460" s="159"/>
      <c r="L460" s="159"/>
      <c r="M460" s="159"/>
      <c r="O460" s="159"/>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c r="AT460" s="159"/>
      <c r="AU460" s="159"/>
      <c r="AV460" s="159"/>
      <c r="AW460" s="159"/>
      <c r="AX460" s="159"/>
      <c r="AY460" s="159"/>
      <c r="AZ460" s="159"/>
      <c r="BA460" s="159"/>
    </row>
    <row r="461" spans="2:53" ht="17.399999999999999" customHeight="1">
      <c r="B461" s="159"/>
      <c r="C461" s="159"/>
      <c r="D461" s="159"/>
      <c r="E461" s="159"/>
      <c r="F461" s="159"/>
      <c r="G461" s="159"/>
      <c r="H461" s="159"/>
      <c r="I461" s="159"/>
      <c r="J461" s="224"/>
      <c r="K461" s="159"/>
      <c r="L461" s="159"/>
      <c r="M461" s="159"/>
      <c r="O461" s="159"/>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c r="AT461" s="159"/>
      <c r="AU461" s="159"/>
      <c r="AV461" s="159"/>
      <c r="AW461" s="159"/>
      <c r="AX461" s="159"/>
      <c r="AY461" s="159"/>
      <c r="AZ461" s="159"/>
      <c r="BA461" s="159"/>
    </row>
    <row r="462" spans="2:53" ht="17.399999999999999" customHeight="1">
      <c r="B462" s="159"/>
      <c r="C462" s="159"/>
      <c r="D462" s="159"/>
      <c r="E462" s="159"/>
      <c r="F462" s="159"/>
      <c r="G462" s="159"/>
      <c r="H462" s="159"/>
      <c r="I462" s="159"/>
      <c r="J462" s="224"/>
      <c r="K462" s="159"/>
      <c r="L462" s="159"/>
      <c r="M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c r="AT462" s="159"/>
      <c r="AU462" s="159"/>
      <c r="AV462" s="159"/>
      <c r="AW462" s="159"/>
      <c r="AX462" s="159"/>
      <c r="AY462" s="159"/>
      <c r="AZ462" s="159"/>
      <c r="BA462" s="159"/>
    </row>
    <row r="463" spans="2:53" ht="17.399999999999999" customHeight="1">
      <c r="B463" s="159"/>
      <c r="C463" s="159"/>
      <c r="D463" s="159"/>
      <c r="E463" s="159"/>
      <c r="F463" s="159"/>
      <c r="G463" s="159"/>
      <c r="H463" s="159"/>
      <c r="I463" s="159"/>
      <c r="J463" s="224"/>
      <c r="K463" s="159"/>
      <c r="L463" s="159"/>
      <c r="M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c r="AT463" s="159"/>
      <c r="AU463" s="159"/>
      <c r="AV463" s="159"/>
      <c r="AW463" s="159"/>
      <c r="AX463" s="159"/>
      <c r="AY463" s="159"/>
      <c r="AZ463" s="159"/>
      <c r="BA463" s="159"/>
    </row>
    <row r="464" spans="2:53" ht="17.399999999999999" customHeight="1">
      <c r="B464" s="159"/>
      <c r="C464" s="159"/>
      <c r="D464" s="159"/>
      <c r="E464" s="159"/>
      <c r="F464" s="159"/>
      <c r="G464" s="159"/>
      <c r="H464" s="159"/>
      <c r="I464" s="159"/>
      <c r="J464" s="224"/>
      <c r="K464" s="159"/>
      <c r="L464" s="159"/>
      <c r="M464" s="159"/>
      <c r="O464" s="159"/>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c r="AT464" s="159"/>
      <c r="AU464" s="159"/>
      <c r="AV464" s="159"/>
      <c r="AW464" s="159"/>
      <c r="AX464" s="159"/>
      <c r="AY464" s="159"/>
      <c r="AZ464" s="159"/>
      <c r="BA464" s="159"/>
    </row>
    <row r="465" spans="2:53" ht="17.399999999999999" customHeight="1">
      <c r="B465" s="159"/>
      <c r="C465" s="159"/>
      <c r="D465" s="159"/>
      <c r="E465" s="159"/>
      <c r="F465" s="159"/>
      <c r="G465" s="159"/>
      <c r="H465" s="159"/>
      <c r="I465" s="159"/>
      <c r="J465" s="224"/>
      <c r="K465" s="159"/>
      <c r="L465" s="159"/>
      <c r="M465" s="159"/>
      <c r="O465" s="159"/>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c r="AT465" s="159"/>
      <c r="AU465" s="159"/>
      <c r="AV465" s="159"/>
      <c r="AW465" s="159"/>
      <c r="AX465" s="159"/>
      <c r="AY465" s="159"/>
      <c r="AZ465" s="159"/>
      <c r="BA465" s="159"/>
    </row>
    <row r="466" spans="2:53" ht="17.399999999999999" customHeight="1">
      <c r="B466" s="159"/>
      <c r="C466" s="159"/>
      <c r="D466" s="159"/>
      <c r="E466" s="159"/>
      <c r="F466" s="159"/>
      <c r="G466" s="159"/>
      <c r="H466" s="159"/>
      <c r="I466" s="159"/>
      <c r="J466" s="224"/>
      <c r="K466" s="159"/>
      <c r="L466" s="159"/>
      <c r="M466" s="159"/>
      <c r="O466" s="159"/>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c r="AT466" s="159"/>
      <c r="AU466" s="159"/>
      <c r="AV466" s="159"/>
      <c r="AW466" s="159"/>
      <c r="AX466" s="159"/>
      <c r="AY466" s="159"/>
      <c r="AZ466" s="159"/>
      <c r="BA466" s="159"/>
    </row>
    <row r="467" spans="2:53" ht="17.399999999999999" customHeight="1">
      <c r="B467" s="159"/>
      <c r="C467" s="159"/>
      <c r="D467" s="159"/>
      <c r="E467" s="159"/>
      <c r="F467" s="159"/>
      <c r="G467" s="159"/>
      <c r="H467" s="159"/>
      <c r="I467" s="159"/>
      <c r="J467" s="224"/>
      <c r="K467" s="159"/>
      <c r="L467" s="159"/>
      <c r="M467" s="159"/>
      <c r="O467" s="159"/>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c r="AT467" s="159"/>
      <c r="AU467" s="159"/>
      <c r="AV467" s="159"/>
      <c r="AW467" s="159"/>
      <c r="AX467" s="159"/>
      <c r="AY467" s="159"/>
      <c r="AZ467" s="159"/>
      <c r="BA467" s="159"/>
    </row>
    <row r="468" spans="2:53" ht="17.399999999999999" customHeight="1">
      <c r="B468" s="159"/>
      <c r="C468" s="159"/>
      <c r="D468" s="159"/>
      <c r="E468" s="159"/>
      <c r="F468" s="159"/>
      <c r="G468" s="159"/>
      <c r="H468" s="159"/>
      <c r="I468" s="159"/>
      <c r="J468" s="224"/>
      <c r="K468" s="159"/>
      <c r="L468" s="159"/>
      <c r="M468" s="159"/>
      <c r="O468" s="159"/>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c r="AT468" s="159"/>
      <c r="AU468" s="159"/>
      <c r="AV468" s="159"/>
      <c r="AW468" s="159"/>
      <c r="AX468" s="159"/>
      <c r="AY468" s="159"/>
      <c r="AZ468" s="159"/>
      <c r="BA468" s="159"/>
    </row>
    <row r="469" spans="2:53" ht="17.399999999999999" customHeight="1">
      <c r="B469" s="159"/>
      <c r="C469" s="159"/>
      <c r="D469" s="159"/>
      <c r="E469" s="159"/>
      <c r="F469" s="159"/>
      <c r="G469" s="159"/>
      <c r="H469" s="159"/>
      <c r="I469" s="159"/>
      <c r="J469" s="224"/>
      <c r="K469" s="159"/>
      <c r="L469" s="159"/>
      <c r="M469" s="159"/>
      <c r="O469" s="159"/>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c r="AT469" s="159"/>
      <c r="AU469" s="159"/>
      <c r="AV469" s="159"/>
      <c r="AW469" s="159"/>
      <c r="AX469" s="159"/>
      <c r="AY469" s="159"/>
      <c r="AZ469" s="159"/>
      <c r="BA469" s="159"/>
    </row>
    <row r="470" spans="2:53" ht="17.399999999999999" customHeight="1">
      <c r="B470" s="159"/>
      <c r="C470" s="159"/>
      <c r="D470" s="159"/>
      <c r="E470" s="159"/>
      <c r="F470" s="159"/>
      <c r="G470" s="159"/>
      <c r="H470" s="159"/>
      <c r="I470" s="159"/>
      <c r="J470" s="224"/>
      <c r="K470" s="159"/>
      <c r="L470" s="159"/>
      <c r="M470" s="159"/>
      <c r="O470" s="159"/>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c r="AT470" s="159"/>
      <c r="AU470" s="159"/>
      <c r="AV470" s="159"/>
      <c r="AW470" s="159"/>
      <c r="AX470" s="159"/>
      <c r="AY470" s="159"/>
      <c r="AZ470" s="159"/>
      <c r="BA470" s="159"/>
    </row>
    <row r="471" spans="2:53" ht="17.399999999999999" customHeight="1">
      <c r="B471" s="159"/>
      <c r="C471" s="159"/>
      <c r="D471" s="159"/>
      <c r="E471" s="159"/>
      <c r="F471" s="159"/>
      <c r="G471" s="159"/>
      <c r="H471" s="159"/>
      <c r="I471" s="159"/>
      <c r="J471" s="224"/>
      <c r="K471" s="159"/>
      <c r="L471" s="159"/>
      <c r="M471" s="159"/>
      <c r="O471" s="159"/>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c r="AT471" s="159"/>
      <c r="AU471" s="159"/>
      <c r="AV471" s="159"/>
      <c r="AW471" s="159"/>
      <c r="AX471" s="159"/>
      <c r="AY471" s="159"/>
      <c r="AZ471" s="159"/>
      <c r="BA471" s="159"/>
    </row>
    <row r="472" spans="2:53" ht="17.399999999999999" customHeight="1">
      <c r="B472" s="159"/>
      <c r="C472" s="159"/>
      <c r="D472" s="159"/>
      <c r="E472" s="159"/>
      <c r="F472" s="159"/>
      <c r="G472" s="159"/>
      <c r="H472" s="159"/>
      <c r="I472" s="159"/>
      <c r="J472" s="224"/>
      <c r="K472" s="159"/>
      <c r="L472" s="159"/>
      <c r="M472" s="159"/>
      <c r="O472" s="159"/>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c r="AT472" s="159"/>
      <c r="AU472" s="159"/>
      <c r="AV472" s="159"/>
      <c r="AW472" s="159"/>
      <c r="AX472" s="159"/>
      <c r="AY472" s="159"/>
      <c r="AZ472" s="159"/>
      <c r="BA472" s="159"/>
    </row>
    <row r="473" spans="2:53" ht="17.399999999999999" customHeight="1">
      <c r="B473" s="159"/>
      <c r="C473" s="159"/>
      <c r="D473" s="159"/>
      <c r="E473" s="159"/>
      <c r="F473" s="159"/>
      <c r="G473" s="159"/>
      <c r="H473" s="159"/>
      <c r="I473" s="159"/>
      <c r="J473" s="224"/>
      <c r="K473" s="159"/>
      <c r="L473" s="159"/>
      <c r="M473" s="159"/>
      <c r="O473" s="159"/>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c r="AT473" s="159"/>
      <c r="AU473" s="159"/>
      <c r="AV473" s="159"/>
      <c r="AW473" s="159"/>
      <c r="AX473" s="159"/>
      <c r="AY473" s="159"/>
      <c r="AZ473" s="159"/>
      <c r="BA473" s="159"/>
    </row>
    <row r="474" spans="2:53" ht="17.399999999999999" customHeight="1">
      <c r="B474" s="159"/>
      <c r="C474" s="159"/>
      <c r="D474" s="159"/>
      <c r="E474" s="159"/>
      <c r="F474" s="159"/>
      <c r="G474" s="159"/>
      <c r="H474" s="159"/>
      <c r="I474" s="159"/>
      <c r="J474" s="224"/>
      <c r="K474" s="159"/>
      <c r="L474" s="159"/>
      <c r="M474" s="159"/>
      <c r="O474" s="159"/>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c r="AT474" s="159"/>
      <c r="AU474" s="159"/>
      <c r="AV474" s="159"/>
      <c r="AW474" s="159"/>
      <c r="AX474" s="159"/>
      <c r="AY474" s="159"/>
      <c r="AZ474" s="159"/>
      <c r="BA474" s="159"/>
    </row>
    <row r="475" spans="2:53" ht="17.399999999999999" customHeight="1">
      <c r="B475" s="159"/>
      <c r="C475" s="159"/>
      <c r="D475" s="159"/>
      <c r="E475" s="159"/>
      <c r="F475" s="159"/>
      <c r="G475" s="159"/>
      <c r="H475" s="159"/>
      <c r="I475" s="159"/>
      <c r="J475" s="224"/>
      <c r="K475" s="159"/>
      <c r="L475" s="159"/>
      <c r="M475" s="159"/>
      <c r="O475" s="159"/>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c r="AT475" s="159"/>
      <c r="AU475" s="159"/>
      <c r="AV475" s="159"/>
      <c r="AW475" s="159"/>
      <c r="AX475" s="159"/>
      <c r="AY475" s="159"/>
      <c r="AZ475" s="159"/>
      <c r="BA475" s="159"/>
    </row>
    <row r="476" spans="2:53" ht="17.399999999999999" customHeight="1">
      <c r="B476" s="159"/>
      <c r="C476" s="159"/>
      <c r="D476" s="159"/>
      <c r="E476" s="159"/>
      <c r="F476" s="159"/>
      <c r="G476" s="159"/>
      <c r="H476" s="159"/>
      <c r="I476" s="159"/>
      <c r="J476" s="224"/>
      <c r="K476" s="159"/>
      <c r="L476" s="159"/>
      <c r="M476" s="159"/>
      <c r="O476" s="159"/>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c r="AT476" s="159"/>
      <c r="AU476" s="159"/>
      <c r="AV476" s="159"/>
      <c r="AW476" s="159"/>
      <c r="AX476" s="159"/>
      <c r="AY476" s="159"/>
      <c r="AZ476" s="159"/>
      <c r="BA476" s="159"/>
    </row>
    <row r="477" spans="2:53" ht="17.399999999999999" customHeight="1">
      <c r="B477" s="159"/>
      <c r="C477" s="159"/>
      <c r="D477" s="159"/>
      <c r="E477" s="159"/>
      <c r="F477" s="159"/>
      <c r="G477" s="159"/>
      <c r="H477" s="159"/>
      <c r="I477" s="159"/>
      <c r="J477" s="224"/>
      <c r="K477" s="159"/>
      <c r="L477" s="159"/>
      <c r="M477" s="159"/>
      <c r="O477" s="159"/>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c r="AT477" s="159"/>
      <c r="AU477" s="159"/>
      <c r="AV477" s="159"/>
      <c r="AW477" s="159"/>
      <c r="AX477" s="159"/>
      <c r="AY477" s="159"/>
      <c r="AZ477" s="159"/>
      <c r="BA477" s="159"/>
    </row>
    <row r="478" spans="2:53" ht="17.399999999999999" customHeight="1">
      <c r="B478" s="159"/>
      <c r="C478" s="159"/>
      <c r="D478" s="159"/>
      <c r="E478" s="159"/>
      <c r="F478" s="159"/>
      <c r="G478" s="159"/>
      <c r="H478" s="159"/>
      <c r="I478" s="159"/>
      <c r="J478" s="224"/>
      <c r="K478" s="159"/>
      <c r="L478" s="159"/>
      <c r="M478" s="159"/>
      <c r="O478" s="159"/>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c r="AT478" s="159"/>
      <c r="AU478" s="159"/>
      <c r="AV478" s="159"/>
      <c r="AW478" s="159"/>
      <c r="AX478" s="159"/>
      <c r="AY478" s="159"/>
      <c r="AZ478" s="159"/>
      <c r="BA478" s="159"/>
    </row>
    <row r="479" spans="2:53" ht="17.399999999999999" customHeight="1">
      <c r="B479" s="159"/>
      <c r="C479" s="159"/>
      <c r="D479" s="159"/>
      <c r="E479" s="159"/>
      <c r="F479" s="159"/>
      <c r="G479" s="159"/>
      <c r="H479" s="159"/>
      <c r="I479" s="159"/>
      <c r="J479" s="224"/>
      <c r="K479" s="159"/>
      <c r="L479" s="159"/>
      <c r="M479" s="159"/>
      <c r="O479" s="159"/>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c r="AT479" s="159"/>
      <c r="AU479" s="159"/>
      <c r="AV479" s="159"/>
      <c r="AW479" s="159"/>
      <c r="AX479" s="159"/>
      <c r="AY479" s="159"/>
      <c r="AZ479" s="159"/>
      <c r="BA479" s="159"/>
    </row>
    <row r="480" spans="2:53" ht="17.399999999999999" customHeight="1">
      <c r="B480" s="159"/>
      <c r="C480" s="159"/>
      <c r="D480" s="159"/>
      <c r="E480" s="159"/>
      <c r="F480" s="159"/>
      <c r="G480" s="159"/>
      <c r="H480" s="159"/>
      <c r="I480" s="159"/>
      <c r="J480" s="224"/>
      <c r="K480" s="159"/>
      <c r="L480" s="159"/>
      <c r="M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c r="AT480" s="159"/>
      <c r="AU480" s="159"/>
      <c r="AV480" s="159"/>
      <c r="AW480" s="159"/>
      <c r="AX480" s="159"/>
      <c r="AY480" s="159"/>
      <c r="AZ480" s="159"/>
      <c r="BA480" s="159"/>
    </row>
    <row r="481" spans="2:53" ht="17.399999999999999" customHeight="1">
      <c r="B481" s="159"/>
      <c r="C481" s="159"/>
      <c r="D481" s="159"/>
      <c r="E481" s="159"/>
      <c r="F481" s="159"/>
      <c r="G481" s="159"/>
      <c r="H481" s="159"/>
      <c r="I481" s="159"/>
      <c r="J481" s="224"/>
      <c r="K481" s="159"/>
      <c r="L481" s="159"/>
      <c r="M481" s="159"/>
      <c r="O481" s="159"/>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c r="AR481" s="159"/>
      <c r="AS481" s="159"/>
      <c r="AT481" s="159"/>
      <c r="AU481" s="159"/>
      <c r="AV481" s="159"/>
      <c r="AW481" s="159"/>
      <c r="AX481" s="159"/>
      <c r="AY481" s="159"/>
      <c r="AZ481" s="159"/>
      <c r="BA481" s="159"/>
    </row>
    <row r="482" spans="2:53" ht="17.399999999999999" customHeight="1">
      <c r="B482" s="159"/>
      <c r="C482" s="159"/>
      <c r="D482" s="159"/>
      <c r="E482" s="159"/>
      <c r="F482" s="159"/>
      <c r="G482" s="159"/>
      <c r="H482" s="159"/>
      <c r="I482" s="159"/>
      <c r="J482" s="224"/>
      <c r="K482" s="159"/>
      <c r="L482" s="159"/>
      <c r="M482" s="159"/>
      <c r="O482" s="159"/>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c r="AT482" s="159"/>
      <c r="AU482" s="159"/>
      <c r="AV482" s="159"/>
      <c r="AW482" s="159"/>
      <c r="AX482" s="159"/>
      <c r="AY482" s="159"/>
      <c r="AZ482" s="159"/>
      <c r="BA482" s="159"/>
    </row>
    <row r="483" spans="2:53" ht="17.399999999999999" customHeight="1">
      <c r="B483" s="159"/>
      <c r="C483" s="159"/>
      <c r="D483" s="159"/>
      <c r="E483" s="159"/>
      <c r="F483" s="159"/>
      <c r="G483" s="159"/>
      <c r="H483" s="159"/>
      <c r="I483" s="159"/>
      <c r="J483" s="224"/>
      <c r="K483" s="159"/>
      <c r="L483" s="159"/>
      <c r="M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c r="AT483" s="159"/>
      <c r="AU483" s="159"/>
      <c r="AV483" s="159"/>
      <c r="AW483" s="159"/>
      <c r="AX483" s="159"/>
      <c r="AY483" s="159"/>
      <c r="AZ483" s="159"/>
      <c r="BA483" s="159"/>
    </row>
    <row r="484" spans="2:53" ht="17.399999999999999" customHeight="1">
      <c r="B484" s="159"/>
      <c r="C484" s="159"/>
      <c r="D484" s="159"/>
      <c r="E484" s="159"/>
      <c r="F484" s="159"/>
      <c r="G484" s="159"/>
      <c r="H484" s="159"/>
      <c r="I484" s="159"/>
      <c r="J484" s="224"/>
      <c r="K484" s="159"/>
      <c r="L484" s="159"/>
      <c r="M484" s="159"/>
      <c r="O484" s="159"/>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c r="AT484" s="159"/>
      <c r="AU484" s="159"/>
      <c r="AV484" s="159"/>
      <c r="AW484" s="159"/>
      <c r="AX484" s="159"/>
      <c r="AY484" s="159"/>
      <c r="AZ484" s="159"/>
      <c r="BA484" s="159"/>
    </row>
    <row r="485" spans="2:53" ht="17.399999999999999" customHeight="1">
      <c r="B485" s="159"/>
      <c r="C485" s="159"/>
      <c r="D485" s="159"/>
      <c r="E485" s="159"/>
      <c r="F485" s="159"/>
      <c r="G485" s="159"/>
      <c r="H485" s="159"/>
      <c r="I485" s="159"/>
      <c r="J485" s="224"/>
      <c r="K485" s="159"/>
      <c r="L485" s="159"/>
      <c r="M485" s="159"/>
      <c r="O485" s="159"/>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c r="AT485" s="159"/>
      <c r="AU485" s="159"/>
      <c r="AV485" s="159"/>
      <c r="AW485" s="159"/>
      <c r="AX485" s="159"/>
      <c r="AY485" s="159"/>
      <c r="AZ485" s="159"/>
      <c r="BA485" s="159"/>
    </row>
    <row r="486" spans="2:53" ht="17.399999999999999" customHeight="1">
      <c r="B486" s="159"/>
      <c r="C486" s="159"/>
      <c r="D486" s="159"/>
      <c r="E486" s="159"/>
      <c r="F486" s="159"/>
      <c r="G486" s="159"/>
      <c r="H486" s="159"/>
      <c r="I486" s="159"/>
      <c r="J486" s="224"/>
      <c r="K486" s="159"/>
      <c r="L486" s="159"/>
      <c r="M486" s="159"/>
      <c r="O486" s="159"/>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c r="AT486" s="159"/>
      <c r="AU486" s="159"/>
      <c r="AV486" s="159"/>
      <c r="AW486" s="159"/>
      <c r="AX486" s="159"/>
      <c r="AY486" s="159"/>
      <c r="AZ486" s="159"/>
      <c r="BA486" s="159"/>
    </row>
    <row r="487" spans="2:53" ht="17.399999999999999" customHeight="1">
      <c r="B487" s="159"/>
      <c r="C487" s="159"/>
      <c r="D487" s="159"/>
      <c r="E487" s="159"/>
      <c r="F487" s="159"/>
      <c r="G487" s="159"/>
      <c r="H487" s="159"/>
      <c r="I487" s="159"/>
      <c r="J487" s="224"/>
      <c r="K487" s="159"/>
      <c r="L487" s="159"/>
      <c r="M487" s="159"/>
      <c r="O487" s="159"/>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c r="AT487" s="159"/>
      <c r="AU487" s="159"/>
      <c r="AV487" s="159"/>
      <c r="AW487" s="159"/>
      <c r="AX487" s="159"/>
      <c r="AY487" s="159"/>
      <c r="AZ487" s="159"/>
      <c r="BA487" s="159"/>
    </row>
    <row r="488" spans="2:53" ht="17.399999999999999" customHeight="1">
      <c r="B488" s="159"/>
      <c r="C488" s="159"/>
      <c r="D488" s="159"/>
      <c r="E488" s="159"/>
      <c r="F488" s="159"/>
      <c r="G488" s="159"/>
      <c r="H488" s="159"/>
      <c r="I488" s="159"/>
      <c r="J488" s="224"/>
      <c r="K488" s="159"/>
      <c r="L488" s="159"/>
      <c r="M488" s="159"/>
      <c r="O488" s="159"/>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c r="AT488" s="159"/>
      <c r="AU488" s="159"/>
      <c r="AV488" s="159"/>
      <c r="AW488" s="159"/>
      <c r="AX488" s="159"/>
      <c r="AY488" s="159"/>
      <c r="AZ488" s="159"/>
      <c r="BA488" s="159"/>
    </row>
    <row r="489" spans="2:53" ht="17.399999999999999" customHeight="1">
      <c r="B489" s="159"/>
      <c r="C489" s="159"/>
      <c r="D489" s="159"/>
      <c r="E489" s="159"/>
      <c r="F489" s="159"/>
      <c r="G489" s="159"/>
      <c r="H489" s="159"/>
      <c r="I489" s="159"/>
      <c r="J489" s="224"/>
      <c r="K489" s="159"/>
      <c r="L489" s="159"/>
      <c r="M489" s="159"/>
      <c r="O489" s="159"/>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c r="AT489" s="159"/>
      <c r="AU489" s="159"/>
      <c r="AV489" s="159"/>
      <c r="AW489" s="159"/>
      <c r="AX489" s="159"/>
      <c r="AY489" s="159"/>
      <c r="AZ489" s="159"/>
      <c r="BA489" s="159"/>
    </row>
    <row r="490" spans="2:53" ht="17.399999999999999" customHeight="1">
      <c r="B490" s="159"/>
      <c r="C490" s="159"/>
      <c r="D490" s="159"/>
      <c r="E490" s="159"/>
      <c r="F490" s="159"/>
      <c r="G490" s="159"/>
      <c r="H490" s="159"/>
      <c r="I490" s="159"/>
      <c r="J490" s="224"/>
      <c r="K490" s="159"/>
      <c r="L490" s="159"/>
      <c r="M490" s="159"/>
      <c r="O490" s="159"/>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c r="AT490" s="159"/>
      <c r="AU490" s="159"/>
      <c r="AV490" s="159"/>
      <c r="AW490" s="159"/>
      <c r="AX490" s="159"/>
      <c r="AY490" s="159"/>
      <c r="AZ490" s="159"/>
      <c r="BA490" s="159"/>
    </row>
    <row r="491" spans="2:53" ht="17.399999999999999" customHeight="1">
      <c r="B491" s="159"/>
      <c r="C491" s="159"/>
      <c r="D491" s="159"/>
      <c r="E491" s="159"/>
      <c r="F491" s="159"/>
      <c r="G491" s="159"/>
      <c r="H491" s="159"/>
      <c r="I491" s="159"/>
      <c r="J491" s="224"/>
      <c r="K491" s="159"/>
      <c r="L491" s="159"/>
      <c r="M491" s="159"/>
      <c r="O491" s="159"/>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c r="AT491" s="159"/>
      <c r="AU491" s="159"/>
      <c r="AV491" s="159"/>
      <c r="AW491" s="159"/>
      <c r="AX491" s="159"/>
      <c r="AY491" s="159"/>
      <c r="AZ491" s="159"/>
      <c r="BA491" s="159"/>
    </row>
    <row r="492" spans="2:53" ht="17.399999999999999" customHeight="1">
      <c r="B492" s="159"/>
      <c r="C492" s="159"/>
      <c r="D492" s="159"/>
      <c r="E492" s="159"/>
      <c r="F492" s="159"/>
      <c r="G492" s="159"/>
      <c r="H492" s="159"/>
      <c r="I492" s="159"/>
      <c r="J492" s="224"/>
      <c r="K492" s="159"/>
      <c r="L492" s="159"/>
      <c r="M492" s="159"/>
      <c r="O492" s="159"/>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c r="AT492" s="159"/>
      <c r="AU492" s="159"/>
      <c r="AV492" s="159"/>
      <c r="AW492" s="159"/>
      <c r="AX492" s="159"/>
      <c r="AY492" s="159"/>
      <c r="AZ492" s="159"/>
      <c r="BA492" s="159"/>
    </row>
    <row r="493" spans="2:53" ht="17.399999999999999" customHeight="1">
      <c r="B493" s="159"/>
      <c r="C493" s="159"/>
      <c r="D493" s="159"/>
      <c r="E493" s="159"/>
      <c r="F493" s="159"/>
      <c r="G493" s="159"/>
      <c r="H493" s="159"/>
      <c r="I493" s="159"/>
      <c r="J493" s="224"/>
      <c r="K493" s="159"/>
      <c r="L493" s="159"/>
      <c r="M493" s="159"/>
      <c r="O493" s="159"/>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c r="AT493" s="159"/>
      <c r="AU493" s="159"/>
      <c r="AV493" s="159"/>
      <c r="AW493" s="159"/>
      <c r="AX493" s="159"/>
      <c r="AY493" s="159"/>
      <c r="AZ493" s="159"/>
      <c r="BA493" s="159"/>
    </row>
    <row r="494" spans="2:53" ht="17.399999999999999" customHeight="1">
      <c r="B494" s="159"/>
      <c r="C494" s="159"/>
      <c r="D494" s="159"/>
      <c r="E494" s="159"/>
      <c r="F494" s="159"/>
      <c r="G494" s="159"/>
      <c r="H494" s="159"/>
      <c r="I494" s="159"/>
      <c r="J494" s="224"/>
      <c r="K494" s="159"/>
      <c r="L494" s="159"/>
      <c r="M494" s="159"/>
      <c r="O494" s="159"/>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c r="AR494" s="159"/>
      <c r="AS494" s="159"/>
      <c r="AT494" s="159"/>
      <c r="AU494" s="159"/>
      <c r="AV494" s="159"/>
      <c r="AW494" s="159"/>
      <c r="AX494" s="159"/>
      <c r="AY494" s="159"/>
      <c r="AZ494" s="159"/>
      <c r="BA494" s="159"/>
    </row>
    <row r="495" spans="2:53" ht="17.399999999999999" customHeight="1">
      <c r="B495" s="159"/>
      <c r="C495" s="159"/>
      <c r="D495" s="159"/>
      <c r="E495" s="159"/>
      <c r="F495" s="159"/>
      <c r="G495" s="159"/>
      <c r="H495" s="159"/>
      <c r="I495" s="159"/>
      <c r="J495" s="224"/>
      <c r="K495" s="159"/>
      <c r="L495" s="159"/>
      <c r="M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c r="AT495" s="159"/>
      <c r="AU495" s="159"/>
      <c r="AV495" s="159"/>
      <c r="AW495" s="159"/>
      <c r="AX495" s="159"/>
      <c r="AY495" s="159"/>
      <c r="AZ495" s="159"/>
      <c r="BA495" s="159"/>
    </row>
    <row r="496" spans="2:53" ht="17.399999999999999" customHeight="1">
      <c r="B496" s="159"/>
      <c r="C496" s="159"/>
      <c r="D496" s="159"/>
      <c r="E496" s="159"/>
      <c r="F496" s="159"/>
      <c r="G496" s="159"/>
      <c r="H496" s="159"/>
      <c r="I496" s="159"/>
      <c r="J496" s="224"/>
      <c r="K496" s="159"/>
      <c r="L496" s="159"/>
      <c r="M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c r="AT496" s="159"/>
      <c r="AU496" s="159"/>
      <c r="AV496" s="159"/>
      <c r="AW496" s="159"/>
      <c r="AX496" s="159"/>
      <c r="AY496" s="159"/>
      <c r="AZ496" s="159"/>
      <c r="BA496" s="159"/>
    </row>
    <row r="497" spans="2:53" ht="17.399999999999999" customHeight="1">
      <c r="B497" s="159"/>
      <c r="C497" s="159"/>
      <c r="D497" s="159"/>
      <c r="E497" s="159"/>
      <c r="F497" s="159"/>
      <c r="G497" s="159"/>
      <c r="H497" s="159"/>
      <c r="I497" s="159"/>
      <c r="J497" s="224"/>
      <c r="K497" s="159"/>
      <c r="L497" s="159"/>
      <c r="M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c r="AT497" s="159"/>
      <c r="AU497" s="159"/>
      <c r="AV497" s="159"/>
      <c r="AW497" s="159"/>
      <c r="AX497" s="159"/>
      <c r="AY497" s="159"/>
      <c r="AZ497" s="159"/>
      <c r="BA497" s="159"/>
    </row>
    <row r="498" spans="2:53" ht="17.399999999999999" customHeight="1">
      <c r="B498" s="159"/>
      <c r="C498" s="159"/>
      <c r="D498" s="159"/>
      <c r="E498" s="159"/>
      <c r="F498" s="159"/>
      <c r="G498" s="159"/>
      <c r="H498" s="159"/>
      <c r="I498" s="159"/>
      <c r="J498" s="224"/>
      <c r="K498" s="159"/>
      <c r="L498" s="159"/>
      <c r="M498" s="159"/>
      <c r="O498" s="159"/>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c r="AT498" s="159"/>
      <c r="AU498" s="159"/>
      <c r="AV498" s="159"/>
      <c r="AW498" s="159"/>
      <c r="AX498" s="159"/>
      <c r="AY498" s="159"/>
      <c r="AZ498" s="159"/>
      <c r="BA498" s="159"/>
    </row>
    <row r="499" spans="2:53" ht="17.399999999999999" customHeight="1">
      <c r="B499" s="159"/>
      <c r="C499" s="159"/>
      <c r="D499" s="159"/>
      <c r="E499" s="159"/>
      <c r="F499" s="159"/>
      <c r="G499" s="159"/>
      <c r="H499" s="159"/>
      <c r="I499" s="159"/>
      <c r="J499" s="224"/>
      <c r="K499" s="159"/>
      <c r="L499" s="159"/>
      <c r="M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c r="AT499" s="159"/>
      <c r="AU499" s="159"/>
      <c r="AV499" s="159"/>
      <c r="AW499" s="159"/>
      <c r="AX499" s="159"/>
      <c r="AY499" s="159"/>
      <c r="AZ499" s="159"/>
      <c r="BA499" s="159"/>
    </row>
    <row r="500" spans="2:53" ht="17.399999999999999" customHeight="1">
      <c r="B500" s="159"/>
      <c r="C500" s="159"/>
      <c r="D500" s="159"/>
      <c r="E500" s="159"/>
      <c r="F500" s="159"/>
      <c r="G500" s="159"/>
      <c r="H500" s="159"/>
      <c r="I500" s="159"/>
      <c r="J500" s="224"/>
      <c r="K500" s="159"/>
      <c r="L500" s="159"/>
      <c r="M500" s="159"/>
      <c r="O500" s="159"/>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c r="AP500" s="159"/>
      <c r="AQ500" s="159"/>
      <c r="AR500" s="159"/>
      <c r="AS500" s="159"/>
      <c r="AT500" s="159"/>
      <c r="AU500" s="159"/>
      <c r="AV500" s="159"/>
      <c r="AW500" s="159"/>
      <c r="AX500" s="159"/>
      <c r="AY500" s="159"/>
      <c r="AZ500" s="159"/>
      <c r="BA500" s="159"/>
    </row>
    <row r="501" spans="2:53" ht="17.399999999999999" customHeight="1">
      <c r="B501" s="159"/>
      <c r="C501" s="159"/>
      <c r="D501" s="159"/>
      <c r="E501" s="159"/>
      <c r="F501" s="159"/>
      <c r="G501" s="159"/>
      <c r="H501" s="159"/>
      <c r="I501" s="159"/>
      <c r="J501" s="224"/>
      <c r="K501" s="159"/>
      <c r="L501" s="159"/>
      <c r="M501" s="159"/>
      <c r="O501" s="159"/>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c r="AR501" s="159"/>
      <c r="AS501" s="159"/>
      <c r="AT501" s="159"/>
      <c r="AU501" s="159"/>
      <c r="AV501" s="159"/>
      <c r="AW501" s="159"/>
      <c r="AX501" s="159"/>
      <c r="AY501" s="159"/>
      <c r="AZ501" s="159"/>
      <c r="BA501" s="159"/>
    </row>
    <row r="502" spans="2:53" ht="17.399999999999999" customHeight="1">
      <c r="B502" s="159"/>
      <c r="C502" s="159"/>
      <c r="D502" s="159"/>
      <c r="E502" s="159"/>
      <c r="F502" s="159"/>
      <c r="G502" s="159"/>
      <c r="H502" s="159"/>
      <c r="I502" s="159"/>
      <c r="J502" s="224"/>
      <c r="K502" s="159"/>
      <c r="L502" s="159"/>
      <c r="M502" s="159"/>
      <c r="O502" s="159"/>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c r="AR502" s="159"/>
      <c r="AS502" s="159"/>
      <c r="AT502" s="159"/>
      <c r="AU502" s="159"/>
      <c r="AV502" s="159"/>
      <c r="AW502" s="159"/>
      <c r="AX502" s="159"/>
      <c r="AY502" s="159"/>
      <c r="AZ502" s="159"/>
      <c r="BA502" s="159"/>
    </row>
    <row r="503" spans="2:53" ht="17.399999999999999" customHeight="1">
      <c r="B503" s="159"/>
      <c r="C503" s="159"/>
      <c r="D503" s="159"/>
      <c r="E503" s="159"/>
      <c r="F503" s="159"/>
      <c r="G503" s="159"/>
      <c r="H503" s="159"/>
      <c r="I503" s="159"/>
      <c r="J503" s="224"/>
      <c r="K503" s="159"/>
      <c r="L503" s="159"/>
      <c r="M503" s="159"/>
      <c r="O503" s="159"/>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c r="AR503" s="159"/>
      <c r="AS503" s="159"/>
      <c r="AT503" s="159"/>
      <c r="AU503" s="159"/>
      <c r="AV503" s="159"/>
      <c r="AW503" s="159"/>
      <c r="AX503" s="159"/>
      <c r="AY503" s="159"/>
      <c r="AZ503" s="159"/>
      <c r="BA503" s="159"/>
    </row>
    <row r="504" spans="2:53" ht="17.399999999999999" customHeight="1">
      <c r="B504" s="159"/>
      <c r="C504" s="159"/>
      <c r="D504" s="159"/>
      <c r="E504" s="159"/>
      <c r="F504" s="159"/>
      <c r="G504" s="159"/>
      <c r="H504" s="159"/>
      <c r="I504" s="159"/>
      <c r="J504" s="224"/>
      <c r="K504" s="159"/>
      <c r="L504" s="159"/>
      <c r="M504" s="159"/>
      <c r="O504" s="159"/>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c r="AR504" s="159"/>
      <c r="AS504" s="159"/>
      <c r="AT504" s="159"/>
      <c r="AU504" s="159"/>
      <c r="AV504" s="159"/>
      <c r="AW504" s="159"/>
      <c r="AX504" s="159"/>
      <c r="AY504" s="159"/>
      <c r="AZ504" s="159"/>
      <c r="BA504" s="159"/>
    </row>
    <row r="505" spans="2:53" ht="17.399999999999999" customHeight="1">
      <c r="B505" s="159"/>
      <c r="C505" s="159"/>
      <c r="D505" s="159"/>
      <c r="E505" s="159"/>
      <c r="F505" s="159"/>
      <c r="G505" s="159"/>
      <c r="H505" s="159"/>
      <c r="I505" s="159"/>
      <c r="J505" s="224"/>
      <c r="K505" s="159"/>
      <c r="L505" s="159"/>
      <c r="M505" s="159"/>
      <c r="O505" s="159"/>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c r="AR505" s="159"/>
      <c r="AS505" s="159"/>
      <c r="AT505" s="159"/>
      <c r="AU505" s="159"/>
      <c r="AV505" s="159"/>
      <c r="AW505" s="159"/>
      <c r="AX505" s="159"/>
      <c r="AY505" s="159"/>
      <c r="AZ505" s="159"/>
      <c r="BA505" s="159"/>
    </row>
    <row r="506" spans="2:53" ht="17.399999999999999" customHeight="1">
      <c r="B506" s="159"/>
      <c r="C506" s="159"/>
      <c r="D506" s="159"/>
      <c r="E506" s="159"/>
      <c r="F506" s="159"/>
      <c r="G506" s="159"/>
      <c r="H506" s="159"/>
      <c r="I506" s="159"/>
      <c r="J506" s="224"/>
      <c r="K506" s="159"/>
      <c r="L506" s="159"/>
      <c r="M506" s="159"/>
      <c r="O506" s="159"/>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c r="AT506" s="159"/>
      <c r="AU506" s="159"/>
      <c r="AV506" s="159"/>
      <c r="AW506" s="159"/>
      <c r="AX506" s="159"/>
      <c r="AY506" s="159"/>
      <c r="AZ506" s="159"/>
      <c r="BA506" s="159"/>
    </row>
    <row r="507" spans="2:53" ht="17.399999999999999" customHeight="1">
      <c r="B507" s="159"/>
      <c r="C507" s="159"/>
      <c r="D507" s="159"/>
      <c r="E507" s="159"/>
      <c r="F507" s="159"/>
      <c r="G507" s="159"/>
      <c r="H507" s="159"/>
      <c r="I507" s="159"/>
      <c r="J507" s="224"/>
      <c r="K507" s="159"/>
      <c r="L507" s="159"/>
      <c r="M507" s="159"/>
      <c r="O507" s="159"/>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c r="AR507" s="159"/>
      <c r="AS507" s="159"/>
      <c r="AT507" s="159"/>
      <c r="AU507" s="159"/>
      <c r="AV507" s="159"/>
      <c r="AW507" s="159"/>
      <c r="AX507" s="159"/>
      <c r="AY507" s="159"/>
      <c r="AZ507" s="159"/>
      <c r="BA507" s="159"/>
    </row>
    <row r="508" spans="2:53" ht="17.399999999999999" customHeight="1">
      <c r="B508" s="159"/>
      <c r="C508" s="159"/>
      <c r="D508" s="159"/>
      <c r="E508" s="159"/>
      <c r="F508" s="159"/>
      <c r="G508" s="159"/>
      <c r="H508" s="159"/>
      <c r="I508" s="159"/>
      <c r="J508" s="224"/>
      <c r="K508" s="159"/>
      <c r="L508" s="159"/>
      <c r="M508" s="159"/>
      <c r="O508" s="159"/>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c r="AR508" s="159"/>
      <c r="AS508" s="159"/>
      <c r="AT508" s="159"/>
      <c r="AU508" s="159"/>
      <c r="AV508" s="159"/>
      <c r="AW508" s="159"/>
      <c r="AX508" s="159"/>
      <c r="AY508" s="159"/>
      <c r="AZ508" s="159"/>
      <c r="BA508" s="159"/>
    </row>
    <row r="509" spans="2:53" ht="17.399999999999999" customHeight="1">
      <c r="B509" s="159"/>
      <c r="C509" s="159"/>
      <c r="D509" s="159"/>
      <c r="E509" s="159"/>
      <c r="F509" s="159"/>
      <c r="G509" s="159"/>
      <c r="H509" s="159"/>
      <c r="I509" s="159"/>
      <c r="J509" s="224"/>
      <c r="K509" s="159"/>
      <c r="L509" s="159"/>
      <c r="M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c r="AR509" s="159"/>
      <c r="AS509" s="159"/>
      <c r="AT509" s="159"/>
      <c r="AU509" s="159"/>
      <c r="AV509" s="159"/>
      <c r="AW509" s="159"/>
      <c r="AX509" s="159"/>
      <c r="AY509" s="159"/>
      <c r="AZ509" s="159"/>
      <c r="BA509" s="159"/>
    </row>
    <row r="510" spans="2:53" ht="17.399999999999999" customHeight="1">
      <c r="B510" s="159"/>
      <c r="C510" s="159"/>
      <c r="D510" s="159"/>
      <c r="E510" s="159"/>
      <c r="F510" s="159"/>
      <c r="G510" s="159"/>
      <c r="H510" s="159"/>
      <c r="I510" s="159"/>
      <c r="J510" s="224"/>
      <c r="K510" s="159"/>
      <c r="L510" s="159"/>
      <c r="M510" s="159"/>
      <c r="O510" s="159"/>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c r="AR510" s="159"/>
      <c r="AS510" s="159"/>
      <c r="AT510" s="159"/>
      <c r="AU510" s="159"/>
      <c r="AV510" s="159"/>
      <c r="AW510" s="159"/>
      <c r="AX510" s="159"/>
      <c r="AY510" s="159"/>
      <c r="AZ510" s="159"/>
      <c r="BA510" s="159"/>
    </row>
    <row r="511" spans="2:53" ht="17.399999999999999" customHeight="1">
      <c r="B511" s="159"/>
      <c r="C511" s="159"/>
      <c r="D511" s="159"/>
      <c r="E511" s="159"/>
      <c r="F511" s="159"/>
      <c r="G511" s="159"/>
      <c r="H511" s="159"/>
      <c r="I511" s="159"/>
      <c r="J511" s="224"/>
      <c r="K511" s="159"/>
      <c r="L511" s="159"/>
      <c r="M511" s="159"/>
      <c r="O511" s="159"/>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c r="AT511" s="159"/>
      <c r="AU511" s="159"/>
      <c r="AV511" s="159"/>
      <c r="AW511" s="159"/>
      <c r="AX511" s="159"/>
      <c r="AY511" s="159"/>
      <c r="AZ511" s="159"/>
      <c r="BA511" s="159"/>
    </row>
    <row r="512" spans="2:53" ht="17.399999999999999" customHeight="1">
      <c r="B512" s="159"/>
      <c r="C512" s="159"/>
      <c r="D512" s="159"/>
      <c r="E512" s="159"/>
      <c r="F512" s="159"/>
      <c r="G512" s="159"/>
      <c r="H512" s="159"/>
      <c r="I512" s="159"/>
      <c r="J512" s="224"/>
      <c r="K512" s="159"/>
      <c r="L512" s="159"/>
      <c r="M512" s="159"/>
      <c r="O512" s="159"/>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c r="AT512" s="159"/>
      <c r="AU512" s="159"/>
      <c r="AV512" s="159"/>
      <c r="AW512" s="159"/>
      <c r="AX512" s="159"/>
      <c r="AY512" s="159"/>
      <c r="AZ512" s="159"/>
      <c r="BA512" s="159"/>
    </row>
    <row r="513" spans="2:53" ht="17.399999999999999" customHeight="1">
      <c r="B513" s="159"/>
      <c r="C513" s="159"/>
      <c r="D513" s="159"/>
      <c r="E513" s="159"/>
      <c r="F513" s="159"/>
      <c r="G513" s="159"/>
      <c r="H513" s="159"/>
      <c r="I513" s="159"/>
      <c r="J513" s="224"/>
      <c r="K513" s="159"/>
      <c r="L513" s="159"/>
      <c r="M513" s="159"/>
      <c r="O513" s="159"/>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c r="AT513" s="159"/>
      <c r="AU513" s="159"/>
      <c r="AV513" s="159"/>
      <c r="AW513" s="159"/>
      <c r="AX513" s="159"/>
      <c r="AY513" s="159"/>
      <c r="AZ513" s="159"/>
      <c r="BA513" s="159"/>
    </row>
    <row r="514" spans="2:53" ht="17.399999999999999" customHeight="1">
      <c r="B514" s="159"/>
      <c r="C514" s="159"/>
      <c r="D514" s="159"/>
      <c r="E514" s="159"/>
      <c r="F514" s="159"/>
      <c r="G514" s="159"/>
      <c r="H514" s="159"/>
      <c r="I514" s="159"/>
      <c r="J514" s="224"/>
      <c r="K514" s="159"/>
      <c r="L514" s="159"/>
      <c r="M514" s="159"/>
      <c r="O514" s="159"/>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c r="AR514" s="159"/>
      <c r="AS514" s="159"/>
      <c r="AT514" s="159"/>
      <c r="AU514" s="159"/>
      <c r="AV514" s="159"/>
      <c r="AW514" s="159"/>
      <c r="AX514" s="159"/>
      <c r="AY514" s="159"/>
      <c r="AZ514" s="159"/>
      <c r="BA514" s="159"/>
    </row>
    <row r="515" spans="2:53" ht="17.399999999999999" customHeight="1">
      <c r="B515" s="159"/>
      <c r="C515" s="159"/>
      <c r="D515" s="159"/>
      <c r="E515" s="159"/>
      <c r="F515" s="159"/>
      <c r="G515" s="159"/>
      <c r="H515" s="159"/>
      <c r="I515" s="159"/>
      <c r="J515" s="224"/>
      <c r="K515" s="159"/>
      <c r="L515" s="159"/>
      <c r="M515" s="159"/>
      <c r="O515" s="159"/>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c r="AR515" s="159"/>
      <c r="AS515" s="159"/>
      <c r="AT515" s="159"/>
      <c r="AU515" s="159"/>
      <c r="AV515" s="159"/>
      <c r="AW515" s="159"/>
      <c r="AX515" s="159"/>
      <c r="AY515" s="159"/>
      <c r="AZ515" s="159"/>
      <c r="BA515" s="159"/>
    </row>
    <row r="516" spans="2:53" ht="17.399999999999999" customHeight="1">
      <c r="B516" s="159"/>
      <c r="C516" s="159"/>
      <c r="D516" s="159"/>
      <c r="E516" s="159"/>
      <c r="F516" s="159"/>
      <c r="G516" s="159"/>
      <c r="H516" s="159"/>
      <c r="I516" s="159"/>
      <c r="J516" s="224"/>
      <c r="K516" s="159"/>
      <c r="L516" s="159"/>
      <c r="M516" s="159"/>
      <c r="O516" s="159"/>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c r="AT516" s="159"/>
      <c r="AU516" s="159"/>
      <c r="AV516" s="159"/>
      <c r="AW516" s="159"/>
      <c r="AX516" s="159"/>
      <c r="AY516" s="159"/>
      <c r="AZ516" s="159"/>
      <c r="BA516" s="159"/>
    </row>
    <row r="517" spans="2:53" ht="17.399999999999999" customHeight="1">
      <c r="B517" s="159"/>
      <c r="C517" s="159"/>
      <c r="D517" s="159"/>
      <c r="E517" s="159"/>
      <c r="F517" s="159"/>
      <c r="G517" s="159"/>
      <c r="H517" s="159"/>
      <c r="I517" s="159"/>
      <c r="J517" s="224"/>
      <c r="K517" s="159"/>
      <c r="L517" s="159"/>
      <c r="M517" s="159"/>
      <c r="O517" s="159"/>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c r="AR517" s="159"/>
      <c r="AS517" s="159"/>
      <c r="AT517" s="159"/>
      <c r="AU517" s="159"/>
      <c r="AV517" s="159"/>
      <c r="AW517" s="159"/>
      <c r="AX517" s="159"/>
      <c r="AY517" s="159"/>
      <c r="AZ517" s="159"/>
      <c r="BA517" s="159"/>
    </row>
    <row r="518" spans="2:53" ht="17.399999999999999" customHeight="1">
      <c r="B518" s="159"/>
      <c r="C518" s="159"/>
      <c r="D518" s="159"/>
      <c r="E518" s="159"/>
      <c r="F518" s="159"/>
      <c r="G518" s="159"/>
      <c r="H518" s="159"/>
      <c r="I518" s="159"/>
      <c r="J518" s="224"/>
      <c r="K518" s="159"/>
      <c r="L518" s="159"/>
      <c r="M518" s="159"/>
      <c r="O518" s="159"/>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c r="AR518" s="159"/>
      <c r="AS518" s="159"/>
      <c r="AT518" s="159"/>
      <c r="AU518" s="159"/>
      <c r="AV518" s="159"/>
      <c r="AW518" s="159"/>
      <c r="AX518" s="159"/>
      <c r="AY518" s="159"/>
      <c r="AZ518" s="159"/>
      <c r="BA518" s="159"/>
    </row>
    <row r="519" spans="2:53" ht="17.399999999999999" customHeight="1">
      <c r="B519" s="159"/>
      <c r="C519" s="159"/>
      <c r="D519" s="159"/>
      <c r="E519" s="159"/>
      <c r="F519" s="159"/>
      <c r="G519" s="159"/>
      <c r="H519" s="159"/>
      <c r="I519" s="159"/>
      <c r="J519" s="224"/>
      <c r="K519" s="159"/>
      <c r="L519" s="159"/>
      <c r="M519" s="159"/>
      <c r="O519" s="159"/>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c r="AR519" s="159"/>
      <c r="AS519" s="159"/>
      <c r="AT519" s="159"/>
      <c r="AU519" s="159"/>
      <c r="AV519" s="159"/>
      <c r="AW519" s="159"/>
      <c r="AX519" s="159"/>
      <c r="AY519" s="159"/>
      <c r="AZ519" s="159"/>
      <c r="BA519" s="159"/>
    </row>
    <row r="520" spans="2:53" ht="17.399999999999999" customHeight="1">
      <c r="B520" s="159"/>
      <c r="C520" s="159"/>
      <c r="D520" s="159"/>
      <c r="E520" s="159"/>
      <c r="F520" s="159"/>
      <c r="G520" s="159"/>
      <c r="H520" s="159"/>
      <c r="I520" s="159"/>
      <c r="J520" s="224"/>
      <c r="K520" s="159"/>
      <c r="L520" s="159"/>
      <c r="M520" s="159"/>
      <c r="O520" s="159"/>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c r="AR520" s="159"/>
      <c r="AS520" s="159"/>
      <c r="AT520" s="159"/>
      <c r="AU520" s="159"/>
      <c r="AV520" s="159"/>
      <c r="AW520" s="159"/>
      <c r="AX520" s="159"/>
      <c r="AY520" s="159"/>
      <c r="AZ520" s="159"/>
      <c r="BA520" s="159"/>
    </row>
    <row r="521" spans="2:53" ht="17.399999999999999" customHeight="1">
      <c r="B521" s="159"/>
      <c r="C521" s="159"/>
      <c r="D521" s="159"/>
      <c r="E521" s="159"/>
      <c r="F521" s="159"/>
      <c r="G521" s="159"/>
      <c r="H521" s="159"/>
      <c r="I521" s="159"/>
      <c r="J521" s="224"/>
      <c r="K521" s="159"/>
      <c r="L521" s="159"/>
      <c r="M521" s="159"/>
      <c r="O521" s="159"/>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c r="AR521" s="159"/>
      <c r="AS521" s="159"/>
      <c r="AT521" s="159"/>
      <c r="AU521" s="159"/>
      <c r="AV521" s="159"/>
      <c r="AW521" s="159"/>
      <c r="AX521" s="159"/>
      <c r="AY521" s="159"/>
      <c r="AZ521" s="159"/>
      <c r="BA521" s="159"/>
    </row>
    <row r="522" spans="2:53" ht="17.399999999999999" customHeight="1">
      <c r="B522" s="159"/>
      <c r="C522" s="159"/>
      <c r="D522" s="159"/>
      <c r="E522" s="159"/>
      <c r="F522" s="159"/>
      <c r="G522" s="159"/>
      <c r="H522" s="159"/>
      <c r="I522" s="159"/>
      <c r="J522" s="224"/>
      <c r="K522" s="159"/>
      <c r="L522" s="159"/>
      <c r="M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c r="AT522" s="159"/>
      <c r="AU522" s="159"/>
      <c r="AV522" s="159"/>
      <c r="AW522" s="159"/>
      <c r="AX522" s="159"/>
      <c r="AY522" s="159"/>
      <c r="AZ522" s="159"/>
      <c r="BA522" s="159"/>
    </row>
    <row r="523" spans="2:53" ht="17.399999999999999" customHeight="1">
      <c r="B523" s="159"/>
      <c r="C523" s="159"/>
      <c r="D523" s="159"/>
      <c r="E523" s="159"/>
      <c r="F523" s="159"/>
      <c r="G523" s="159"/>
      <c r="H523" s="159"/>
      <c r="I523" s="159"/>
      <c r="J523" s="224"/>
      <c r="K523" s="159"/>
      <c r="L523" s="159"/>
      <c r="M523" s="159"/>
      <c r="O523" s="159"/>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c r="AP523" s="159"/>
      <c r="AQ523" s="159"/>
      <c r="AR523" s="159"/>
      <c r="AS523" s="159"/>
      <c r="AT523" s="159"/>
      <c r="AU523" s="159"/>
      <c r="AV523" s="159"/>
      <c r="AW523" s="159"/>
      <c r="AX523" s="159"/>
      <c r="AY523" s="159"/>
      <c r="AZ523" s="159"/>
      <c r="BA523" s="159"/>
    </row>
    <row r="524" spans="2:53" ht="17.399999999999999" customHeight="1">
      <c r="B524" s="159"/>
      <c r="C524" s="159"/>
      <c r="D524" s="159"/>
      <c r="E524" s="159"/>
      <c r="F524" s="159"/>
      <c r="G524" s="159"/>
      <c r="H524" s="159"/>
      <c r="I524" s="159"/>
      <c r="J524" s="224"/>
      <c r="K524" s="159"/>
      <c r="L524" s="159"/>
      <c r="M524" s="159"/>
      <c r="O524" s="159"/>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c r="AR524" s="159"/>
      <c r="AS524" s="159"/>
      <c r="AT524" s="159"/>
      <c r="AU524" s="159"/>
      <c r="AV524" s="159"/>
      <c r="AW524" s="159"/>
      <c r="AX524" s="159"/>
      <c r="AY524" s="159"/>
      <c r="AZ524" s="159"/>
      <c r="BA524" s="159"/>
    </row>
    <row r="525" spans="2:53" ht="17.399999999999999" customHeight="1">
      <c r="B525" s="159"/>
      <c r="C525" s="159"/>
      <c r="D525" s="159"/>
      <c r="E525" s="159"/>
      <c r="F525" s="159"/>
      <c r="G525" s="159"/>
      <c r="H525" s="159"/>
      <c r="I525" s="159"/>
      <c r="J525" s="224"/>
      <c r="K525" s="159"/>
      <c r="L525" s="159"/>
      <c r="M525" s="159"/>
      <c r="O525" s="159"/>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c r="AR525" s="159"/>
      <c r="AS525" s="159"/>
      <c r="AT525" s="159"/>
      <c r="AU525" s="159"/>
      <c r="AV525" s="159"/>
      <c r="AW525" s="159"/>
      <c r="AX525" s="159"/>
      <c r="AY525" s="159"/>
      <c r="AZ525" s="159"/>
      <c r="BA525" s="159"/>
    </row>
    <row r="526" spans="2:53" ht="17.399999999999999" customHeight="1">
      <c r="B526" s="159"/>
      <c r="C526" s="159"/>
      <c r="D526" s="159"/>
      <c r="E526" s="159"/>
      <c r="F526" s="159"/>
      <c r="G526" s="159"/>
      <c r="H526" s="159"/>
      <c r="I526" s="159"/>
      <c r="J526" s="224"/>
      <c r="K526" s="159"/>
      <c r="L526" s="159"/>
      <c r="M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c r="AR526" s="159"/>
      <c r="AS526" s="159"/>
      <c r="AT526" s="159"/>
      <c r="AU526" s="159"/>
      <c r="AV526" s="159"/>
      <c r="AW526" s="159"/>
      <c r="AX526" s="159"/>
      <c r="AY526" s="159"/>
      <c r="AZ526" s="159"/>
      <c r="BA526" s="159"/>
    </row>
    <row r="527" spans="2:53" ht="17.399999999999999" customHeight="1">
      <c r="B527" s="159"/>
      <c r="C527" s="159"/>
      <c r="D527" s="159"/>
      <c r="E527" s="159"/>
      <c r="F527" s="159"/>
      <c r="G527" s="159"/>
      <c r="H527" s="159"/>
      <c r="I527" s="159"/>
      <c r="J527" s="224"/>
      <c r="K527" s="159"/>
      <c r="L527" s="159"/>
      <c r="M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c r="AR527" s="159"/>
      <c r="AS527" s="159"/>
      <c r="AT527" s="159"/>
      <c r="AU527" s="159"/>
      <c r="AV527" s="159"/>
      <c r="AW527" s="159"/>
      <c r="AX527" s="159"/>
      <c r="AY527" s="159"/>
      <c r="AZ527" s="159"/>
      <c r="BA527" s="159"/>
    </row>
    <row r="528" spans="2:53" ht="17.399999999999999" customHeight="1">
      <c r="B528" s="159"/>
      <c r="C528" s="159"/>
      <c r="D528" s="159"/>
      <c r="E528" s="159"/>
      <c r="F528" s="159"/>
      <c r="G528" s="159"/>
      <c r="H528" s="159"/>
      <c r="I528" s="159"/>
      <c r="J528" s="224"/>
      <c r="K528" s="159"/>
      <c r="L528" s="159"/>
      <c r="M528" s="159"/>
      <c r="O528" s="159"/>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c r="AP528" s="159"/>
      <c r="AQ528" s="159"/>
      <c r="AR528" s="159"/>
      <c r="AS528" s="159"/>
      <c r="AT528" s="159"/>
      <c r="AU528" s="159"/>
      <c r="AV528" s="159"/>
      <c r="AW528" s="159"/>
      <c r="AX528" s="159"/>
      <c r="AY528" s="159"/>
      <c r="AZ528" s="159"/>
      <c r="BA528" s="159"/>
    </row>
    <row r="529" spans="2:53" ht="17.399999999999999" customHeight="1">
      <c r="B529" s="159"/>
      <c r="C529" s="159"/>
      <c r="D529" s="159"/>
      <c r="E529" s="159"/>
      <c r="F529" s="159"/>
      <c r="G529" s="159"/>
      <c r="H529" s="159"/>
      <c r="I529" s="159"/>
      <c r="J529" s="224"/>
      <c r="K529" s="159"/>
      <c r="L529" s="159"/>
      <c r="M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c r="AR529" s="159"/>
      <c r="AS529" s="159"/>
      <c r="AT529" s="159"/>
      <c r="AU529" s="159"/>
      <c r="AV529" s="159"/>
      <c r="AW529" s="159"/>
      <c r="AX529" s="159"/>
      <c r="AY529" s="159"/>
      <c r="AZ529" s="159"/>
      <c r="BA529" s="159"/>
    </row>
    <row r="530" spans="2:53" ht="17.399999999999999" customHeight="1">
      <c r="B530" s="159"/>
      <c r="C530" s="159"/>
      <c r="D530" s="159"/>
      <c r="E530" s="159"/>
      <c r="F530" s="159"/>
      <c r="G530" s="159"/>
      <c r="H530" s="159"/>
      <c r="I530" s="159"/>
      <c r="J530" s="224"/>
      <c r="K530" s="159"/>
      <c r="L530" s="159"/>
      <c r="M530" s="159"/>
      <c r="O530" s="159"/>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c r="AR530" s="159"/>
      <c r="AS530" s="159"/>
      <c r="AT530" s="159"/>
      <c r="AU530" s="159"/>
      <c r="AV530" s="159"/>
      <c r="AW530" s="159"/>
      <c r="AX530" s="159"/>
      <c r="AY530" s="159"/>
      <c r="AZ530" s="159"/>
      <c r="BA530" s="159"/>
    </row>
    <row r="531" spans="2:53" ht="17.399999999999999" customHeight="1">
      <c r="B531" s="159"/>
      <c r="C531" s="159"/>
      <c r="D531" s="159"/>
      <c r="E531" s="159"/>
      <c r="F531" s="159"/>
      <c r="G531" s="159"/>
      <c r="H531" s="159"/>
      <c r="I531" s="159"/>
      <c r="J531" s="224"/>
      <c r="K531" s="159"/>
      <c r="L531" s="159"/>
      <c r="M531" s="159"/>
      <c r="O531" s="159"/>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c r="AT531" s="159"/>
      <c r="AU531" s="159"/>
      <c r="AV531" s="159"/>
      <c r="AW531" s="159"/>
      <c r="AX531" s="159"/>
      <c r="AY531" s="159"/>
      <c r="AZ531" s="159"/>
      <c r="BA531" s="159"/>
    </row>
    <row r="532" spans="2:53" ht="17.399999999999999" customHeight="1">
      <c r="B532" s="159"/>
      <c r="C532" s="159"/>
      <c r="D532" s="159"/>
      <c r="E532" s="159"/>
      <c r="F532" s="159"/>
      <c r="G532" s="159"/>
      <c r="H532" s="159"/>
      <c r="I532" s="159"/>
      <c r="J532" s="224"/>
      <c r="K532" s="159"/>
      <c r="L532" s="159"/>
      <c r="M532" s="159"/>
      <c r="O532" s="159"/>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c r="AT532" s="159"/>
      <c r="AU532" s="159"/>
      <c r="AV532" s="159"/>
      <c r="AW532" s="159"/>
      <c r="AX532" s="159"/>
      <c r="AY532" s="159"/>
      <c r="AZ532" s="159"/>
      <c r="BA532" s="159"/>
    </row>
    <row r="533" spans="2:53" ht="17.399999999999999" customHeight="1">
      <c r="B533" s="159"/>
      <c r="C533" s="159"/>
      <c r="D533" s="159"/>
      <c r="E533" s="159"/>
      <c r="F533" s="159"/>
      <c r="G533" s="159"/>
      <c r="H533" s="159"/>
      <c r="I533" s="159"/>
      <c r="J533" s="224"/>
      <c r="K533" s="159"/>
      <c r="L533" s="159"/>
      <c r="M533" s="159"/>
      <c r="O533" s="159"/>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c r="AT533" s="159"/>
      <c r="AU533" s="159"/>
      <c r="AV533" s="159"/>
      <c r="AW533" s="159"/>
      <c r="AX533" s="159"/>
      <c r="AY533" s="159"/>
      <c r="AZ533" s="159"/>
      <c r="BA533" s="159"/>
    </row>
    <row r="534" spans="2:53" ht="17.399999999999999" customHeight="1">
      <c r="B534" s="159"/>
      <c r="C534" s="159"/>
      <c r="D534" s="159"/>
      <c r="E534" s="159"/>
      <c r="F534" s="159"/>
      <c r="G534" s="159"/>
      <c r="H534" s="159"/>
      <c r="I534" s="159"/>
      <c r="J534" s="224"/>
      <c r="K534" s="159"/>
      <c r="L534" s="159"/>
      <c r="M534" s="159"/>
      <c r="O534" s="159"/>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c r="AT534" s="159"/>
      <c r="AU534" s="159"/>
      <c r="AV534" s="159"/>
      <c r="AW534" s="159"/>
      <c r="AX534" s="159"/>
      <c r="AY534" s="159"/>
      <c r="AZ534" s="159"/>
      <c r="BA534" s="159"/>
    </row>
    <row r="535" spans="2:53" ht="17.399999999999999" customHeight="1">
      <c r="B535" s="159"/>
      <c r="C535" s="159"/>
      <c r="D535" s="159"/>
      <c r="E535" s="159"/>
      <c r="F535" s="159"/>
      <c r="G535" s="159"/>
      <c r="H535" s="159"/>
      <c r="I535" s="159"/>
      <c r="J535" s="224"/>
      <c r="K535" s="159"/>
      <c r="L535" s="159"/>
      <c r="M535" s="159"/>
      <c r="O535" s="159"/>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c r="AR535" s="159"/>
      <c r="AS535" s="159"/>
      <c r="AT535" s="159"/>
      <c r="AU535" s="159"/>
      <c r="AV535" s="159"/>
      <c r="AW535" s="159"/>
      <c r="AX535" s="159"/>
      <c r="AY535" s="159"/>
      <c r="AZ535" s="159"/>
      <c r="BA535" s="159"/>
    </row>
    <row r="536" spans="2:53" ht="17.399999999999999" customHeight="1">
      <c r="B536" s="159"/>
      <c r="C536" s="159"/>
      <c r="D536" s="159"/>
      <c r="E536" s="159"/>
      <c r="F536" s="159"/>
      <c r="G536" s="159"/>
      <c r="H536" s="159"/>
      <c r="I536" s="159"/>
      <c r="J536" s="224"/>
      <c r="K536" s="159"/>
      <c r="L536" s="159"/>
      <c r="M536" s="159"/>
      <c r="O536" s="159"/>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c r="AR536" s="159"/>
      <c r="AS536" s="159"/>
      <c r="AT536" s="159"/>
      <c r="AU536" s="159"/>
      <c r="AV536" s="159"/>
      <c r="AW536" s="159"/>
      <c r="AX536" s="159"/>
      <c r="AY536" s="159"/>
      <c r="AZ536" s="159"/>
      <c r="BA536" s="159"/>
    </row>
    <row r="537" spans="2:53" ht="17.399999999999999" customHeight="1">
      <c r="B537" s="159"/>
      <c r="C537" s="159"/>
      <c r="D537" s="159"/>
      <c r="E537" s="159"/>
      <c r="F537" s="159"/>
      <c r="G537" s="159"/>
      <c r="H537" s="159"/>
      <c r="I537" s="159"/>
      <c r="J537" s="224"/>
      <c r="K537" s="159"/>
      <c r="L537" s="159"/>
      <c r="M537" s="159"/>
      <c r="O537" s="159"/>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c r="AR537" s="159"/>
      <c r="AS537" s="159"/>
      <c r="AT537" s="159"/>
      <c r="AU537" s="159"/>
      <c r="AV537" s="159"/>
      <c r="AW537" s="159"/>
      <c r="AX537" s="159"/>
      <c r="AY537" s="159"/>
      <c r="AZ537" s="159"/>
      <c r="BA537" s="159"/>
    </row>
    <row r="538" spans="2:53" ht="17.399999999999999" customHeight="1">
      <c r="B538" s="159"/>
      <c r="C538" s="159"/>
      <c r="D538" s="159"/>
      <c r="E538" s="159"/>
      <c r="F538" s="159"/>
      <c r="G538" s="159"/>
      <c r="H538" s="159"/>
      <c r="I538" s="159"/>
      <c r="J538" s="224"/>
      <c r="K538" s="159"/>
      <c r="L538" s="159"/>
      <c r="M538" s="159"/>
      <c r="O538" s="159"/>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c r="AR538" s="159"/>
      <c r="AS538" s="159"/>
      <c r="AT538" s="159"/>
      <c r="AU538" s="159"/>
      <c r="AV538" s="159"/>
      <c r="AW538" s="159"/>
      <c r="AX538" s="159"/>
      <c r="AY538" s="159"/>
      <c r="AZ538" s="159"/>
      <c r="BA538" s="159"/>
    </row>
    <row r="539" spans="2:53" ht="17.399999999999999" customHeight="1">
      <c r="B539" s="159"/>
      <c r="C539" s="159"/>
      <c r="D539" s="159"/>
      <c r="E539" s="159"/>
      <c r="F539" s="159"/>
      <c r="G539" s="159"/>
      <c r="H539" s="159"/>
      <c r="I539" s="159"/>
      <c r="J539" s="224"/>
      <c r="K539" s="159"/>
      <c r="L539" s="159"/>
      <c r="M539" s="159"/>
      <c r="O539" s="159"/>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c r="AR539" s="159"/>
      <c r="AS539" s="159"/>
      <c r="AT539" s="159"/>
      <c r="AU539" s="159"/>
      <c r="AV539" s="159"/>
      <c r="AW539" s="159"/>
      <c r="AX539" s="159"/>
      <c r="AY539" s="159"/>
      <c r="AZ539" s="159"/>
      <c r="BA539" s="159"/>
    </row>
    <row r="540" spans="2:53" ht="17.399999999999999" customHeight="1">
      <c r="B540" s="159"/>
      <c r="C540" s="159"/>
      <c r="D540" s="159"/>
      <c r="E540" s="159"/>
      <c r="F540" s="159"/>
      <c r="G540" s="159"/>
      <c r="H540" s="159"/>
      <c r="I540" s="159"/>
      <c r="J540" s="224"/>
      <c r="K540" s="159"/>
      <c r="L540" s="159"/>
      <c r="M540" s="159"/>
      <c r="O540" s="159"/>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c r="AR540" s="159"/>
      <c r="AS540" s="159"/>
      <c r="AT540" s="159"/>
      <c r="AU540" s="159"/>
      <c r="AV540" s="159"/>
      <c r="AW540" s="159"/>
      <c r="AX540" s="159"/>
      <c r="AY540" s="159"/>
      <c r="AZ540" s="159"/>
      <c r="BA540" s="159"/>
    </row>
    <row r="541" spans="2:53" ht="17.399999999999999" customHeight="1">
      <c r="B541" s="159"/>
      <c r="C541" s="159"/>
      <c r="D541" s="159"/>
      <c r="E541" s="159"/>
      <c r="F541" s="159"/>
      <c r="G541" s="159"/>
      <c r="H541" s="159"/>
      <c r="I541" s="159"/>
      <c r="J541" s="224"/>
      <c r="K541" s="159"/>
      <c r="L541" s="159"/>
      <c r="M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c r="AR541" s="159"/>
      <c r="AS541" s="159"/>
      <c r="AT541" s="159"/>
      <c r="AU541" s="159"/>
      <c r="AV541" s="159"/>
      <c r="AW541" s="159"/>
      <c r="AX541" s="159"/>
      <c r="AY541" s="159"/>
      <c r="AZ541" s="159"/>
      <c r="BA541" s="159"/>
    </row>
    <row r="542" spans="2:53" ht="17.399999999999999" customHeight="1">
      <c r="B542" s="159"/>
      <c r="C542" s="159"/>
      <c r="D542" s="159"/>
      <c r="E542" s="159"/>
      <c r="F542" s="159"/>
      <c r="G542" s="159"/>
      <c r="H542" s="159"/>
      <c r="I542" s="159"/>
      <c r="J542" s="224"/>
      <c r="K542" s="159"/>
      <c r="L542" s="159"/>
      <c r="M542" s="159"/>
      <c r="O542" s="159"/>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c r="AP542" s="159"/>
      <c r="AQ542" s="159"/>
      <c r="AR542" s="159"/>
      <c r="AS542" s="159"/>
      <c r="AT542" s="159"/>
      <c r="AU542" s="159"/>
      <c r="AV542" s="159"/>
      <c r="AW542" s="159"/>
      <c r="AX542" s="159"/>
      <c r="AY542" s="159"/>
      <c r="AZ542" s="159"/>
      <c r="BA542" s="159"/>
    </row>
    <row r="543" spans="2:53" ht="17.399999999999999" customHeight="1">
      <c r="B543" s="159"/>
      <c r="C543" s="159"/>
      <c r="D543" s="159"/>
      <c r="E543" s="159"/>
      <c r="F543" s="159"/>
      <c r="G543" s="159"/>
      <c r="H543" s="159"/>
      <c r="I543" s="159"/>
      <c r="J543" s="224"/>
      <c r="K543" s="159"/>
      <c r="L543" s="159"/>
      <c r="M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c r="AT543" s="159"/>
      <c r="AU543" s="159"/>
      <c r="AV543" s="159"/>
      <c r="AW543" s="159"/>
      <c r="AX543" s="159"/>
      <c r="AY543" s="159"/>
      <c r="AZ543" s="159"/>
      <c r="BA543" s="159"/>
    </row>
    <row r="544" spans="2:53" ht="17.399999999999999" customHeight="1">
      <c r="B544" s="159"/>
      <c r="C544" s="159"/>
      <c r="D544" s="159"/>
      <c r="E544" s="159"/>
      <c r="F544" s="159"/>
      <c r="G544" s="159"/>
      <c r="H544" s="159"/>
      <c r="I544" s="159"/>
      <c r="J544" s="224"/>
      <c r="K544" s="159"/>
      <c r="L544" s="159"/>
      <c r="M544" s="159"/>
      <c r="O544" s="159"/>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c r="AR544" s="159"/>
      <c r="AS544" s="159"/>
      <c r="AT544" s="159"/>
      <c r="AU544" s="159"/>
      <c r="AV544" s="159"/>
      <c r="AW544" s="159"/>
      <c r="AX544" s="159"/>
      <c r="AY544" s="159"/>
      <c r="AZ544" s="159"/>
      <c r="BA544" s="159"/>
    </row>
    <row r="545" spans="2:53" ht="17.399999999999999" customHeight="1">
      <c r="B545" s="159"/>
      <c r="C545" s="159"/>
      <c r="D545" s="159"/>
      <c r="E545" s="159"/>
      <c r="F545" s="159"/>
      <c r="G545" s="159"/>
      <c r="H545" s="159"/>
      <c r="I545" s="159"/>
      <c r="J545" s="224"/>
      <c r="K545" s="159"/>
      <c r="L545" s="159"/>
      <c r="M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c r="AT545" s="159"/>
      <c r="AU545" s="159"/>
      <c r="AV545" s="159"/>
      <c r="AW545" s="159"/>
      <c r="AX545" s="159"/>
      <c r="AY545" s="159"/>
      <c r="AZ545" s="159"/>
      <c r="BA545" s="159"/>
    </row>
    <row r="546" spans="2:53" ht="17.399999999999999" customHeight="1">
      <c r="B546" s="159"/>
      <c r="C546" s="159"/>
      <c r="D546" s="159"/>
      <c r="E546" s="159"/>
      <c r="F546" s="159"/>
      <c r="G546" s="159"/>
      <c r="H546" s="159"/>
      <c r="I546" s="159"/>
      <c r="J546" s="224"/>
      <c r="K546" s="159"/>
      <c r="L546" s="159"/>
      <c r="M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c r="AR546" s="159"/>
      <c r="AS546" s="159"/>
      <c r="AT546" s="159"/>
      <c r="AU546" s="159"/>
      <c r="AV546" s="159"/>
      <c r="AW546" s="159"/>
      <c r="AX546" s="159"/>
      <c r="AY546" s="159"/>
      <c r="AZ546" s="159"/>
      <c r="BA546" s="159"/>
    </row>
    <row r="547" spans="2:53" ht="17.399999999999999" customHeight="1">
      <c r="B547" s="159"/>
      <c r="C547" s="159"/>
      <c r="D547" s="159"/>
      <c r="E547" s="159"/>
      <c r="F547" s="159"/>
      <c r="G547" s="159"/>
      <c r="H547" s="159"/>
      <c r="I547" s="159"/>
      <c r="J547" s="224"/>
      <c r="K547" s="159"/>
      <c r="L547" s="159"/>
      <c r="M547" s="159"/>
      <c r="O547" s="159"/>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c r="AR547" s="159"/>
      <c r="AS547" s="159"/>
      <c r="AT547" s="159"/>
      <c r="AU547" s="159"/>
      <c r="AV547" s="159"/>
      <c r="AW547" s="159"/>
      <c r="AX547" s="159"/>
      <c r="AY547" s="159"/>
      <c r="AZ547" s="159"/>
      <c r="BA547" s="159"/>
    </row>
    <row r="548" spans="2:53" ht="17.399999999999999" customHeight="1">
      <c r="B548" s="159"/>
      <c r="C548" s="159"/>
      <c r="D548" s="159"/>
      <c r="E548" s="159"/>
      <c r="F548" s="159"/>
      <c r="G548" s="159"/>
      <c r="H548" s="159"/>
      <c r="I548" s="159"/>
      <c r="J548" s="224"/>
      <c r="K548" s="159"/>
      <c r="L548" s="159"/>
      <c r="M548" s="159"/>
      <c r="O548" s="159"/>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c r="AR548" s="159"/>
      <c r="AS548" s="159"/>
      <c r="AT548" s="159"/>
      <c r="AU548" s="159"/>
      <c r="AV548" s="159"/>
      <c r="AW548" s="159"/>
      <c r="AX548" s="159"/>
      <c r="AY548" s="159"/>
      <c r="AZ548" s="159"/>
      <c r="BA548" s="159"/>
    </row>
    <row r="549" spans="2:53" ht="17.399999999999999" customHeight="1">
      <c r="B549" s="159"/>
      <c r="C549" s="159"/>
      <c r="D549" s="159"/>
      <c r="E549" s="159"/>
      <c r="F549" s="159"/>
      <c r="G549" s="159"/>
      <c r="H549" s="159"/>
      <c r="I549" s="159"/>
      <c r="J549" s="224"/>
      <c r="K549" s="159"/>
      <c r="L549" s="159"/>
      <c r="M549" s="159"/>
      <c r="O549" s="159"/>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c r="AR549" s="159"/>
      <c r="AS549" s="159"/>
      <c r="AT549" s="159"/>
      <c r="AU549" s="159"/>
      <c r="AV549" s="159"/>
      <c r="AW549" s="159"/>
      <c r="AX549" s="159"/>
      <c r="AY549" s="159"/>
      <c r="AZ549" s="159"/>
      <c r="BA549" s="159"/>
    </row>
    <row r="550" spans="2:53" ht="17.399999999999999" customHeight="1">
      <c r="B550" s="159"/>
      <c r="C550" s="159"/>
      <c r="D550" s="159"/>
      <c r="E550" s="159"/>
      <c r="F550" s="159"/>
      <c r="G550" s="159"/>
      <c r="H550" s="159"/>
      <c r="I550" s="159"/>
      <c r="J550" s="224"/>
      <c r="K550" s="159"/>
      <c r="L550" s="159"/>
      <c r="M550" s="159"/>
      <c r="O550" s="159"/>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c r="AR550" s="159"/>
      <c r="AS550" s="159"/>
      <c r="AT550" s="159"/>
      <c r="AU550" s="159"/>
      <c r="AV550" s="159"/>
      <c r="AW550" s="159"/>
      <c r="AX550" s="159"/>
      <c r="AY550" s="159"/>
      <c r="AZ550" s="159"/>
      <c r="BA550" s="159"/>
    </row>
    <row r="551" spans="2:53" ht="17.399999999999999" customHeight="1">
      <c r="B551" s="159"/>
      <c r="C551" s="159"/>
      <c r="D551" s="159"/>
      <c r="E551" s="159"/>
      <c r="F551" s="159"/>
      <c r="G551" s="159"/>
      <c r="H551" s="159"/>
      <c r="I551" s="159"/>
      <c r="J551" s="224"/>
      <c r="K551" s="159"/>
      <c r="L551" s="159"/>
      <c r="M551" s="159"/>
      <c r="O551" s="159"/>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c r="AR551" s="159"/>
      <c r="AS551" s="159"/>
      <c r="AT551" s="159"/>
      <c r="AU551" s="159"/>
      <c r="AV551" s="159"/>
      <c r="AW551" s="159"/>
      <c r="AX551" s="159"/>
      <c r="AY551" s="159"/>
      <c r="AZ551" s="159"/>
      <c r="BA551" s="159"/>
    </row>
    <row r="552" spans="2:53" ht="17.399999999999999" customHeight="1">
      <c r="B552" s="159"/>
      <c r="C552" s="159"/>
      <c r="D552" s="159"/>
      <c r="E552" s="159"/>
      <c r="F552" s="159"/>
      <c r="G552" s="159"/>
      <c r="H552" s="159"/>
      <c r="I552" s="159"/>
      <c r="J552" s="224"/>
      <c r="K552" s="159"/>
      <c r="L552" s="159"/>
      <c r="M552" s="15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c r="AR552" s="159"/>
      <c r="AS552" s="159"/>
      <c r="AT552" s="159"/>
      <c r="AU552" s="159"/>
      <c r="AV552" s="159"/>
      <c r="AW552" s="159"/>
      <c r="AX552" s="159"/>
      <c r="AY552" s="159"/>
      <c r="AZ552" s="159"/>
      <c r="BA552" s="159"/>
    </row>
    <row r="553" spans="2:53" ht="17.399999999999999" customHeight="1">
      <c r="B553" s="159"/>
      <c r="C553" s="159"/>
      <c r="D553" s="159"/>
      <c r="E553" s="159"/>
      <c r="F553" s="159"/>
      <c r="G553" s="159"/>
      <c r="H553" s="159"/>
      <c r="I553" s="159"/>
      <c r="J553" s="224"/>
      <c r="K553" s="159"/>
      <c r="L553" s="159"/>
      <c r="M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c r="AR553" s="159"/>
      <c r="AS553" s="159"/>
      <c r="AT553" s="159"/>
      <c r="AU553" s="159"/>
      <c r="AV553" s="159"/>
      <c r="AW553" s="159"/>
      <c r="AX553" s="159"/>
      <c r="AY553" s="159"/>
      <c r="AZ553" s="159"/>
      <c r="BA553" s="159"/>
    </row>
    <row r="554" spans="2:53" ht="17.399999999999999" customHeight="1">
      <c r="B554" s="159"/>
      <c r="C554" s="159"/>
      <c r="D554" s="159"/>
      <c r="E554" s="159"/>
      <c r="F554" s="159"/>
      <c r="G554" s="159"/>
      <c r="H554" s="159"/>
      <c r="I554" s="159"/>
      <c r="J554" s="224"/>
      <c r="K554" s="159"/>
      <c r="L554" s="159"/>
      <c r="M554" s="159"/>
      <c r="O554" s="159"/>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c r="AR554" s="159"/>
      <c r="AS554" s="159"/>
      <c r="AT554" s="159"/>
      <c r="AU554" s="159"/>
      <c r="AV554" s="159"/>
      <c r="AW554" s="159"/>
      <c r="AX554" s="159"/>
      <c r="AY554" s="159"/>
      <c r="AZ554" s="159"/>
      <c r="BA554" s="159"/>
    </row>
    <row r="555" spans="2:53" ht="17.399999999999999" customHeight="1">
      <c r="B555" s="159"/>
      <c r="C555" s="159"/>
      <c r="D555" s="159"/>
      <c r="E555" s="159"/>
      <c r="F555" s="159"/>
      <c r="G555" s="159"/>
      <c r="H555" s="159"/>
      <c r="I555" s="159"/>
      <c r="J555" s="224"/>
      <c r="K555" s="159"/>
      <c r="L555" s="159"/>
      <c r="M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c r="AR555" s="159"/>
      <c r="AS555" s="159"/>
      <c r="AT555" s="159"/>
      <c r="AU555" s="159"/>
      <c r="AV555" s="159"/>
      <c r="AW555" s="159"/>
      <c r="AX555" s="159"/>
      <c r="AY555" s="159"/>
      <c r="AZ555" s="159"/>
      <c r="BA555" s="159"/>
    </row>
    <row r="556" spans="2:53" ht="17.399999999999999" customHeight="1">
      <c r="B556" s="159"/>
      <c r="C556" s="159"/>
      <c r="D556" s="159"/>
      <c r="E556" s="159"/>
      <c r="F556" s="159"/>
      <c r="G556" s="159"/>
      <c r="H556" s="159"/>
      <c r="I556" s="159"/>
      <c r="J556" s="224"/>
      <c r="K556" s="159"/>
      <c r="L556" s="159"/>
      <c r="M556" s="159"/>
      <c r="O556" s="159"/>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c r="AR556" s="159"/>
      <c r="AS556" s="159"/>
      <c r="AT556" s="159"/>
      <c r="AU556" s="159"/>
      <c r="AV556" s="159"/>
      <c r="AW556" s="159"/>
      <c r="AX556" s="159"/>
      <c r="AY556" s="159"/>
      <c r="AZ556" s="159"/>
      <c r="BA556" s="159"/>
    </row>
    <row r="557" spans="2:53" ht="17.399999999999999" customHeight="1">
      <c r="B557" s="159"/>
      <c r="C557" s="159"/>
      <c r="D557" s="159"/>
      <c r="E557" s="159"/>
      <c r="F557" s="159"/>
      <c r="G557" s="159"/>
      <c r="H557" s="159"/>
      <c r="I557" s="159"/>
      <c r="J557" s="224"/>
      <c r="K557" s="159"/>
      <c r="L557" s="159"/>
      <c r="M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c r="AT557" s="159"/>
      <c r="AU557" s="159"/>
      <c r="AV557" s="159"/>
      <c r="AW557" s="159"/>
      <c r="AX557" s="159"/>
      <c r="AY557" s="159"/>
      <c r="AZ557" s="159"/>
      <c r="BA557" s="159"/>
    </row>
    <row r="558" spans="2:53" ht="17.399999999999999" customHeight="1">
      <c r="B558" s="159"/>
      <c r="C558" s="159"/>
      <c r="D558" s="159"/>
      <c r="E558" s="159"/>
      <c r="F558" s="159"/>
      <c r="G558" s="159"/>
      <c r="H558" s="159"/>
      <c r="I558" s="159"/>
      <c r="J558" s="224"/>
      <c r="K558" s="159"/>
      <c r="L558" s="159"/>
      <c r="M558" s="159"/>
      <c r="O558" s="159"/>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c r="AR558" s="159"/>
      <c r="AS558" s="159"/>
      <c r="AT558" s="159"/>
      <c r="AU558" s="159"/>
      <c r="AV558" s="159"/>
      <c r="AW558" s="159"/>
      <c r="AX558" s="159"/>
      <c r="AY558" s="159"/>
      <c r="AZ558" s="159"/>
      <c r="BA558" s="159"/>
    </row>
    <row r="559" spans="2:53" ht="17.399999999999999" customHeight="1">
      <c r="B559" s="159"/>
      <c r="C559" s="159"/>
      <c r="D559" s="159"/>
      <c r="E559" s="159"/>
      <c r="F559" s="159"/>
      <c r="G559" s="159"/>
      <c r="H559" s="159"/>
      <c r="I559" s="159"/>
      <c r="J559" s="224"/>
      <c r="K559" s="159"/>
      <c r="L559" s="159"/>
      <c r="M559" s="159"/>
      <c r="O559" s="159"/>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c r="AR559" s="159"/>
      <c r="AS559" s="159"/>
      <c r="AT559" s="159"/>
      <c r="AU559" s="159"/>
      <c r="AV559" s="159"/>
      <c r="AW559" s="159"/>
      <c r="AX559" s="159"/>
      <c r="AY559" s="159"/>
      <c r="AZ559" s="159"/>
      <c r="BA559" s="159"/>
    </row>
    <row r="560" spans="2:53" ht="17.399999999999999" customHeight="1">
      <c r="B560" s="159"/>
      <c r="C560" s="159"/>
      <c r="D560" s="159"/>
      <c r="E560" s="159"/>
      <c r="F560" s="159"/>
      <c r="G560" s="159"/>
      <c r="H560" s="159"/>
      <c r="I560" s="159"/>
      <c r="J560" s="224"/>
      <c r="K560" s="159"/>
      <c r="L560" s="159"/>
      <c r="M560" s="159"/>
      <c r="O560" s="159"/>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c r="AR560" s="159"/>
      <c r="AS560" s="159"/>
      <c r="AT560" s="159"/>
      <c r="AU560" s="159"/>
      <c r="AV560" s="159"/>
      <c r="AW560" s="159"/>
      <c r="AX560" s="159"/>
      <c r="AY560" s="159"/>
      <c r="AZ560" s="159"/>
      <c r="BA560" s="159"/>
    </row>
    <row r="561" spans="2:53" ht="17.399999999999999" customHeight="1">
      <c r="B561" s="159"/>
      <c r="C561" s="159"/>
      <c r="D561" s="159"/>
      <c r="E561" s="159"/>
      <c r="F561" s="159"/>
      <c r="G561" s="159"/>
      <c r="H561" s="159"/>
      <c r="I561" s="159"/>
      <c r="J561" s="224"/>
      <c r="K561" s="159"/>
      <c r="L561" s="159"/>
      <c r="M561" s="159"/>
      <c r="O561" s="159"/>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c r="AR561" s="159"/>
      <c r="AS561" s="159"/>
      <c r="AT561" s="159"/>
      <c r="AU561" s="159"/>
      <c r="AV561" s="159"/>
      <c r="AW561" s="159"/>
      <c r="AX561" s="159"/>
      <c r="AY561" s="159"/>
      <c r="AZ561" s="159"/>
      <c r="BA561" s="159"/>
    </row>
    <row r="562" spans="2:53" ht="17.399999999999999" customHeight="1">
      <c r="B562" s="159"/>
      <c r="C562" s="159"/>
      <c r="D562" s="159"/>
      <c r="E562" s="159"/>
      <c r="F562" s="159"/>
      <c r="G562" s="159"/>
      <c r="H562" s="159"/>
      <c r="I562" s="159"/>
      <c r="J562" s="224"/>
      <c r="K562" s="159"/>
      <c r="L562" s="159"/>
      <c r="M562" s="159"/>
      <c r="O562" s="159"/>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c r="AR562" s="159"/>
      <c r="AS562" s="159"/>
      <c r="AT562" s="159"/>
      <c r="AU562" s="159"/>
      <c r="AV562" s="159"/>
      <c r="AW562" s="159"/>
      <c r="AX562" s="159"/>
      <c r="AY562" s="159"/>
      <c r="AZ562" s="159"/>
      <c r="BA562" s="159"/>
    </row>
    <row r="563" spans="2:53" ht="17.399999999999999" customHeight="1">
      <c r="B563" s="159"/>
      <c r="C563" s="159"/>
      <c r="D563" s="159"/>
      <c r="E563" s="159"/>
      <c r="F563" s="159"/>
      <c r="G563" s="159"/>
      <c r="H563" s="159"/>
      <c r="I563" s="159"/>
      <c r="J563" s="224"/>
      <c r="K563" s="159"/>
      <c r="L563" s="159"/>
      <c r="M563" s="159"/>
      <c r="O563" s="159"/>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c r="AR563" s="159"/>
      <c r="AS563" s="159"/>
      <c r="AT563" s="159"/>
      <c r="AU563" s="159"/>
      <c r="AV563" s="159"/>
      <c r="AW563" s="159"/>
      <c r="AX563" s="159"/>
      <c r="AY563" s="159"/>
      <c r="AZ563" s="159"/>
      <c r="BA563" s="159"/>
    </row>
    <row r="564" spans="2:53" ht="17.399999999999999" customHeight="1">
      <c r="B564" s="159"/>
      <c r="C564" s="159"/>
      <c r="D564" s="159"/>
      <c r="E564" s="159"/>
      <c r="F564" s="159"/>
      <c r="G564" s="159"/>
      <c r="H564" s="159"/>
      <c r="I564" s="159"/>
      <c r="J564" s="224"/>
      <c r="K564" s="159"/>
      <c r="L564" s="159"/>
      <c r="M564" s="159"/>
      <c r="O564" s="159"/>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c r="AR564" s="159"/>
      <c r="AS564" s="159"/>
      <c r="AT564" s="159"/>
      <c r="AU564" s="159"/>
      <c r="AV564" s="159"/>
      <c r="AW564" s="159"/>
      <c r="AX564" s="159"/>
      <c r="AY564" s="159"/>
      <c r="AZ564" s="159"/>
      <c r="BA564" s="159"/>
    </row>
    <row r="565" spans="2:53" ht="17.399999999999999" customHeight="1">
      <c r="B565" s="159"/>
      <c r="C565" s="159"/>
      <c r="D565" s="159"/>
      <c r="E565" s="159"/>
      <c r="F565" s="159"/>
      <c r="G565" s="159"/>
      <c r="H565" s="159"/>
      <c r="I565" s="159"/>
      <c r="J565" s="224"/>
      <c r="K565" s="159"/>
      <c r="L565" s="159"/>
      <c r="M565" s="159"/>
      <c r="O565" s="159"/>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c r="AP565" s="159"/>
      <c r="AQ565" s="159"/>
      <c r="AR565" s="159"/>
      <c r="AS565" s="159"/>
      <c r="AT565" s="159"/>
      <c r="AU565" s="159"/>
      <c r="AV565" s="159"/>
      <c r="AW565" s="159"/>
      <c r="AX565" s="159"/>
      <c r="AY565" s="159"/>
      <c r="AZ565" s="159"/>
      <c r="BA565" s="159"/>
    </row>
    <row r="566" spans="2:53" ht="17.399999999999999" customHeight="1">
      <c r="B566" s="159"/>
      <c r="C566" s="159"/>
      <c r="D566" s="159"/>
      <c r="E566" s="159"/>
      <c r="F566" s="159"/>
      <c r="G566" s="159"/>
      <c r="H566" s="159"/>
      <c r="I566" s="159"/>
      <c r="J566" s="224"/>
      <c r="K566" s="159"/>
      <c r="L566" s="159"/>
      <c r="M566" s="159"/>
      <c r="O566" s="159"/>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c r="AR566" s="159"/>
      <c r="AS566" s="159"/>
      <c r="AT566" s="159"/>
      <c r="AU566" s="159"/>
      <c r="AV566" s="159"/>
      <c r="AW566" s="159"/>
      <c r="AX566" s="159"/>
      <c r="AY566" s="159"/>
      <c r="AZ566" s="159"/>
      <c r="BA566" s="159"/>
    </row>
    <row r="567" spans="2:53" ht="17.399999999999999" customHeight="1">
      <c r="B567" s="159"/>
      <c r="C567" s="159"/>
      <c r="D567" s="159"/>
      <c r="E567" s="159"/>
      <c r="F567" s="159"/>
      <c r="G567" s="159"/>
      <c r="H567" s="159"/>
      <c r="I567" s="159"/>
      <c r="J567" s="224"/>
      <c r="K567" s="159"/>
      <c r="L567" s="159"/>
      <c r="M567" s="159"/>
      <c r="O567" s="159"/>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c r="AR567" s="159"/>
      <c r="AS567" s="159"/>
      <c r="AT567" s="159"/>
      <c r="AU567" s="159"/>
      <c r="AV567" s="159"/>
      <c r="AW567" s="159"/>
      <c r="AX567" s="159"/>
      <c r="AY567" s="159"/>
      <c r="AZ567" s="159"/>
      <c r="BA567" s="159"/>
    </row>
    <row r="568" spans="2:53" ht="17.399999999999999" customHeight="1">
      <c r="B568" s="159"/>
      <c r="C568" s="159"/>
      <c r="D568" s="159"/>
      <c r="E568" s="159"/>
      <c r="F568" s="159"/>
      <c r="G568" s="159"/>
      <c r="H568" s="159"/>
      <c r="I568" s="159"/>
      <c r="J568" s="224"/>
      <c r="K568" s="159"/>
      <c r="L568" s="159"/>
      <c r="M568" s="159"/>
      <c r="O568" s="159"/>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c r="AR568" s="159"/>
      <c r="AS568" s="159"/>
      <c r="AT568" s="159"/>
      <c r="AU568" s="159"/>
      <c r="AV568" s="159"/>
      <c r="AW568" s="159"/>
      <c r="AX568" s="159"/>
      <c r="AY568" s="159"/>
      <c r="AZ568" s="159"/>
      <c r="BA568" s="159"/>
    </row>
    <row r="569" spans="2:53" ht="17.399999999999999" customHeight="1">
      <c r="B569" s="159"/>
      <c r="C569" s="159"/>
      <c r="D569" s="159"/>
      <c r="E569" s="159"/>
      <c r="F569" s="159"/>
      <c r="G569" s="159"/>
      <c r="H569" s="159"/>
      <c r="I569" s="159"/>
      <c r="J569" s="224"/>
      <c r="K569" s="159"/>
      <c r="L569" s="159"/>
      <c r="M569" s="159"/>
      <c r="O569" s="159"/>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c r="AR569" s="159"/>
      <c r="AS569" s="159"/>
      <c r="AT569" s="159"/>
      <c r="AU569" s="159"/>
      <c r="AV569" s="159"/>
      <c r="AW569" s="159"/>
      <c r="AX569" s="159"/>
      <c r="AY569" s="159"/>
      <c r="AZ569" s="159"/>
      <c r="BA569" s="159"/>
    </row>
    <row r="570" spans="2:53" ht="17.399999999999999" customHeight="1">
      <c r="B570" s="159"/>
      <c r="C570" s="159"/>
      <c r="D570" s="159"/>
      <c r="E570" s="159"/>
      <c r="F570" s="159"/>
      <c r="G570" s="159"/>
      <c r="H570" s="159"/>
      <c r="I570" s="159"/>
      <c r="J570" s="224"/>
      <c r="K570" s="159"/>
      <c r="L570" s="159"/>
      <c r="M570" s="159"/>
      <c r="O570" s="159"/>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c r="AR570" s="159"/>
      <c r="AS570" s="159"/>
      <c r="AT570" s="159"/>
      <c r="AU570" s="159"/>
      <c r="AV570" s="159"/>
      <c r="AW570" s="159"/>
      <c r="AX570" s="159"/>
      <c r="AY570" s="159"/>
      <c r="AZ570" s="159"/>
      <c r="BA570" s="159"/>
    </row>
    <row r="571" spans="2:53" ht="17.399999999999999" customHeight="1">
      <c r="B571" s="159"/>
      <c r="C571" s="159"/>
      <c r="D571" s="159"/>
      <c r="E571" s="159"/>
      <c r="F571" s="159"/>
      <c r="G571" s="159"/>
      <c r="H571" s="159"/>
      <c r="I571" s="159"/>
      <c r="J571" s="224"/>
      <c r="K571" s="159"/>
      <c r="L571" s="159"/>
      <c r="M571" s="159"/>
      <c r="O571" s="159"/>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c r="AR571" s="159"/>
      <c r="AS571" s="159"/>
      <c r="AT571" s="159"/>
      <c r="AU571" s="159"/>
      <c r="AV571" s="159"/>
      <c r="AW571" s="159"/>
      <c r="AX571" s="159"/>
      <c r="AY571" s="159"/>
      <c r="AZ571" s="159"/>
      <c r="BA571" s="159"/>
    </row>
    <row r="572" spans="2:53" ht="17.399999999999999" customHeight="1">
      <c r="B572" s="159"/>
      <c r="C572" s="159"/>
      <c r="D572" s="159"/>
      <c r="E572" s="159"/>
      <c r="F572" s="159"/>
      <c r="G572" s="159"/>
      <c r="H572" s="159"/>
      <c r="I572" s="159"/>
      <c r="J572" s="224"/>
      <c r="K572" s="159"/>
      <c r="L572" s="159"/>
      <c r="M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c r="AR572" s="159"/>
      <c r="AS572" s="159"/>
      <c r="AT572" s="159"/>
      <c r="AU572" s="159"/>
      <c r="AV572" s="159"/>
      <c r="AW572" s="159"/>
      <c r="AX572" s="159"/>
      <c r="AY572" s="159"/>
      <c r="AZ572" s="159"/>
      <c r="BA572" s="159"/>
    </row>
    <row r="573" spans="2:53" ht="17.399999999999999" customHeight="1">
      <c r="B573" s="159"/>
      <c r="C573" s="159"/>
      <c r="D573" s="159"/>
      <c r="E573" s="159"/>
      <c r="F573" s="159"/>
      <c r="G573" s="159"/>
      <c r="H573" s="159"/>
      <c r="I573" s="159"/>
      <c r="J573" s="224"/>
      <c r="K573" s="159"/>
      <c r="L573" s="159"/>
      <c r="M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c r="AR573" s="159"/>
      <c r="AS573" s="159"/>
      <c r="AT573" s="159"/>
      <c r="AU573" s="159"/>
      <c r="AV573" s="159"/>
      <c r="AW573" s="159"/>
      <c r="AX573" s="159"/>
      <c r="AY573" s="159"/>
      <c r="AZ573" s="159"/>
      <c r="BA573" s="159"/>
    </row>
    <row r="574" spans="2:53" ht="17.399999999999999" customHeight="1">
      <c r="B574" s="159"/>
      <c r="C574" s="159"/>
      <c r="D574" s="159"/>
      <c r="E574" s="159"/>
      <c r="F574" s="159"/>
      <c r="G574" s="159"/>
      <c r="H574" s="159"/>
      <c r="I574" s="159"/>
      <c r="J574" s="224"/>
      <c r="K574" s="159"/>
      <c r="L574" s="159"/>
      <c r="M574" s="159"/>
      <c r="O574" s="159"/>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c r="AR574" s="159"/>
      <c r="AS574" s="159"/>
      <c r="AT574" s="159"/>
      <c r="AU574" s="159"/>
      <c r="AV574" s="159"/>
      <c r="AW574" s="159"/>
      <c r="AX574" s="159"/>
      <c r="AY574" s="159"/>
      <c r="AZ574" s="159"/>
      <c r="BA574" s="159"/>
    </row>
    <row r="575" spans="2:53" ht="17.399999999999999" customHeight="1">
      <c r="B575" s="159"/>
      <c r="C575" s="159"/>
      <c r="D575" s="159"/>
      <c r="E575" s="159"/>
      <c r="F575" s="159"/>
      <c r="G575" s="159"/>
      <c r="H575" s="159"/>
      <c r="I575" s="159"/>
      <c r="J575" s="224"/>
      <c r="K575" s="159"/>
      <c r="L575" s="159"/>
      <c r="M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c r="AR575" s="159"/>
      <c r="AS575" s="159"/>
      <c r="AT575" s="159"/>
      <c r="AU575" s="159"/>
      <c r="AV575" s="159"/>
      <c r="AW575" s="159"/>
      <c r="AX575" s="159"/>
      <c r="AY575" s="159"/>
      <c r="AZ575" s="159"/>
      <c r="BA575" s="159"/>
    </row>
    <row r="576" spans="2:53" ht="17.399999999999999" customHeight="1">
      <c r="B576" s="159"/>
      <c r="C576" s="159"/>
      <c r="D576" s="159"/>
      <c r="E576" s="159"/>
      <c r="F576" s="159"/>
      <c r="G576" s="159"/>
      <c r="H576" s="159"/>
      <c r="I576" s="159"/>
      <c r="J576" s="224"/>
      <c r="K576" s="159"/>
      <c r="L576" s="159"/>
      <c r="M576" s="159"/>
      <c r="O576" s="159"/>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c r="AR576" s="159"/>
      <c r="AS576" s="159"/>
      <c r="AT576" s="159"/>
      <c r="AU576" s="159"/>
      <c r="AV576" s="159"/>
      <c r="AW576" s="159"/>
      <c r="AX576" s="159"/>
      <c r="AY576" s="159"/>
      <c r="AZ576" s="159"/>
      <c r="BA576" s="159"/>
    </row>
    <row r="577" spans="2:53" ht="17.399999999999999" customHeight="1">
      <c r="B577" s="159"/>
      <c r="C577" s="159"/>
      <c r="D577" s="159"/>
      <c r="E577" s="159"/>
      <c r="F577" s="159"/>
      <c r="G577" s="159"/>
      <c r="H577" s="159"/>
      <c r="I577" s="159"/>
      <c r="J577" s="224"/>
      <c r="K577" s="159"/>
      <c r="L577" s="159"/>
      <c r="M577" s="159"/>
      <c r="O577" s="159"/>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c r="AR577" s="159"/>
      <c r="AS577" s="159"/>
      <c r="AT577" s="159"/>
      <c r="AU577" s="159"/>
      <c r="AV577" s="159"/>
      <c r="AW577" s="159"/>
      <c r="AX577" s="159"/>
      <c r="AY577" s="159"/>
      <c r="AZ577" s="159"/>
      <c r="BA577" s="159"/>
    </row>
    <row r="578" spans="2:53" ht="17.399999999999999" customHeight="1">
      <c r="B578" s="159"/>
      <c r="C578" s="159"/>
      <c r="D578" s="159"/>
      <c r="E578" s="159"/>
      <c r="F578" s="159"/>
      <c r="G578" s="159"/>
      <c r="H578" s="159"/>
      <c r="I578" s="159"/>
      <c r="J578" s="224"/>
      <c r="K578" s="159"/>
      <c r="L578" s="159"/>
      <c r="M578" s="159"/>
      <c r="O578" s="159"/>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c r="AP578" s="159"/>
      <c r="AQ578" s="159"/>
      <c r="AR578" s="159"/>
      <c r="AS578" s="159"/>
      <c r="AT578" s="159"/>
      <c r="AU578" s="159"/>
      <c r="AV578" s="159"/>
      <c r="AW578" s="159"/>
      <c r="AX578" s="159"/>
      <c r="AY578" s="159"/>
      <c r="AZ578" s="159"/>
      <c r="BA578" s="159"/>
    </row>
    <row r="579" spans="2:53" ht="17.399999999999999" customHeight="1">
      <c r="B579" s="159"/>
      <c r="C579" s="159"/>
      <c r="D579" s="159"/>
      <c r="E579" s="159"/>
      <c r="F579" s="159"/>
      <c r="G579" s="159"/>
      <c r="H579" s="159"/>
      <c r="I579" s="159"/>
      <c r="J579" s="224"/>
      <c r="K579" s="159"/>
      <c r="L579" s="159"/>
      <c r="M579" s="159"/>
      <c r="O579" s="159"/>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c r="AR579" s="159"/>
      <c r="AS579" s="159"/>
      <c r="AT579" s="159"/>
      <c r="AU579" s="159"/>
      <c r="AV579" s="159"/>
      <c r="AW579" s="159"/>
      <c r="AX579" s="159"/>
      <c r="AY579" s="159"/>
      <c r="AZ579" s="159"/>
      <c r="BA579" s="159"/>
    </row>
    <row r="580" spans="2:53" ht="17.399999999999999" customHeight="1">
      <c r="B580" s="159"/>
      <c r="C580" s="159"/>
      <c r="D580" s="159"/>
      <c r="E580" s="159"/>
      <c r="F580" s="159"/>
      <c r="G580" s="159"/>
      <c r="H580" s="159"/>
      <c r="I580" s="159"/>
      <c r="J580" s="224"/>
      <c r="K580" s="159"/>
      <c r="L580" s="159"/>
      <c r="M580" s="159"/>
      <c r="O580" s="159"/>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c r="AR580" s="159"/>
      <c r="AS580" s="159"/>
      <c r="AT580" s="159"/>
      <c r="AU580" s="159"/>
      <c r="AV580" s="159"/>
      <c r="AW580" s="159"/>
      <c r="AX580" s="159"/>
      <c r="AY580" s="159"/>
      <c r="AZ580" s="159"/>
      <c r="BA580" s="159"/>
    </row>
    <row r="581" spans="2:53" ht="17.399999999999999" customHeight="1">
      <c r="B581" s="159"/>
      <c r="C581" s="159"/>
      <c r="D581" s="159"/>
      <c r="E581" s="159"/>
      <c r="F581" s="159"/>
      <c r="G581" s="159"/>
      <c r="H581" s="159"/>
      <c r="I581" s="159"/>
      <c r="J581" s="224"/>
      <c r="K581" s="159"/>
      <c r="L581" s="159"/>
      <c r="M581" s="159"/>
      <c r="O581" s="159"/>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c r="AR581" s="159"/>
      <c r="AS581" s="159"/>
      <c r="AT581" s="159"/>
      <c r="AU581" s="159"/>
      <c r="AV581" s="159"/>
      <c r="AW581" s="159"/>
      <c r="AX581" s="159"/>
      <c r="AY581" s="159"/>
      <c r="AZ581" s="159"/>
      <c r="BA581" s="159"/>
    </row>
    <row r="582" spans="2:53" ht="17.399999999999999" customHeight="1">
      <c r="B582" s="159"/>
      <c r="C582" s="159"/>
      <c r="D582" s="159"/>
      <c r="E582" s="159"/>
      <c r="F582" s="159"/>
      <c r="G582" s="159"/>
      <c r="H582" s="159"/>
      <c r="I582" s="159"/>
      <c r="J582" s="224"/>
      <c r="K582" s="159"/>
      <c r="L582" s="159"/>
      <c r="M582" s="159"/>
      <c r="O582" s="159"/>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c r="AR582" s="159"/>
      <c r="AS582" s="159"/>
      <c r="AT582" s="159"/>
      <c r="AU582" s="159"/>
      <c r="AV582" s="159"/>
      <c r="AW582" s="159"/>
      <c r="AX582" s="159"/>
      <c r="AY582" s="159"/>
      <c r="AZ582" s="159"/>
      <c r="BA582" s="159"/>
    </row>
    <row r="583" spans="2:53" ht="17.399999999999999" customHeight="1">
      <c r="B583" s="159"/>
      <c r="C583" s="159"/>
      <c r="D583" s="159"/>
      <c r="E583" s="159"/>
      <c r="F583" s="159"/>
      <c r="G583" s="159"/>
      <c r="H583" s="159"/>
      <c r="I583" s="159"/>
      <c r="J583" s="224"/>
      <c r="K583" s="159"/>
      <c r="L583" s="159"/>
      <c r="M583" s="159"/>
      <c r="O583" s="159"/>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c r="AR583" s="159"/>
      <c r="AS583" s="159"/>
      <c r="AT583" s="159"/>
      <c r="AU583" s="159"/>
      <c r="AV583" s="159"/>
      <c r="AW583" s="159"/>
      <c r="AX583" s="159"/>
      <c r="AY583" s="159"/>
      <c r="AZ583" s="159"/>
      <c r="BA583" s="159"/>
    </row>
    <row r="584" spans="2:53" ht="17.399999999999999" customHeight="1">
      <c r="B584" s="159"/>
      <c r="C584" s="159"/>
      <c r="D584" s="159"/>
      <c r="E584" s="159"/>
      <c r="F584" s="159"/>
      <c r="G584" s="159"/>
      <c r="H584" s="159"/>
      <c r="I584" s="159"/>
      <c r="J584" s="224"/>
      <c r="K584" s="159"/>
      <c r="L584" s="159"/>
      <c r="M584" s="159"/>
      <c r="O584" s="159"/>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c r="AP584" s="159"/>
      <c r="AQ584" s="159"/>
      <c r="AR584" s="159"/>
      <c r="AS584" s="159"/>
      <c r="AT584" s="159"/>
      <c r="AU584" s="159"/>
      <c r="AV584" s="159"/>
      <c r="AW584" s="159"/>
      <c r="AX584" s="159"/>
      <c r="AY584" s="159"/>
      <c r="AZ584" s="159"/>
      <c r="BA584" s="159"/>
    </row>
    <row r="585" spans="2:53" ht="17.399999999999999" customHeight="1">
      <c r="B585" s="159"/>
      <c r="C585" s="159"/>
      <c r="D585" s="159"/>
      <c r="E585" s="159"/>
      <c r="F585" s="159"/>
      <c r="G585" s="159"/>
      <c r="H585" s="159"/>
      <c r="I585" s="159"/>
      <c r="J585" s="224"/>
      <c r="K585" s="159"/>
      <c r="L585" s="159"/>
      <c r="M585" s="159"/>
      <c r="O585" s="159"/>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c r="AR585" s="159"/>
      <c r="AS585" s="159"/>
      <c r="AT585" s="159"/>
      <c r="AU585" s="159"/>
      <c r="AV585" s="159"/>
      <c r="AW585" s="159"/>
      <c r="AX585" s="159"/>
      <c r="AY585" s="159"/>
      <c r="AZ585" s="159"/>
      <c r="BA585" s="159"/>
    </row>
    <row r="586" spans="2:53" ht="17.399999999999999" customHeight="1">
      <c r="B586" s="159"/>
      <c r="C586" s="159"/>
      <c r="D586" s="159"/>
      <c r="E586" s="159"/>
      <c r="F586" s="159"/>
      <c r="G586" s="159"/>
      <c r="H586" s="159"/>
      <c r="I586" s="159"/>
      <c r="J586" s="224"/>
      <c r="K586" s="159"/>
      <c r="L586" s="159"/>
      <c r="M586" s="159"/>
      <c r="O586" s="159"/>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c r="AR586" s="159"/>
      <c r="AS586" s="159"/>
      <c r="AT586" s="159"/>
      <c r="AU586" s="159"/>
      <c r="AV586" s="159"/>
      <c r="AW586" s="159"/>
      <c r="AX586" s="159"/>
      <c r="AY586" s="159"/>
      <c r="AZ586" s="159"/>
      <c r="BA586" s="159"/>
    </row>
    <row r="587" spans="2:53" ht="17.399999999999999" customHeight="1">
      <c r="B587" s="159"/>
      <c r="C587" s="159"/>
      <c r="D587" s="159"/>
      <c r="E587" s="159"/>
      <c r="F587" s="159"/>
      <c r="G587" s="159"/>
      <c r="H587" s="159"/>
      <c r="I587" s="159"/>
      <c r="J587" s="224"/>
      <c r="K587" s="159"/>
      <c r="L587" s="159"/>
      <c r="M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c r="AR587" s="159"/>
      <c r="AS587" s="159"/>
      <c r="AT587" s="159"/>
      <c r="AU587" s="159"/>
      <c r="AV587" s="159"/>
      <c r="AW587" s="159"/>
      <c r="AX587" s="159"/>
      <c r="AY587" s="159"/>
      <c r="AZ587" s="159"/>
      <c r="BA587" s="159"/>
    </row>
    <row r="588" spans="2:53" ht="17.399999999999999" customHeight="1">
      <c r="B588" s="159"/>
      <c r="C588" s="159"/>
      <c r="D588" s="159"/>
      <c r="E588" s="159"/>
      <c r="F588" s="159"/>
      <c r="G588" s="159"/>
      <c r="H588" s="159"/>
      <c r="I588" s="159"/>
      <c r="J588" s="224"/>
      <c r="K588" s="159"/>
      <c r="L588" s="159"/>
      <c r="M588" s="159"/>
      <c r="O588" s="159"/>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c r="AT588" s="159"/>
      <c r="AU588" s="159"/>
      <c r="AV588" s="159"/>
      <c r="AW588" s="159"/>
      <c r="AX588" s="159"/>
      <c r="AY588" s="159"/>
      <c r="AZ588" s="159"/>
      <c r="BA588" s="159"/>
    </row>
    <row r="589" spans="2:53" ht="17.399999999999999" customHeight="1">
      <c r="B589" s="159"/>
      <c r="C589" s="159"/>
      <c r="D589" s="159"/>
      <c r="E589" s="159"/>
      <c r="F589" s="159"/>
      <c r="G589" s="159"/>
      <c r="H589" s="159"/>
      <c r="I589" s="159"/>
      <c r="J589" s="224"/>
      <c r="K589" s="159"/>
      <c r="L589" s="159"/>
      <c r="M589" s="159"/>
      <c r="O589" s="159"/>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c r="AR589" s="159"/>
      <c r="AS589" s="159"/>
      <c r="AT589" s="159"/>
      <c r="AU589" s="159"/>
      <c r="AV589" s="159"/>
      <c r="AW589" s="159"/>
      <c r="AX589" s="159"/>
      <c r="AY589" s="159"/>
      <c r="AZ589" s="159"/>
      <c r="BA589" s="159"/>
    </row>
    <row r="590" spans="2:53" ht="17.399999999999999" customHeight="1">
      <c r="B590" s="159"/>
      <c r="C590" s="159"/>
      <c r="D590" s="159"/>
      <c r="E590" s="159"/>
      <c r="F590" s="159"/>
      <c r="G590" s="159"/>
      <c r="H590" s="159"/>
      <c r="I590" s="159"/>
      <c r="J590" s="224"/>
      <c r="K590" s="159"/>
      <c r="L590" s="159"/>
      <c r="M590" s="159"/>
      <c r="O590" s="159"/>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c r="AT590" s="159"/>
      <c r="AU590" s="159"/>
      <c r="AV590" s="159"/>
      <c r="AW590" s="159"/>
      <c r="AX590" s="159"/>
      <c r="AY590" s="159"/>
      <c r="AZ590" s="159"/>
      <c r="BA590" s="159"/>
    </row>
    <row r="591" spans="2:53" ht="17.399999999999999" customHeight="1">
      <c r="B591" s="159"/>
      <c r="C591" s="159"/>
      <c r="D591" s="159"/>
      <c r="E591" s="159"/>
      <c r="F591" s="159"/>
      <c r="G591" s="159"/>
      <c r="H591" s="159"/>
      <c r="I591" s="159"/>
      <c r="J591" s="224"/>
      <c r="K591" s="159"/>
      <c r="L591" s="159"/>
      <c r="M591" s="159"/>
      <c r="O591" s="159"/>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c r="AP591" s="159"/>
      <c r="AQ591" s="159"/>
      <c r="AR591" s="159"/>
      <c r="AS591" s="159"/>
      <c r="AT591" s="159"/>
      <c r="AU591" s="159"/>
      <c r="AV591" s="159"/>
      <c r="AW591" s="159"/>
      <c r="AX591" s="159"/>
      <c r="AY591" s="159"/>
      <c r="AZ591" s="159"/>
      <c r="BA591" s="159"/>
    </row>
    <row r="592" spans="2:53" ht="17.399999999999999" customHeight="1">
      <c r="B592" s="159"/>
      <c r="C592" s="159"/>
      <c r="D592" s="159"/>
      <c r="E592" s="159"/>
      <c r="F592" s="159"/>
      <c r="G592" s="159"/>
      <c r="H592" s="159"/>
      <c r="I592" s="159"/>
      <c r="J592" s="224"/>
      <c r="K592" s="159"/>
      <c r="L592" s="159"/>
      <c r="M592" s="159"/>
      <c r="O592" s="159"/>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c r="AP592" s="159"/>
      <c r="AQ592" s="159"/>
      <c r="AR592" s="159"/>
      <c r="AS592" s="159"/>
      <c r="AT592" s="159"/>
      <c r="AU592" s="159"/>
      <c r="AV592" s="159"/>
      <c r="AW592" s="159"/>
      <c r="AX592" s="159"/>
      <c r="AY592" s="159"/>
      <c r="AZ592" s="159"/>
      <c r="BA592" s="159"/>
    </row>
    <row r="593" spans="2:53" ht="17.399999999999999" customHeight="1">
      <c r="B593" s="159"/>
      <c r="C593" s="159"/>
      <c r="D593" s="159"/>
      <c r="E593" s="159"/>
      <c r="F593" s="159"/>
      <c r="G593" s="159"/>
      <c r="H593" s="159"/>
      <c r="I593" s="159"/>
      <c r="J593" s="224"/>
      <c r="K593" s="159"/>
      <c r="L593" s="159"/>
      <c r="M593" s="159"/>
      <c r="O593" s="159"/>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c r="AP593" s="159"/>
      <c r="AQ593" s="159"/>
      <c r="AR593" s="159"/>
      <c r="AS593" s="159"/>
      <c r="AT593" s="159"/>
      <c r="AU593" s="159"/>
      <c r="AV593" s="159"/>
      <c r="AW593" s="159"/>
      <c r="AX593" s="159"/>
      <c r="AY593" s="159"/>
      <c r="AZ593" s="159"/>
      <c r="BA593" s="159"/>
    </row>
    <row r="594" spans="2:53" ht="17.399999999999999" customHeight="1">
      <c r="B594" s="159"/>
      <c r="C594" s="159"/>
      <c r="D594" s="159"/>
      <c r="E594" s="159"/>
      <c r="F594" s="159"/>
      <c r="G594" s="159"/>
      <c r="H594" s="159"/>
      <c r="I594" s="159"/>
      <c r="J594" s="224"/>
      <c r="K594" s="159"/>
      <c r="L594" s="159"/>
      <c r="M594" s="159"/>
      <c r="O594" s="159"/>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c r="AR594" s="159"/>
      <c r="AS594" s="159"/>
      <c r="AT594" s="159"/>
      <c r="AU594" s="159"/>
      <c r="AV594" s="159"/>
      <c r="AW594" s="159"/>
      <c r="AX594" s="159"/>
      <c r="AY594" s="159"/>
      <c r="AZ594" s="159"/>
      <c r="BA594" s="159"/>
    </row>
    <row r="595" spans="2:53" ht="17.399999999999999" customHeight="1">
      <c r="B595" s="159"/>
      <c r="C595" s="159"/>
      <c r="D595" s="159"/>
      <c r="E595" s="159"/>
      <c r="F595" s="159"/>
      <c r="G595" s="159"/>
      <c r="H595" s="159"/>
      <c r="I595" s="159"/>
      <c r="J595" s="224"/>
      <c r="K595" s="159"/>
      <c r="L595" s="159"/>
      <c r="M595" s="159"/>
      <c r="O595" s="159"/>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c r="AP595" s="159"/>
      <c r="AQ595" s="159"/>
      <c r="AR595" s="159"/>
      <c r="AS595" s="159"/>
      <c r="AT595" s="159"/>
      <c r="AU595" s="159"/>
      <c r="AV595" s="159"/>
      <c r="AW595" s="159"/>
      <c r="AX595" s="159"/>
      <c r="AY595" s="159"/>
      <c r="AZ595" s="159"/>
      <c r="BA595" s="159"/>
    </row>
    <row r="596" spans="2:53" ht="17.399999999999999" customHeight="1">
      <c r="B596" s="159"/>
      <c r="C596" s="159"/>
      <c r="D596" s="159"/>
      <c r="E596" s="159"/>
      <c r="F596" s="159"/>
      <c r="G596" s="159"/>
      <c r="H596" s="159"/>
      <c r="I596" s="159"/>
      <c r="J596" s="224"/>
      <c r="K596" s="159"/>
      <c r="L596" s="159"/>
      <c r="M596" s="159"/>
      <c r="O596" s="159"/>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c r="AP596" s="159"/>
      <c r="AQ596" s="159"/>
      <c r="AR596" s="159"/>
      <c r="AS596" s="159"/>
      <c r="AT596" s="159"/>
      <c r="AU596" s="159"/>
      <c r="AV596" s="159"/>
      <c r="AW596" s="159"/>
      <c r="AX596" s="159"/>
      <c r="AY596" s="159"/>
      <c r="AZ596" s="159"/>
      <c r="BA596" s="159"/>
    </row>
    <row r="597" spans="2:53" ht="17.399999999999999" customHeight="1">
      <c r="B597" s="159"/>
      <c r="C597" s="159"/>
      <c r="D597" s="159"/>
      <c r="E597" s="159"/>
      <c r="F597" s="159"/>
      <c r="G597" s="159"/>
      <c r="H597" s="159"/>
      <c r="I597" s="159"/>
      <c r="J597" s="224"/>
      <c r="K597" s="159"/>
      <c r="L597" s="159"/>
      <c r="M597" s="159"/>
      <c r="O597" s="159"/>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c r="AP597" s="159"/>
      <c r="AQ597" s="159"/>
      <c r="AR597" s="159"/>
      <c r="AS597" s="159"/>
      <c r="AT597" s="159"/>
      <c r="AU597" s="159"/>
      <c r="AV597" s="159"/>
      <c r="AW597" s="159"/>
      <c r="AX597" s="159"/>
      <c r="AY597" s="159"/>
      <c r="AZ597" s="159"/>
      <c r="BA597" s="159"/>
    </row>
    <row r="598" spans="2:53" ht="17.399999999999999" customHeight="1">
      <c r="B598" s="159"/>
      <c r="C598" s="159"/>
      <c r="D598" s="159"/>
      <c r="E598" s="159"/>
      <c r="F598" s="159"/>
      <c r="G598" s="159"/>
      <c r="H598" s="159"/>
      <c r="I598" s="159"/>
      <c r="J598" s="224"/>
      <c r="K598" s="159"/>
      <c r="L598" s="159"/>
      <c r="M598" s="159"/>
      <c r="O598" s="159"/>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c r="AQ598" s="159"/>
      <c r="AR598" s="159"/>
      <c r="AS598" s="159"/>
      <c r="AT598" s="159"/>
      <c r="AU598" s="159"/>
      <c r="AV598" s="159"/>
      <c r="AW598" s="159"/>
      <c r="AX598" s="159"/>
      <c r="AY598" s="159"/>
      <c r="AZ598" s="159"/>
      <c r="BA598" s="159"/>
    </row>
    <row r="599" spans="2:53" ht="17.399999999999999" customHeight="1">
      <c r="B599" s="159"/>
      <c r="C599" s="159"/>
      <c r="D599" s="159"/>
      <c r="E599" s="159"/>
      <c r="F599" s="159"/>
      <c r="G599" s="159"/>
      <c r="H599" s="159"/>
      <c r="I599" s="159"/>
      <c r="J599" s="224"/>
      <c r="K599" s="159"/>
      <c r="L599" s="159"/>
      <c r="M599" s="159"/>
      <c r="O599" s="159"/>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c r="AP599" s="159"/>
      <c r="AQ599" s="159"/>
      <c r="AR599" s="159"/>
      <c r="AS599" s="159"/>
      <c r="AT599" s="159"/>
      <c r="AU599" s="159"/>
      <c r="AV599" s="159"/>
      <c r="AW599" s="159"/>
      <c r="AX599" s="159"/>
      <c r="AY599" s="159"/>
      <c r="AZ599" s="159"/>
      <c r="BA599" s="159"/>
    </row>
    <row r="600" spans="2:53" ht="17.399999999999999" customHeight="1">
      <c r="B600" s="159"/>
      <c r="C600" s="159"/>
      <c r="D600" s="159"/>
      <c r="E600" s="159"/>
      <c r="F600" s="159"/>
      <c r="G600" s="159"/>
      <c r="H600" s="159"/>
      <c r="I600" s="159"/>
      <c r="J600" s="224"/>
      <c r="K600" s="159"/>
      <c r="L600" s="159"/>
      <c r="M600" s="159"/>
      <c r="O600" s="159"/>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c r="AP600" s="159"/>
      <c r="AQ600" s="159"/>
      <c r="AR600" s="159"/>
      <c r="AS600" s="159"/>
      <c r="AT600" s="159"/>
      <c r="AU600" s="159"/>
      <c r="AV600" s="159"/>
      <c r="AW600" s="159"/>
      <c r="AX600" s="159"/>
      <c r="AY600" s="159"/>
      <c r="AZ600" s="159"/>
      <c r="BA600" s="159"/>
    </row>
    <row r="601" spans="2:53" ht="17.399999999999999" customHeight="1">
      <c r="B601" s="159"/>
      <c r="C601" s="159"/>
      <c r="D601" s="159"/>
      <c r="E601" s="159"/>
      <c r="F601" s="159"/>
      <c r="G601" s="159"/>
      <c r="H601" s="159"/>
      <c r="I601" s="159"/>
      <c r="J601" s="224"/>
      <c r="K601" s="159"/>
      <c r="L601" s="159"/>
      <c r="M601" s="159"/>
      <c r="O601" s="159"/>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c r="AP601" s="159"/>
      <c r="AQ601" s="159"/>
      <c r="AR601" s="159"/>
      <c r="AS601" s="159"/>
      <c r="AT601" s="159"/>
      <c r="AU601" s="159"/>
      <c r="AV601" s="159"/>
      <c r="AW601" s="159"/>
      <c r="AX601" s="159"/>
      <c r="AY601" s="159"/>
      <c r="AZ601" s="159"/>
      <c r="BA601" s="159"/>
    </row>
    <row r="602" spans="2:53" ht="17.399999999999999" customHeight="1">
      <c r="B602" s="159"/>
      <c r="C602" s="159"/>
      <c r="D602" s="159"/>
      <c r="E602" s="159"/>
      <c r="F602" s="159"/>
      <c r="G602" s="159"/>
      <c r="H602" s="159"/>
      <c r="I602" s="159"/>
      <c r="J602" s="224"/>
      <c r="K602" s="159"/>
      <c r="L602" s="159"/>
      <c r="M602" s="159"/>
      <c r="O602" s="159"/>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c r="AP602" s="159"/>
      <c r="AQ602" s="159"/>
      <c r="AR602" s="159"/>
      <c r="AS602" s="159"/>
      <c r="AT602" s="159"/>
      <c r="AU602" s="159"/>
      <c r="AV602" s="159"/>
      <c r="AW602" s="159"/>
      <c r="AX602" s="159"/>
      <c r="AY602" s="159"/>
      <c r="AZ602" s="159"/>
      <c r="BA602" s="159"/>
    </row>
    <row r="603" spans="2:53" ht="17.399999999999999" customHeight="1">
      <c r="B603" s="159"/>
      <c r="C603" s="159"/>
      <c r="D603" s="159"/>
      <c r="E603" s="159"/>
      <c r="F603" s="159"/>
      <c r="G603" s="159"/>
      <c r="H603" s="159"/>
      <c r="I603" s="159"/>
      <c r="J603" s="224"/>
      <c r="K603" s="159"/>
      <c r="L603" s="159"/>
      <c r="M603" s="159"/>
      <c r="O603" s="159"/>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c r="AP603" s="159"/>
      <c r="AQ603" s="159"/>
      <c r="AR603" s="159"/>
      <c r="AS603" s="159"/>
      <c r="AT603" s="159"/>
      <c r="AU603" s="159"/>
      <c r="AV603" s="159"/>
      <c r="AW603" s="159"/>
      <c r="AX603" s="159"/>
      <c r="AY603" s="159"/>
      <c r="AZ603" s="159"/>
      <c r="BA603" s="159"/>
    </row>
    <row r="604" spans="2:53" ht="17.399999999999999" customHeight="1">
      <c r="B604" s="159"/>
      <c r="C604" s="159"/>
      <c r="D604" s="159"/>
      <c r="E604" s="159"/>
      <c r="F604" s="159"/>
      <c r="G604" s="159"/>
      <c r="H604" s="159"/>
      <c r="I604" s="159"/>
      <c r="J604" s="224"/>
      <c r="K604" s="159"/>
      <c r="L604" s="159"/>
      <c r="M604" s="159"/>
      <c r="O604" s="159"/>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c r="AP604" s="159"/>
      <c r="AQ604" s="159"/>
      <c r="AR604" s="159"/>
      <c r="AS604" s="159"/>
      <c r="AT604" s="159"/>
      <c r="AU604" s="159"/>
      <c r="AV604" s="159"/>
      <c r="AW604" s="159"/>
      <c r="AX604" s="159"/>
      <c r="AY604" s="159"/>
      <c r="AZ604" s="159"/>
      <c r="BA604" s="159"/>
    </row>
    <row r="605" spans="2:53" ht="17.399999999999999" customHeight="1">
      <c r="B605" s="159"/>
      <c r="C605" s="159"/>
      <c r="D605" s="159"/>
      <c r="E605" s="159"/>
      <c r="F605" s="159"/>
      <c r="G605" s="159"/>
      <c r="H605" s="159"/>
      <c r="I605" s="159"/>
      <c r="J605" s="224"/>
      <c r="K605" s="159"/>
      <c r="L605" s="159"/>
      <c r="M605" s="159"/>
      <c r="O605" s="159"/>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c r="AP605" s="159"/>
      <c r="AQ605" s="159"/>
      <c r="AR605" s="159"/>
      <c r="AS605" s="159"/>
      <c r="AT605" s="159"/>
      <c r="AU605" s="159"/>
      <c r="AV605" s="159"/>
      <c r="AW605" s="159"/>
      <c r="AX605" s="159"/>
      <c r="AY605" s="159"/>
      <c r="AZ605" s="159"/>
      <c r="BA605" s="159"/>
    </row>
    <row r="606" spans="2:53" ht="17.399999999999999" customHeight="1">
      <c r="B606" s="159"/>
      <c r="C606" s="159"/>
      <c r="D606" s="159"/>
      <c r="E606" s="159"/>
      <c r="F606" s="159"/>
      <c r="G606" s="159"/>
      <c r="H606" s="159"/>
      <c r="I606" s="159"/>
      <c r="J606" s="224"/>
      <c r="K606" s="159"/>
      <c r="L606" s="159"/>
      <c r="M606" s="159"/>
      <c r="O606" s="159"/>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c r="AP606" s="159"/>
      <c r="AQ606" s="159"/>
      <c r="AR606" s="159"/>
      <c r="AS606" s="159"/>
      <c r="AT606" s="159"/>
      <c r="AU606" s="159"/>
      <c r="AV606" s="159"/>
      <c r="AW606" s="159"/>
      <c r="AX606" s="159"/>
      <c r="AY606" s="159"/>
      <c r="AZ606" s="159"/>
      <c r="BA606" s="159"/>
    </row>
    <row r="607" spans="2:53" ht="17.399999999999999" customHeight="1">
      <c r="B607" s="159"/>
      <c r="C607" s="159"/>
      <c r="D607" s="159"/>
      <c r="E607" s="159"/>
      <c r="F607" s="159"/>
      <c r="G607" s="159"/>
      <c r="H607" s="159"/>
      <c r="I607" s="159"/>
      <c r="J607" s="224"/>
      <c r="K607" s="159"/>
      <c r="L607" s="159"/>
      <c r="M607" s="159"/>
      <c r="O607" s="159"/>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c r="AN607" s="159"/>
      <c r="AO607" s="159"/>
      <c r="AP607" s="159"/>
      <c r="AQ607" s="159"/>
      <c r="AR607" s="159"/>
      <c r="AS607" s="159"/>
      <c r="AT607" s="159"/>
      <c r="AU607" s="159"/>
      <c r="AV607" s="159"/>
      <c r="AW607" s="159"/>
      <c r="AX607" s="159"/>
      <c r="AY607" s="159"/>
      <c r="AZ607" s="159"/>
      <c r="BA607" s="159"/>
    </row>
    <row r="608" spans="2:53" ht="17.399999999999999" customHeight="1">
      <c r="B608" s="159"/>
      <c r="C608" s="159"/>
      <c r="D608" s="159"/>
      <c r="E608" s="159"/>
      <c r="F608" s="159"/>
      <c r="G608" s="159"/>
      <c r="H608" s="159"/>
      <c r="I608" s="159"/>
      <c r="J608" s="224"/>
      <c r="K608" s="159"/>
      <c r="L608" s="159"/>
      <c r="M608" s="159"/>
      <c r="O608" s="159"/>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c r="AN608" s="159"/>
      <c r="AO608" s="159"/>
      <c r="AP608" s="159"/>
      <c r="AQ608" s="159"/>
      <c r="AR608" s="159"/>
      <c r="AS608" s="159"/>
      <c r="AT608" s="159"/>
      <c r="AU608" s="159"/>
      <c r="AV608" s="159"/>
      <c r="AW608" s="159"/>
      <c r="AX608" s="159"/>
      <c r="AY608" s="159"/>
      <c r="AZ608" s="159"/>
      <c r="BA608" s="159"/>
    </row>
    <row r="609" spans="2:53" ht="17.399999999999999" customHeight="1">
      <c r="B609" s="159"/>
      <c r="C609" s="159"/>
      <c r="D609" s="159"/>
      <c r="E609" s="159"/>
      <c r="F609" s="159"/>
      <c r="G609" s="159"/>
      <c r="H609" s="159"/>
      <c r="I609" s="159"/>
      <c r="J609" s="224"/>
      <c r="K609" s="159"/>
      <c r="L609" s="159"/>
      <c r="M609" s="159"/>
      <c r="O609" s="159"/>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c r="AN609" s="159"/>
      <c r="AO609" s="159"/>
      <c r="AP609" s="159"/>
      <c r="AQ609" s="159"/>
      <c r="AR609" s="159"/>
      <c r="AS609" s="159"/>
      <c r="AT609" s="159"/>
      <c r="AU609" s="159"/>
      <c r="AV609" s="159"/>
      <c r="AW609" s="159"/>
      <c r="AX609" s="159"/>
      <c r="AY609" s="159"/>
      <c r="AZ609" s="159"/>
      <c r="BA609" s="159"/>
    </row>
    <row r="610" spans="2:53" ht="17.399999999999999" customHeight="1">
      <c r="B610" s="159"/>
      <c r="C610" s="159"/>
      <c r="D610" s="159"/>
      <c r="E610" s="159"/>
      <c r="F610" s="159"/>
      <c r="G610" s="159"/>
      <c r="H610" s="159"/>
      <c r="I610" s="159"/>
      <c r="J610" s="224"/>
      <c r="K610" s="159"/>
      <c r="L610" s="159"/>
      <c r="M610" s="159"/>
      <c r="O610" s="159"/>
      <c r="P610" s="159"/>
      <c r="Q610" s="159"/>
      <c r="R610" s="159"/>
      <c r="S610" s="159"/>
      <c r="T610" s="159"/>
      <c r="U610" s="159"/>
      <c r="V610" s="159"/>
      <c r="W610" s="159"/>
      <c r="X610" s="159"/>
      <c r="Y610" s="159"/>
      <c r="Z610" s="159"/>
      <c r="AA610" s="159"/>
      <c r="AB610" s="159"/>
      <c r="AC610" s="159"/>
      <c r="AD610" s="159"/>
      <c r="AE610" s="159"/>
      <c r="AF610" s="159"/>
      <c r="AG610" s="159"/>
      <c r="AH610" s="159"/>
      <c r="AI610" s="159"/>
      <c r="AJ610" s="159"/>
      <c r="AK610" s="159"/>
      <c r="AL610" s="159"/>
      <c r="AM610" s="159"/>
      <c r="AN610" s="159"/>
      <c r="AO610" s="159"/>
      <c r="AP610" s="159"/>
      <c r="AQ610" s="159"/>
      <c r="AR610" s="159"/>
      <c r="AS610" s="159"/>
      <c r="AT610" s="159"/>
      <c r="AU610" s="159"/>
      <c r="AV610" s="159"/>
      <c r="AW610" s="159"/>
      <c r="AX610" s="159"/>
      <c r="AY610" s="159"/>
      <c r="AZ610" s="159"/>
      <c r="BA610" s="159"/>
    </row>
    <row r="611" spans="2:53" ht="17.399999999999999" customHeight="1">
      <c r="B611" s="159"/>
      <c r="C611" s="159"/>
      <c r="D611" s="159"/>
      <c r="E611" s="159"/>
      <c r="F611" s="159"/>
      <c r="G611" s="159"/>
      <c r="H611" s="159"/>
      <c r="I611" s="159"/>
      <c r="J611" s="224"/>
      <c r="K611" s="159"/>
      <c r="L611" s="159"/>
      <c r="M611" s="159"/>
      <c r="O611" s="159"/>
      <c r="P611" s="159"/>
      <c r="Q611" s="159"/>
      <c r="R611" s="159"/>
      <c r="S611" s="159"/>
      <c r="T611" s="159"/>
      <c r="U611" s="159"/>
      <c r="V611" s="159"/>
      <c r="W611" s="159"/>
      <c r="X611" s="159"/>
      <c r="Y611" s="159"/>
      <c r="Z611" s="159"/>
      <c r="AA611" s="159"/>
      <c r="AB611" s="159"/>
      <c r="AC611" s="159"/>
      <c r="AD611" s="159"/>
      <c r="AE611" s="159"/>
      <c r="AF611" s="159"/>
      <c r="AG611" s="159"/>
      <c r="AH611" s="159"/>
      <c r="AI611" s="159"/>
      <c r="AJ611" s="159"/>
      <c r="AK611" s="159"/>
      <c r="AL611" s="159"/>
      <c r="AM611" s="159"/>
      <c r="AN611" s="159"/>
      <c r="AO611" s="159"/>
      <c r="AP611" s="159"/>
      <c r="AQ611" s="159"/>
      <c r="AR611" s="159"/>
      <c r="AS611" s="159"/>
      <c r="AT611" s="159"/>
      <c r="AU611" s="159"/>
      <c r="AV611" s="159"/>
      <c r="AW611" s="159"/>
      <c r="AX611" s="159"/>
      <c r="AY611" s="159"/>
      <c r="AZ611" s="159"/>
      <c r="BA611" s="159"/>
    </row>
    <row r="612" spans="2:53" ht="17.399999999999999" customHeight="1">
      <c r="B612" s="159"/>
      <c r="C612" s="159"/>
      <c r="D612" s="159"/>
      <c r="E612" s="159"/>
      <c r="F612" s="159"/>
      <c r="G612" s="159"/>
      <c r="H612" s="159"/>
      <c r="I612" s="159"/>
      <c r="J612" s="224"/>
      <c r="K612" s="159"/>
      <c r="L612" s="159"/>
      <c r="M612" s="159"/>
      <c r="O612" s="159"/>
      <c r="P612" s="159"/>
      <c r="Q612" s="159"/>
      <c r="R612" s="159"/>
      <c r="S612" s="159"/>
      <c r="T612" s="159"/>
      <c r="U612" s="159"/>
      <c r="V612" s="159"/>
      <c r="W612" s="159"/>
      <c r="X612" s="159"/>
      <c r="Y612" s="159"/>
      <c r="Z612" s="159"/>
      <c r="AA612" s="159"/>
      <c r="AB612" s="159"/>
      <c r="AC612" s="159"/>
      <c r="AD612" s="159"/>
      <c r="AE612" s="159"/>
      <c r="AF612" s="159"/>
      <c r="AG612" s="159"/>
      <c r="AH612" s="159"/>
      <c r="AI612" s="159"/>
      <c r="AJ612" s="159"/>
      <c r="AK612" s="159"/>
      <c r="AL612" s="159"/>
      <c r="AM612" s="159"/>
      <c r="AN612" s="159"/>
      <c r="AO612" s="159"/>
      <c r="AP612" s="159"/>
      <c r="AQ612" s="159"/>
      <c r="AR612" s="159"/>
      <c r="AS612" s="159"/>
      <c r="AT612" s="159"/>
      <c r="AU612" s="159"/>
      <c r="AV612" s="159"/>
      <c r="AW612" s="159"/>
      <c r="AX612" s="159"/>
      <c r="AY612" s="159"/>
      <c r="AZ612" s="159"/>
      <c r="BA612" s="159"/>
    </row>
    <row r="613" spans="2:53" ht="17.399999999999999" customHeight="1">
      <c r="B613" s="159"/>
      <c r="C613" s="159"/>
      <c r="D613" s="159"/>
      <c r="E613" s="159"/>
      <c r="F613" s="159"/>
      <c r="G613" s="159"/>
      <c r="H613" s="159"/>
      <c r="I613" s="159"/>
      <c r="J613" s="224"/>
      <c r="K613" s="159"/>
      <c r="L613" s="159"/>
      <c r="M613" s="159"/>
      <c r="O613" s="159"/>
      <c r="P613" s="159"/>
      <c r="Q613" s="159"/>
      <c r="R613" s="159"/>
      <c r="S613" s="159"/>
      <c r="T613" s="159"/>
      <c r="U613" s="159"/>
      <c r="V613" s="159"/>
      <c r="W613" s="159"/>
      <c r="X613" s="159"/>
      <c r="Y613" s="159"/>
      <c r="Z613" s="159"/>
      <c r="AA613" s="159"/>
      <c r="AB613" s="159"/>
      <c r="AC613" s="159"/>
      <c r="AD613" s="159"/>
      <c r="AE613" s="159"/>
      <c r="AF613" s="159"/>
      <c r="AG613" s="159"/>
      <c r="AH613" s="159"/>
      <c r="AI613" s="159"/>
      <c r="AJ613" s="159"/>
      <c r="AK613" s="159"/>
      <c r="AL613" s="159"/>
      <c r="AM613" s="159"/>
      <c r="AN613" s="159"/>
      <c r="AO613" s="159"/>
      <c r="AP613" s="159"/>
      <c r="AQ613" s="159"/>
      <c r="AR613" s="159"/>
      <c r="AS613" s="159"/>
      <c r="AT613" s="159"/>
      <c r="AU613" s="159"/>
      <c r="AV613" s="159"/>
      <c r="AW613" s="159"/>
      <c r="AX613" s="159"/>
      <c r="AY613" s="159"/>
      <c r="AZ613" s="159"/>
      <c r="BA613" s="159"/>
    </row>
    <row r="614" spans="2:53" ht="17.399999999999999" customHeight="1">
      <c r="B614" s="159"/>
      <c r="C614" s="159"/>
      <c r="D614" s="159"/>
      <c r="E614" s="159"/>
      <c r="F614" s="159"/>
      <c r="G614" s="159"/>
      <c r="H614" s="159"/>
      <c r="I614" s="159"/>
      <c r="J614" s="224"/>
      <c r="K614" s="159"/>
      <c r="L614" s="159"/>
      <c r="M614" s="159"/>
      <c r="O614" s="159"/>
      <c r="P614" s="159"/>
      <c r="Q614" s="159"/>
      <c r="R614" s="159"/>
      <c r="S614" s="159"/>
      <c r="T614" s="159"/>
      <c r="U614" s="159"/>
      <c r="V614" s="159"/>
      <c r="W614" s="159"/>
      <c r="X614" s="159"/>
      <c r="Y614" s="159"/>
      <c r="Z614" s="159"/>
      <c r="AA614" s="159"/>
      <c r="AB614" s="159"/>
      <c r="AC614" s="159"/>
      <c r="AD614" s="159"/>
      <c r="AE614" s="159"/>
      <c r="AF614" s="159"/>
      <c r="AG614" s="159"/>
      <c r="AH614" s="159"/>
      <c r="AI614" s="159"/>
      <c r="AJ614" s="159"/>
      <c r="AK614" s="159"/>
      <c r="AL614" s="159"/>
      <c r="AM614" s="159"/>
      <c r="AN614" s="159"/>
      <c r="AO614" s="159"/>
      <c r="AP614" s="159"/>
      <c r="AQ614" s="159"/>
      <c r="AR614" s="159"/>
      <c r="AS614" s="159"/>
      <c r="AT614" s="159"/>
      <c r="AU614" s="159"/>
      <c r="AV614" s="159"/>
      <c r="AW614" s="159"/>
      <c r="AX614" s="159"/>
      <c r="AY614" s="159"/>
      <c r="AZ614" s="159"/>
      <c r="BA614" s="159"/>
    </row>
    <row r="615" spans="2:53" ht="17.399999999999999" customHeight="1">
      <c r="B615" s="159"/>
      <c r="C615" s="159"/>
      <c r="D615" s="159"/>
      <c r="E615" s="159"/>
      <c r="F615" s="159"/>
      <c r="G615" s="159"/>
      <c r="H615" s="159"/>
      <c r="I615" s="159"/>
      <c r="J615" s="224"/>
      <c r="K615" s="159"/>
      <c r="L615" s="159"/>
      <c r="M615" s="159"/>
      <c r="O615" s="159"/>
      <c r="P615" s="159"/>
      <c r="Q615" s="159"/>
      <c r="R615" s="159"/>
      <c r="S615" s="159"/>
      <c r="T615" s="159"/>
      <c r="U615" s="159"/>
      <c r="V615" s="159"/>
      <c r="W615" s="159"/>
      <c r="X615" s="159"/>
      <c r="Y615" s="159"/>
      <c r="Z615" s="159"/>
      <c r="AA615" s="159"/>
      <c r="AB615" s="159"/>
      <c r="AC615" s="159"/>
      <c r="AD615" s="159"/>
      <c r="AE615" s="159"/>
      <c r="AF615" s="159"/>
      <c r="AG615" s="159"/>
      <c r="AH615" s="159"/>
      <c r="AI615" s="159"/>
      <c r="AJ615" s="159"/>
      <c r="AK615" s="159"/>
      <c r="AL615" s="159"/>
      <c r="AM615" s="159"/>
      <c r="AN615" s="159"/>
      <c r="AO615" s="159"/>
      <c r="AP615" s="159"/>
      <c r="AQ615" s="159"/>
      <c r="AR615" s="159"/>
      <c r="AS615" s="159"/>
      <c r="AT615" s="159"/>
      <c r="AU615" s="159"/>
      <c r="AV615" s="159"/>
      <c r="AW615" s="159"/>
      <c r="AX615" s="159"/>
      <c r="AY615" s="159"/>
      <c r="AZ615" s="159"/>
      <c r="BA615" s="159"/>
    </row>
    <row r="616" spans="2:53" ht="17.399999999999999" customHeight="1">
      <c r="B616" s="159"/>
      <c r="C616" s="159"/>
      <c r="D616" s="159"/>
      <c r="E616" s="159"/>
      <c r="F616" s="159"/>
      <c r="G616" s="159"/>
      <c r="H616" s="159"/>
      <c r="I616" s="159"/>
      <c r="J616" s="224"/>
      <c r="K616" s="159"/>
      <c r="L616" s="159"/>
      <c r="M616" s="159"/>
      <c r="O616" s="159"/>
      <c r="P616" s="159"/>
      <c r="Q616" s="159"/>
      <c r="R616" s="159"/>
      <c r="S616" s="159"/>
      <c r="T616" s="159"/>
      <c r="U616" s="159"/>
      <c r="V616" s="159"/>
      <c r="W616" s="159"/>
      <c r="X616" s="159"/>
      <c r="Y616" s="159"/>
      <c r="Z616" s="159"/>
      <c r="AA616" s="159"/>
      <c r="AB616" s="159"/>
      <c r="AC616" s="159"/>
      <c r="AD616" s="159"/>
      <c r="AE616" s="159"/>
      <c r="AF616" s="159"/>
      <c r="AG616" s="159"/>
      <c r="AH616" s="159"/>
      <c r="AI616" s="159"/>
      <c r="AJ616" s="159"/>
      <c r="AK616" s="159"/>
      <c r="AL616" s="159"/>
      <c r="AM616" s="159"/>
      <c r="AN616" s="159"/>
      <c r="AO616" s="159"/>
      <c r="AP616" s="159"/>
      <c r="AQ616" s="159"/>
      <c r="AR616" s="159"/>
      <c r="AS616" s="159"/>
      <c r="AT616" s="159"/>
      <c r="AU616" s="159"/>
      <c r="AV616" s="159"/>
      <c r="AW616" s="159"/>
      <c r="AX616" s="159"/>
      <c r="AY616" s="159"/>
      <c r="AZ616" s="159"/>
      <c r="BA616" s="159"/>
    </row>
    <row r="617" spans="2:53" ht="17.399999999999999" customHeight="1">
      <c r="B617" s="159"/>
      <c r="C617" s="159"/>
      <c r="D617" s="159"/>
      <c r="E617" s="159"/>
      <c r="F617" s="159"/>
      <c r="G617" s="159"/>
      <c r="H617" s="159"/>
      <c r="I617" s="159"/>
      <c r="J617" s="224"/>
      <c r="K617" s="159"/>
      <c r="L617" s="159"/>
      <c r="M617" s="159"/>
      <c r="O617" s="159"/>
      <c r="P617" s="159"/>
      <c r="Q617" s="159"/>
      <c r="R617" s="159"/>
      <c r="S617" s="159"/>
      <c r="T617" s="159"/>
      <c r="U617" s="159"/>
      <c r="V617" s="159"/>
      <c r="W617" s="159"/>
      <c r="X617" s="159"/>
      <c r="Y617" s="159"/>
      <c r="Z617" s="159"/>
      <c r="AA617" s="159"/>
      <c r="AB617" s="159"/>
      <c r="AC617" s="159"/>
      <c r="AD617" s="159"/>
      <c r="AE617" s="159"/>
      <c r="AF617" s="159"/>
      <c r="AG617" s="159"/>
      <c r="AH617" s="159"/>
      <c r="AI617" s="159"/>
      <c r="AJ617" s="159"/>
      <c r="AK617" s="159"/>
      <c r="AL617" s="159"/>
      <c r="AM617" s="159"/>
      <c r="AN617" s="159"/>
      <c r="AO617" s="159"/>
      <c r="AP617" s="159"/>
      <c r="AQ617" s="159"/>
      <c r="AR617" s="159"/>
      <c r="AS617" s="159"/>
      <c r="AT617" s="159"/>
      <c r="AU617" s="159"/>
      <c r="AV617" s="159"/>
      <c r="AW617" s="159"/>
      <c r="AX617" s="159"/>
      <c r="AY617" s="159"/>
      <c r="AZ617" s="159"/>
      <c r="BA617" s="159"/>
    </row>
    <row r="618" spans="2:53" ht="17.399999999999999" customHeight="1">
      <c r="B618" s="159"/>
      <c r="C618" s="159"/>
      <c r="D618" s="159"/>
      <c r="E618" s="159"/>
      <c r="F618" s="159"/>
      <c r="G618" s="159"/>
      <c r="H618" s="159"/>
      <c r="I618" s="159"/>
      <c r="J618" s="224"/>
      <c r="K618" s="159"/>
      <c r="L618" s="159"/>
      <c r="M618" s="159"/>
      <c r="O618" s="159"/>
      <c r="P618" s="159"/>
      <c r="Q618" s="159"/>
      <c r="R618" s="159"/>
      <c r="S618" s="159"/>
      <c r="T618" s="159"/>
      <c r="U618" s="159"/>
      <c r="V618" s="159"/>
      <c r="W618" s="159"/>
      <c r="X618" s="159"/>
      <c r="Y618" s="159"/>
      <c r="Z618" s="159"/>
      <c r="AA618" s="159"/>
      <c r="AB618" s="159"/>
      <c r="AC618" s="159"/>
      <c r="AD618" s="159"/>
      <c r="AE618" s="159"/>
      <c r="AF618" s="159"/>
      <c r="AG618" s="159"/>
      <c r="AH618" s="159"/>
      <c r="AI618" s="159"/>
      <c r="AJ618" s="159"/>
      <c r="AK618" s="159"/>
      <c r="AL618" s="159"/>
      <c r="AM618" s="159"/>
      <c r="AN618" s="159"/>
      <c r="AO618" s="159"/>
      <c r="AP618" s="159"/>
      <c r="AQ618" s="159"/>
      <c r="AR618" s="159"/>
      <c r="AS618" s="159"/>
      <c r="AT618" s="159"/>
      <c r="AU618" s="159"/>
      <c r="AV618" s="159"/>
      <c r="AW618" s="159"/>
      <c r="AX618" s="159"/>
      <c r="AY618" s="159"/>
      <c r="AZ618" s="159"/>
      <c r="BA618" s="159"/>
    </row>
    <row r="619" spans="2:53" ht="17.399999999999999" customHeight="1">
      <c r="B619" s="159"/>
      <c r="C619" s="159"/>
      <c r="D619" s="159"/>
      <c r="E619" s="159"/>
      <c r="F619" s="159"/>
      <c r="G619" s="159"/>
      <c r="H619" s="159"/>
      <c r="I619" s="159"/>
      <c r="J619" s="224"/>
      <c r="K619" s="159"/>
      <c r="L619" s="159"/>
      <c r="M619" s="159"/>
      <c r="O619" s="159"/>
      <c r="P619" s="159"/>
      <c r="Q619" s="159"/>
      <c r="R619" s="159"/>
      <c r="S619" s="159"/>
      <c r="T619" s="159"/>
      <c r="U619" s="159"/>
      <c r="V619" s="159"/>
      <c r="W619" s="159"/>
      <c r="X619" s="159"/>
      <c r="Y619" s="159"/>
      <c r="Z619" s="159"/>
      <c r="AA619" s="159"/>
      <c r="AB619" s="159"/>
      <c r="AC619" s="159"/>
      <c r="AD619" s="159"/>
      <c r="AE619" s="159"/>
      <c r="AF619" s="159"/>
      <c r="AG619" s="159"/>
      <c r="AH619" s="159"/>
      <c r="AI619" s="159"/>
      <c r="AJ619" s="159"/>
      <c r="AK619" s="159"/>
      <c r="AL619" s="159"/>
      <c r="AM619" s="159"/>
      <c r="AN619" s="159"/>
      <c r="AO619" s="159"/>
      <c r="AP619" s="159"/>
      <c r="AQ619" s="159"/>
      <c r="AR619" s="159"/>
      <c r="AS619" s="159"/>
      <c r="AT619" s="159"/>
      <c r="AU619" s="159"/>
      <c r="AV619" s="159"/>
      <c r="AW619" s="159"/>
      <c r="AX619" s="159"/>
      <c r="AY619" s="159"/>
      <c r="AZ619" s="159"/>
      <c r="BA619" s="159"/>
    </row>
    <row r="620" spans="2:53" ht="17.399999999999999" customHeight="1">
      <c r="B620" s="159"/>
      <c r="C620" s="159"/>
      <c r="D620" s="159"/>
      <c r="E620" s="159"/>
      <c r="F620" s="159"/>
      <c r="G620" s="159"/>
      <c r="H620" s="159"/>
      <c r="I620" s="159"/>
      <c r="J620" s="224"/>
      <c r="K620" s="159"/>
      <c r="L620" s="159"/>
      <c r="M620" s="159"/>
      <c r="O620" s="159"/>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59"/>
      <c r="AN620" s="159"/>
      <c r="AO620" s="159"/>
      <c r="AP620" s="159"/>
      <c r="AQ620" s="159"/>
      <c r="AR620" s="159"/>
      <c r="AS620" s="159"/>
      <c r="AT620" s="159"/>
      <c r="AU620" s="159"/>
      <c r="AV620" s="159"/>
      <c r="AW620" s="159"/>
      <c r="AX620" s="159"/>
      <c r="AY620" s="159"/>
      <c r="AZ620" s="159"/>
      <c r="BA620" s="159"/>
    </row>
    <row r="621" spans="2:53" ht="17.399999999999999" customHeight="1">
      <c r="B621" s="159"/>
      <c r="C621" s="159"/>
      <c r="D621" s="159"/>
      <c r="E621" s="159"/>
      <c r="F621" s="159"/>
      <c r="G621" s="159"/>
      <c r="H621" s="159"/>
      <c r="I621" s="159"/>
      <c r="J621" s="224"/>
      <c r="K621" s="159"/>
      <c r="L621" s="159"/>
      <c r="M621" s="159"/>
      <c r="O621" s="159"/>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59"/>
      <c r="AN621" s="159"/>
      <c r="AO621" s="159"/>
      <c r="AP621" s="159"/>
      <c r="AQ621" s="159"/>
      <c r="AR621" s="159"/>
      <c r="AS621" s="159"/>
      <c r="AT621" s="159"/>
      <c r="AU621" s="159"/>
      <c r="AV621" s="159"/>
      <c r="AW621" s="159"/>
      <c r="AX621" s="159"/>
      <c r="AY621" s="159"/>
      <c r="AZ621" s="159"/>
      <c r="BA621" s="159"/>
    </row>
    <row r="622" spans="2:53" s="159" customFormat="1" ht="17.399999999999999" customHeight="1">
      <c r="J622" s="224"/>
    </row>
    <row r="623" spans="2:53" ht="14.4"/>
    <row r="624" spans="2:53" ht="14.4"/>
    <row r="625" spans="2:53" ht="14.4"/>
    <row r="626" spans="2:53" ht="14.4"/>
    <row r="627" spans="2:53" ht="14.4"/>
    <row r="628" spans="2:53" ht="14.4"/>
    <row r="629" spans="2:53" ht="14.4"/>
    <row r="630" spans="2:53" ht="14.4"/>
    <row r="631" spans="2:53" ht="14.4"/>
    <row r="632" spans="2:53" ht="14.4"/>
    <row r="633" spans="2:53" ht="14.4"/>
    <row r="634" spans="2:53" ht="14.4"/>
    <row r="635" spans="2:53" ht="14.4"/>
    <row r="636" spans="2:53" ht="14.4"/>
    <row r="637" spans="2:53" s="156" customFormat="1" ht="14.4">
      <c r="B637" s="157"/>
      <c r="C637" s="157"/>
      <c r="D637" s="157"/>
      <c r="E637" s="157"/>
      <c r="F637" s="157"/>
      <c r="G637" s="157"/>
      <c r="H637" s="157"/>
      <c r="I637" s="157"/>
      <c r="J637" s="158"/>
      <c r="K637" s="157"/>
      <c r="L637" s="157"/>
      <c r="M637" s="157"/>
      <c r="O637" s="157"/>
      <c r="P637" s="157"/>
      <c r="Q637" s="157"/>
      <c r="R637" s="157"/>
      <c r="S637" s="157"/>
      <c r="T637" s="157"/>
      <c r="U637" s="157"/>
      <c r="V637" s="157"/>
      <c r="W637" s="157"/>
      <c r="X637" s="157"/>
      <c r="Y637" s="157"/>
      <c r="Z637" s="157"/>
      <c r="AA637" s="157"/>
      <c r="AB637" s="157"/>
      <c r="AC637" s="157"/>
      <c r="AD637" s="157"/>
      <c r="AE637" s="157"/>
      <c r="AF637" s="157"/>
      <c r="AG637" s="157"/>
      <c r="AH637" s="157"/>
      <c r="AI637" s="157"/>
      <c r="AJ637" s="157"/>
      <c r="AK637" s="157"/>
      <c r="AL637" s="157"/>
      <c r="AM637" s="157"/>
      <c r="AN637" s="157"/>
      <c r="AO637" s="157"/>
      <c r="AP637" s="157"/>
      <c r="AQ637" s="157"/>
      <c r="AR637" s="157"/>
      <c r="AS637" s="157"/>
      <c r="AT637" s="157"/>
      <c r="AU637" s="157"/>
      <c r="AV637" s="157"/>
      <c r="AW637" s="157"/>
      <c r="AX637" s="157"/>
      <c r="AY637" s="157"/>
      <c r="AZ637" s="157"/>
      <c r="BA637" s="157"/>
    </row>
    <row r="638" spans="2:53" s="156" customFormat="1" ht="14.4">
      <c r="B638" s="157"/>
      <c r="C638" s="157"/>
      <c r="D638" s="157"/>
      <c r="E638" s="157"/>
      <c r="F638" s="157"/>
      <c r="G638" s="157"/>
      <c r="H638" s="157"/>
      <c r="I638" s="157"/>
      <c r="J638" s="158"/>
      <c r="K638" s="157"/>
      <c r="L638" s="157"/>
      <c r="M638" s="157"/>
      <c r="O638" s="157"/>
      <c r="P638" s="157"/>
      <c r="Q638" s="157"/>
      <c r="R638" s="157"/>
      <c r="S638" s="157"/>
      <c r="T638" s="157"/>
      <c r="U638" s="157"/>
      <c r="V638" s="157"/>
      <c r="W638" s="157"/>
      <c r="X638" s="157"/>
      <c r="Y638" s="157"/>
      <c r="Z638" s="157"/>
      <c r="AA638" s="157"/>
      <c r="AB638" s="157"/>
      <c r="AC638" s="157"/>
      <c r="AD638" s="157"/>
      <c r="AE638" s="157"/>
      <c r="AF638" s="157"/>
      <c r="AG638" s="157"/>
      <c r="AH638" s="157"/>
      <c r="AI638" s="157"/>
      <c r="AJ638" s="157"/>
      <c r="AK638" s="157"/>
      <c r="AL638" s="157"/>
      <c r="AM638" s="157"/>
      <c r="AN638" s="157"/>
      <c r="AO638" s="157"/>
      <c r="AP638" s="157"/>
      <c r="AQ638" s="157"/>
      <c r="AR638" s="157"/>
      <c r="AS638" s="157"/>
      <c r="AT638" s="157"/>
      <c r="AU638" s="157"/>
      <c r="AV638" s="157"/>
      <c r="AW638" s="157"/>
      <c r="AX638" s="157"/>
      <c r="AY638" s="157"/>
      <c r="AZ638" s="157"/>
      <c r="BA638" s="157"/>
    </row>
    <row r="639" spans="2:53" s="156" customFormat="1" ht="14.4">
      <c r="B639" s="157"/>
      <c r="C639" s="157"/>
      <c r="D639" s="157"/>
      <c r="E639" s="157"/>
      <c r="F639" s="157"/>
      <c r="G639" s="157"/>
      <c r="H639" s="157"/>
      <c r="I639" s="157"/>
      <c r="J639" s="158"/>
      <c r="K639" s="157"/>
      <c r="L639" s="157"/>
      <c r="M639" s="157"/>
      <c r="O639" s="157"/>
      <c r="P639" s="157"/>
      <c r="Q639" s="157"/>
      <c r="R639" s="157"/>
      <c r="S639" s="157"/>
      <c r="T639" s="157"/>
      <c r="U639" s="157"/>
      <c r="V639" s="157"/>
      <c r="W639" s="157"/>
      <c r="X639" s="157"/>
      <c r="Y639" s="157"/>
      <c r="Z639" s="157"/>
      <c r="AA639" s="157"/>
      <c r="AB639" s="157"/>
      <c r="AC639" s="157"/>
      <c r="AD639" s="157"/>
      <c r="AE639" s="157"/>
      <c r="AF639" s="157"/>
      <c r="AG639" s="157"/>
      <c r="AH639" s="157"/>
      <c r="AI639" s="157"/>
      <c r="AJ639" s="157"/>
      <c r="AK639" s="157"/>
      <c r="AL639" s="157"/>
      <c r="AM639" s="157"/>
      <c r="AN639" s="157"/>
      <c r="AO639" s="157"/>
      <c r="AP639" s="157"/>
      <c r="AQ639" s="157"/>
      <c r="AR639" s="157"/>
      <c r="AS639" s="157"/>
      <c r="AT639" s="157"/>
      <c r="AU639" s="157"/>
      <c r="AV639" s="157"/>
      <c r="AW639" s="157"/>
      <c r="AX639" s="157"/>
      <c r="AY639" s="157"/>
      <c r="AZ639" s="157"/>
      <c r="BA639" s="157"/>
    </row>
    <row r="640" spans="2:53"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sheetData>
  <sheetProtection algorithmName="SHA-512" hashValue="esRBpnOgHdo2JQ5C73voEVKn70mpVXZpkxcq4iKfiv7mhQf8ySTkPZ2Tj0jgHtroRWHvhNxW2dmP5Wlr2PXJbw==" saltValue="NM+uSHu4zrqXpcbFaVuG9w==" spinCount="100000" sheet="1" selectLockedCells="1"/>
  <mergeCells count="7">
    <mergeCell ref="J119:K119"/>
    <mergeCell ref="J43:M43"/>
    <mergeCell ref="F5:K5"/>
    <mergeCell ref="F7:K7"/>
    <mergeCell ref="F34:K34"/>
    <mergeCell ref="F35:K35"/>
    <mergeCell ref="F36:G36"/>
  </mergeCells>
  <conditionalFormatting sqref="C149">
    <cfRule type="containsText" dxfId="5" priority="5" operator="containsText" text="nie">
      <formula>NOT(ISERROR(SEARCH("nie",C149)))</formula>
    </cfRule>
  </conditionalFormatting>
  <conditionalFormatting sqref="C169">
    <cfRule type="containsText" dxfId="4" priority="4" operator="containsText" text="nie">
      <formula>NOT(ISERROR(SEARCH("nie",C169)))</formula>
    </cfRule>
  </conditionalFormatting>
  <conditionalFormatting sqref="C264">
    <cfRule type="containsText" dxfId="3" priority="1" operator="containsText" text="większej">
      <formula>NOT(ISERROR(SEARCH("większej",C264)))</formula>
    </cfRule>
  </conditionalFormatting>
  <dataValidations count="2">
    <dataValidation type="list" allowBlank="1" showInputMessage="1" showErrorMessage="1" sqref="Q55" xr:uid="{00000000-0002-0000-0500-000000000000}">
      <formula1>$O$63:$O$66</formula1>
    </dataValidation>
    <dataValidation operator="lessThanOrEqual" allowBlank="1" showInputMessage="1" showErrorMessage="1" sqref="F5:K5" xr:uid="{00000000-0002-0000-0500-000001000000}"/>
  </dataValidations>
  <hyperlinks>
    <hyperlink ref="T24" r:id="rId1" display="Pobierz" xr:uid="{00000000-0004-0000-0500-000000000000}"/>
    <hyperlink ref="T25" r:id="rId2" display="Pobierz" xr:uid="{00000000-0004-0000-0500-000001000000}"/>
    <hyperlink ref="R155" r:id="rId3" xr:uid="{00000000-0004-0000-0500-000002000000}"/>
    <hyperlink ref="R156" r:id="rId4" xr:uid="{00000000-0004-0000-0500-000003000000}"/>
    <hyperlink ref="R271" r:id="rId5" xr:uid="{00000000-0004-0000-0500-000004000000}"/>
  </hyperlinks>
  <pageMargins left="0.59055118110236227" right="0.59055118110236227" top="0.78740157480314965" bottom="0.19685039370078741" header="0.19685039370078741" footer="0.19685039370078741"/>
  <pageSetup paperSize="9" scale="94" fitToHeight="0" orientation="portrait" r:id="rId6"/>
  <headerFooter>
    <oddHeader>&amp;R
&amp;G</oddHeader>
    <oddFooter>&amp;C&amp;"-,Standardowy"&amp;9&amp;K00-032 Wydruk wygenerowany z arkusza doboru układów utrzymania ciśnienia firmy IMI HYDRONIC ENGINEERING.</oddFooter>
  </headerFooter>
  <rowBreaks count="4" manualBreakCount="4">
    <brk id="77" min="1" max="12" man="1"/>
    <brk id="120" min="1" max="12" man="1"/>
    <brk id="166" min="1" max="12" man="1"/>
    <brk id="211" min="1" max="12" man="1"/>
  </rowBreaks>
  <ignoredErrors>
    <ignoredError sqref="L41" formula="1"/>
  </ignoredErrors>
  <drawing r:id="rId7"/>
  <legacyDrawing r:id="rId8"/>
  <legacyDrawingHF r:id="rId9"/>
  <oleObjects>
    <mc:AlternateContent xmlns:mc="http://schemas.openxmlformats.org/markup-compatibility/2006">
      <mc:Choice Requires="x14">
        <oleObject progId="Equation.3" shapeId="15368" r:id="rId10">
          <objectPr defaultSize="0" autoPict="0" r:id="rId11">
            <anchor moveWithCells="1">
              <from>
                <xdr:col>3</xdr:col>
                <xdr:colOff>99060</xdr:colOff>
                <xdr:row>50</xdr:row>
                <xdr:rowOff>68580</xdr:rowOff>
              </from>
              <to>
                <xdr:col>9</xdr:col>
                <xdr:colOff>99060</xdr:colOff>
                <xdr:row>52</xdr:row>
                <xdr:rowOff>175260</xdr:rowOff>
              </to>
            </anchor>
          </objectPr>
        </oleObject>
      </mc:Choice>
      <mc:Fallback>
        <oleObject progId="Equation.3" shapeId="15368" r:id="rId10"/>
      </mc:Fallback>
    </mc:AlternateContent>
    <mc:AlternateContent xmlns:mc="http://schemas.openxmlformats.org/markup-compatibility/2006">
      <mc:Choice Requires="x14">
        <oleObject progId="Equation.3" shapeId="15369" r:id="rId12">
          <objectPr defaultSize="0" autoPict="0" r:id="rId13">
            <anchor moveWithCells="1">
              <from>
                <xdr:col>3</xdr:col>
                <xdr:colOff>137160</xdr:colOff>
                <xdr:row>63</xdr:row>
                <xdr:rowOff>137160</xdr:rowOff>
              </from>
              <to>
                <xdr:col>5</xdr:col>
                <xdr:colOff>38100</xdr:colOff>
                <xdr:row>65</xdr:row>
                <xdr:rowOff>60960</xdr:rowOff>
              </to>
            </anchor>
          </objectPr>
        </oleObject>
      </mc:Choice>
      <mc:Fallback>
        <oleObject progId="Equation.3" shapeId="15369" r:id="rId12"/>
      </mc:Fallback>
    </mc:AlternateContent>
    <mc:AlternateContent xmlns:mc="http://schemas.openxmlformats.org/markup-compatibility/2006">
      <mc:Choice Requires="x14">
        <oleObject progId="Equation.3" shapeId="15371" r:id="rId14">
          <objectPr defaultSize="0" autoPict="0" r:id="rId15">
            <anchor moveWithCells="1">
              <from>
                <xdr:col>3</xdr:col>
                <xdr:colOff>83820</xdr:colOff>
                <xdr:row>93</xdr:row>
                <xdr:rowOff>114300</xdr:rowOff>
              </from>
              <to>
                <xdr:col>5</xdr:col>
                <xdr:colOff>365760</xdr:colOff>
                <xdr:row>95</xdr:row>
                <xdr:rowOff>114300</xdr:rowOff>
              </to>
            </anchor>
          </objectPr>
        </oleObject>
      </mc:Choice>
      <mc:Fallback>
        <oleObject progId="Equation.3" shapeId="15371" r:id="rId14"/>
      </mc:Fallback>
    </mc:AlternateContent>
    <mc:AlternateContent xmlns:mc="http://schemas.openxmlformats.org/markup-compatibility/2006">
      <mc:Choice Requires="x14">
        <oleObject progId="Equation.3" shapeId="15372" r:id="rId16">
          <objectPr defaultSize="0" autoPict="0" r:id="rId17">
            <anchor moveWithCells="1">
              <from>
                <xdr:col>3</xdr:col>
                <xdr:colOff>114300</xdr:colOff>
                <xdr:row>107</xdr:row>
                <xdr:rowOff>160020</xdr:rowOff>
              </from>
              <to>
                <xdr:col>5</xdr:col>
                <xdr:colOff>365760</xdr:colOff>
                <xdr:row>109</xdr:row>
                <xdr:rowOff>38100</xdr:rowOff>
              </to>
            </anchor>
          </objectPr>
        </oleObject>
      </mc:Choice>
      <mc:Fallback>
        <oleObject progId="Equation.3" shapeId="15372" r:id="rId16"/>
      </mc:Fallback>
    </mc:AlternateContent>
    <mc:AlternateContent xmlns:mc="http://schemas.openxmlformats.org/markup-compatibility/2006">
      <mc:Choice Requires="x14">
        <oleObject progId="Equation.3" shapeId="15373" r:id="rId18">
          <objectPr defaultSize="0" autoPict="0" r:id="rId19">
            <anchor moveWithCells="1">
              <from>
                <xdr:col>3</xdr:col>
                <xdr:colOff>160020</xdr:colOff>
                <xdr:row>121</xdr:row>
                <xdr:rowOff>22860</xdr:rowOff>
              </from>
              <to>
                <xdr:col>5</xdr:col>
                <xdr:colOff>198120</xdr:colOff>
                <xdr:row>123</xdr:row>
                <xdr:rowOff>99060</xdr:rowOff>
              </to>
            </anchor>
          </objectPr>
        </oleObject>
      </mc:Choice>
      <mc:Fallback>
        <oleObject progId="Equation.3" shapeId="15373" r:id="rId18"/>
      </mc:Fallback>
    </mc:AlternateContent>
    <mc:AlternateContent xmlns:mc="http://schemas.openxmlformats.org/markup-compatibility/2006">
      <mc:Choice Requires="x14">
        <oleObject progId="Equation.3" shapeId="15376" r:id="rId20">
          <objectPr defaultSize="0" autoPict="0" r:id="rId21">
            <anchor moveWithCells="1">
              <from>
                <xdr:col>3</xdr:col>
                <xdr:colOff>99060</xdr:colOff>
                <xdr:row>156</xdr:row>
                <xdr:rowOff>137160</xdr:rowOff>
              </from>
              <to>
                <xdr:col>6</xdr:col>
                <xdr:colOff>7620</xdr:colOff>
                <xdr:row>158</xdr:row>
                <xdr:rowOff>60960</xdr:rowOff>
              </to>
            </anchor>
          </objectPr>
        </oleObject>
      </mc:Choice>
      <mc:Fallback>
        <oleObject progId="Equation.3" shapeId="15376" r:id="rId20"/>
      </mc:Fallback>
    </mc:AlternateContent>
    <mc:AlternateContent xmlns:mc="http://schemas.openxmlformats.org/markup-compatibility/2006">
      <mc:Choice Requires="x14">
        <oleObject progId="Equation.3" shapeId="15377" r:id="rId22">
          <objectPr defaultSize="0" autoPict="0" r:id="rId23">
            <anchor moveWithCells="1">
              <from>
                <xdr:col>3</xdr:col>
                <xdr:colOff>99060</xdr:colOff>
                <xdr:row>197</xdr:row>
                <xdr:rowOff>68580</xdr:rowOff>
              </from>
              <to>
                <xdr:col>6</xdr:col>
                <xdr:colOff>312420</xdr:colOff>
                <xdr:row>199</xdr:row>
                <xdr:rowOff>152400</xdr:rowOff>
              </to>
            </anchor>
          </objectPr>
        </oleObject>
      </mc:Choice>
      <mc:Fallback>
        <oleObject progId="Equation.3" shapeId="15377" r:id="rId22"/>
      </mc:Fallback>
    </mc:AlternateContent>
    <mc:AlternateContent xmlns:mc="http://schemas.openxmlformats.org/markup-compatibility/2006">
      <mc:Choice Requires="x14">
        <oleObject progId="Equation.3" shapeId="15379" r:id="rId24">
          <objectPr defaultSize="0" autoPict="0" r:id="rId25">
            <anchor moveWithCells="1">
              <from>
                <xdr:col>3</xdr:col>
                <xdr:colOff>38100</xdr:colOff>
                <xdr:row>212</xdr:row>
                <xdr:rowOff>60960</xdr:rowOff>
              </from>
              <to>
                <xdr:col>6</xdr:col>
                <xdr:colOff>381000</xdr:colOff>
                <xdr:row>214</xdr:row>
                <xdr:rowOff>144780</xdr:rowOff>
              </to>
            </anchor>
          </objectPr>
        </oleObject>
      </mc:Choice>
      <mc:Fallback>
        <oleObject progId="Equation.3" shapeId="15379" r:id="rId24"/>
      </mc:Fallback>
    </mc:AlternateContent>
    <mc:AlternateContent xmlns:mc="http://schemas.openxmlformats.org/markup-compatibility/2006">
      <mc:Choice Requires="x14">
        <oleObject progId="Equation.3" shapeId="15381" r:id="rId26">
          <objectPr defaultSize="0" autoPict="0" r:id="rId27">
            <anchor moveWithCells="1">
              <from>
                <xdr:col>3</xdr:col>
                <xdr:colOff>83820</xdr:colOff>
                <xdr:row>245</xdr:row>
                <xdr:rowOff>175260</xdr:rowOff>
              </from>
              <to>
                <xdr:col>7</xdr:col>
                <xdr:colOff>327660</xdr:colOff>
                <xdr:row>247</xdr:row>
                <xdr:rowOff>45720</xdr:rowOff>
              </to>
            </anchor>
          </objectPr>
        </oleObject>
      </mc:Choice>
      <mc:Fallback>
        <oleObject progId="Equation.3" shapeId="15381" r:id="rId26"/>
      </mc:Fallback>
    </mc:AlternateContent>
    <mc:AlternateContent xmlns:mc="http://schemas.openxmlformats.org/markup-compatibility/2006">
      <mc:Choice Requires="x14">
        <oleObject progId="Equation.3" shapeId="15387" r:id="rId28">
          <objectPr defaultSize="0" autoPict="0" r:id="rId29">
            <anchor moveWithCells="1">
              <from>
                <xdr:col>3</xdr:col>
                <xdr:colOff>30480</xdr:colOff>
                <xdr:row>78</xdr:row>
                <xdr:rowOff>114300</xdr:rowOff>
              </from>
              <to>
                <xdr:col>5</xdr:col>
                <xdr:colOff>190500</xdr:colOff>
                <xdr:row>80</xdr:row>
                <xdr:rowOff>45720</xdr:rowOff>
              </to>
            </anchor>
          </objectPr>
        </oleObject>
      </mc:Choice>
      <mc:Fallback>
        <oleObject progId="Equation.3" shapeId="15387" r:id="rId28"/>
      </mc:Fallback>
    </mc:AlternateContent>
    <mc:AlternateContent xmlns:mc="http://schemas.openxmlformats.org/markup-compatibility/2006">
      <mc:Choice Requires="x14">
        <oleObject progId="Equation.3" shapeId="15390" r:id="rId30">
          <objectPr defaultSize="0" autoPict="0" r:id="rId31">
            <anchor moveWithCells="1">
              <from>
                <xdr:col>3</xdr:col>
                <xdr:colOff>190500</xdr:colOff>
                <xdr:row>171</xdr:row>
                <xdr:rowOff>137160</xdr:rowOff>
              </from>
              <to>
                <xdr:col>5</xdr:col>
                <xdr:colOff>266700</xdr:colOff>
                <xdr:row>173</xdr:row>
                <xdr:rowOff>60960</xdr:rowOff>
              </to>
            </anchor>
          </objectPr>
        </oleObject>
      </mc:Choice>
      <mc:Fallback>
        <oleObject progId="Equation.3" shapeId="15390" r:id="rId30"/>
      </mc:Fallback>
    </mc:AlternateContent>
  </oleObjects>
  <mc:AlternateContent xmlns:mc="http://schemas.openxmlformats.org/markup-compatibility/2006">
    <mc:Choice Requires="x14">
      <controls>
        <mc:AlternateContent xmlns:mc="http://schemas.openxmlformats.org/markup-compatibility/2006">
          <mc:Choice Requires="x14">
            <control shapeId="15361" r:id="rId32" name="Drop Down 1">
              <controlPr defaultSize="0" autoLine="0" autoPict="0">
                <anchor moveWithCells="1">
                  <from>
                    <xdr:col>8</xdr:col>
                    <xdr:colOff>365760</xdr:colOff>
                    <xdr:row>16</xdr:row>
                    <xdr:rowOff>22860</xdr:rowOff>
                  </from>
                  <to>
                    <xdr:col>12</xdr:col>
                    <xdr:colOff>0</xdr:colOff>
                    <xdr:row>17</xdr:row>
                    <xdr:rowOff>22860</xdr:rowOff>
                  </to>
                </anchor>
              </controlPr>
            </control>
          </mc:Choice>
        </mc:AlternateContent>
        <mc:AlternateContent xmlns:mc="http://schemas.openxmlformats.org/markup-compatibility/2006">
          <mc:Choice Requires="x14">
            <control shapeId="15362" r:id="rId33" name="Spinner 2">
              <controlPr defaultSize="0" autoPict="0">
                <anchor moveWithCells="1" sizeWithCells="1">
                  <from>
                    <xdr:col>11</xdr:col>
                    <xdr:colOff>335280</xdr:colOff>
                    <xdr:row>7</xdr:row>
                    <xdr:rowOff>83820</xdr:rowOff>
                  </from>
                  <to>
                    <xdr:col>12</xdr:col>
                    <xdr:colOff>0</xdr:colOff>
                    <xdr:row>9</xdr:row>
                    <xdr:rowOff>38100</xdr:rowOff>
                  </to>
                </anchor>
              </controlPr>
            </control>
          </mc:Choice>
        </mc:AlternateContent>
        <mc:AlternateContent xmlns:mc="http://schemas.openxmlformats.org/markup-compatibility/2006">
          <mc:Choice Requires="x14">
            <control shapeId="15363" r:id="rId34" name="Spinner 3">
              <controlPr defaultSize="0" autoPict="0">
                <anchor moveWithCells="1" sizeWithCells="1">
                  <from>
                    <xdr:col>11</xdr:col>
                    <xdr:colOff>335280</xdr:colOff>
                    <xdr:row>9</xdr:row>
                    <xdr:rowOff>83820</xdr:rowOff>
                  </from>
                  <to>
                    <xdr:col>12</xdr:col>
                    <xdr:colOff>0</xdr:colOff>
                    <xdr:row>11</xdr:row>
                    <xdr:rowOff>38100</xdr:rowOff>
                  </to>
                </anchor>
              </controlPr>
            </control>
          </mc:Choice>
        </mc:AlternateContent>
        <mc:AlternateContent xmlns:mc="http://schemas.openxmlformats.org/markup-compatibility/2006">
          <mc:Choice Requires="x14">
            <control shapeId="15364" r:id="rId35" name="Spinner 4">
              <controlPr defaultSize="0" autoPict="0">
                <anchor moveWithCells="1" sizeWithCells="1">
                  <from>
                    <xdr:col>11</xdr:col>
                    <xdr:colOff>335280</xdr:colOff>
                    <xdr:row>11</xdr:row>
                    <xdr:rowOff>83820</xdr:rowOff>
                  </from>
                  <to>
                    <xdr:col>12</xdr:col>
                    <xdr:colOff>0</xdr:colOff>
                    <xdr:row>13</xdr:row>
                    <xdr:rowOff>38100</xdr:rowOff>
                  </to>
                </anchor>
              </controlPr>
            </control>
          </mc:Choice>
        </mc:AlternateContent>
        <mc:AlternateContent xmlns:mc="http://schemas.openxmlformats.org/markup-compatibility/2006">
          <mc:Choice Requires="x14">
            <control shapeId="15365" r:id="rId36" name="Spinner 5">
              <controlPr defaultSize="0" autoPict="0">
                <anchor moveWithCells="1" sizeWithCells="1">
                  <from>
                    <xdr:col>11</xdr:col>
                    <xdr:colOff>335280</xdr:colOff>
                    <xdr:row>19</xdr:row>
                    <xdr:rowOff>99060</xdr:rowOff>
                  </from>
                  <to>
                    <xdr:col>12</xdr:col>
                    <xdr:colOff>0</xdr:colOff>
                    <xdr:row>21</xdr:row>
                    <xdr:rowOff>45720</xdr:rowOff>
                  </to>
                </anchor>
              </controlPr>
            </control>
          </mc:Choice>
        </mc:AlternateContent>
        <mc:AlternateContent xmlns:mc="http://schemas.openxmlformats.org/markup-compatibility/2006">
          <mc:Choice Requires="x14">
            <control shapeId="15366" r:id="rId37" name="Spinner 6">
              <controlPr defaultSize="0" autoPict="0">
                <anchor moveWithCells="1" sizeWithCells="1">
                  <from>
                    <xdr:col>11</xdr:col>
                    <xdr:colOff>335280</xdr:colOff>
                    <xdr:row>21</xdr:row>
                    <xdr:rowOff>99060</xdr:rowOff>
                  </from>
                  <to>
                    <xdr:col>12</xdr:col>
                    <xdr:colOff>0</xdr:colOff>
                    <xdr:row>23</xdr:row>
                    <xdr:rowOff>45720</xdr:rowOff>
                  </to>
                </anchor>
              </controlPr>
            </control>
          </mc:Choice>
        </mc:AlternateContent>
        <mc:AlternateContent xmlns:mc="http://schemas.openxmlformats.org/markup-compatibility/2006">
          <mc:Choice Requires="x14">
            <control shapeId="15367" r:id="rId38" name="Check Box 7">
              <controlPr defaultSize="0" autoFill="0" autoLine="0" autoPict="0">
                <anchor moveWithCells="1">
                  <from>
                    <xdr:col>11</xdr:col>
                    <xdr:colOff>175260</xdr:colOff>
                    <xdr:row>24</xdr:row>
                    <xdr:rowOff>160020</xdr:rowOff>
                  </from>
                  <to>
                    <xdr:col>12</xdr:col>
                    <xdr:colOff>30480</xdr:colOff>
                    <xdr:row>25</xdr:row>
                    <xdr:rowOff>160020</xdr:rowOff>
                  </to>
                </anchor>
              </controlPr>
            </control>
          </mc:Choice>
        </mc:AlternateContent>
        <mc:AlternateContent xmlns:mc="http://schemas.openxmlformats.org/markup-compatibility/2006">
          <mc:Choice Requires="x14">
            <control shapeId="15374" r:id="rId39" name="Drop Down 14">
              <controlPr defaultSize="0" autoLine="0" autoPict="0">
                <anchor moveWithCells="1">
                  <from>
                    <xdr:col>2</xdr:col>
                    <xdr:colOff>30480</xdr:colOff>
                    <xdr:row>146</xdr:row>
                    <xdr:rowOff>175260</xdr:rowOff>
                  </from>
                  <to>
                    <xdr:col>4</xdr:col>
                    <xdr:colOff>342900</xdr:colOff>
                    <xdr:row>147</xdr:row>
                    <xdr:rowOff>175260</xdr:rowOff>
                  </to>
                </anchor>
              </controlPr>
            </control>
          </mc:Choice>
        </mc:AlternateContent>
        <mc:AlternateContent xmlns:mc="http://schemas.openxmlformats.org/markup-compatibility/2006">
          <mc:Choice Requires="x14">
            <control shapeId="15375" r:id="rId40" name="Spinner 15">
              <controlPr defaultSize="0" autoPict="0">
                <anchor moveWithCells="1" sizeWithCells="1">
                  <from>
                    <xdr:col>7</xdr:col>
                    <xdr:colOff>289560</xdr:colOff>
                    <xdr:row>146</xdr:row>
                    <xdr:rowOff>22860</xdr:rowOff>
                  </from>
                  <to>
                    <xdr:col>8</xdr:col>
                    <xdr:colOff>114300</xdr:colOff>
                    <xdr:row>148</xdr:row>
                    <xdr:rowOff>7620</xdr:rowOff>
                  </to>
                </anchor>
              </controlPr>
            </control>
          </mc:Choice>
        </mc:AlternateContent>
        <mc:AlternateContent xmlns:mc="http://schemas.openxmlformats.org/markup-compatibility/2006">
          <mc:Choice Requires="x14">
            <control shapeId="15382" r:id="rId41" name="Drop Down 22">
              <controlPr defaultSize="0" autoLine="0" autoPict="0">
                <anchor moveWithCells="1">
                  <from>
                    <xdr:col>2</xdr:col>
                    <xdr:colOff>0</xdr:colOff>
                    <xdr:row>261</xdr:row>
                    <xdr:rowOff>144780</xdr:rowOff>
                  </from>
                  <to>
                    <xdr:col>4</xdr:col>
                    <xdr:colOff>312420</xdr:colOff>
                    <xdr:row>262</xdr:row>
                    <xdr:rowOff>144780</xdr:rowOff>
                  </to>
                </anchor>
              </controlPr>
            </control>
          </mc:Choice>
        </mc:AlternateContent>
        <mc:AlternateContent xmlns:mc="http://schemas.openxmlformats.org/markup-compatibility/2006">
          <mc:Choice Requires="x14">
            <control shapeId="15383" r:id="rId42" name="Spinner 23">
              <controlPr defaultSize="0" autoPict="0">
                <anchor moveWithCells="1" sizeWithCells="1">
                  <from>
                    <xdr:col>7</xdr:col>
                    <xdr:colOff>266700</xdr:colOff>
                    <xdr:row>261</xdr:row>
                    <xdr:rowOff>45720</xdr:rowOff>
                  </from>
                  <to>
                    <xdr:col>8</xdr:col>
                    <xdr:colOff>99060</xdr:colOff>
                    <xdr:row>263</xdr:row>
                    <xdr:rowOff>0</xdr:rowOff>
                  </to>
                </anchor>
              </controlPr>
            </control>
          </mc:Choice>
        </mc:AlternateContent>
        <mc:AlternateContent xmlns:mc="http://schemas.openxmlformats.org/markup-compatibility/2006">
          <mc:Choice Requires="x14">
            <control shapeId="15386" r:id="rId43" name="Spinner 26">
              <controlPr defaultSize="0" autoPict="0">
                <anchor moveWithCells="1" sizeWithCells="1">
                  <from>
                    <xdr:col>11</xdr:col>
                    <xdr:colOff>335280</xdr:colOff>
                    <xdr:row>28</xdr:row>
                    <xdr:rowOff>106680</xdr:rowOff>
                  </from>
                  <to>
                    <xdr:col>12</xdr:col>
                    <xdr:colOff>0</xdr:colOff>
                    <xdr:row>30</xdr:row>
                    <xdr:rowOff>60960</xdr:rowOff>
                  </to>
                </anchor>
              </controlPr>
            </control>
          </mc:Choice>
        </mc:AlternateContent>
        <mc:AlternateContent xmlns:mc="http://schemas.openxmlformats.org/markup-compatibility/2006">
          <mc:Choice Requires="x14">
            <control shapeId="15393" r:id="rId44" name="Spinner 33">
              <controlPr defaultSize="0" autoPict="0">
                <anchor moveWithCells="1" sizeWithCells="1">
                  <from>
                    <xdr:col>11</xdr:col>
                    <xdr:colOff>335280</xdr:colOff>
                    <xdr:row>13</xdr:row>
                    <xdr:rowOff>83820</xdr:rowOff>
                  </from>
                  <to>
                    <xdr:col>12</xdr:col>
                    <xdr:colOff>0</xdr:colOff>
                    <xdr:row>15</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pageSetUpPr fitToPage="1"/>
  </sheetPr>
  <dimension ref="A1:BA669"/>
  <sheetViews>
    <sheetView showGridLines="0" showRowColHeaders="0" zoomScaleNormal="100" zoomScaleSheetLayoutView="100" workbookViewId="0">
      <selection activeCell="K16" activeCellId="5" sqref="F5:K5 F7:K7 K9 K11 K14 K16"/>
    </sheetView>
  </sheetViews>
  <sheetFormatPr defaultColWidth="0" defaultRowHeight="15" customHeight="1" zeroHeight="1"/>
  <cols>
    <col min="1" max="1" width="8.3984375" style="156" customWidth="1"/>
    <col min="2" max="2" width="3.09765625" style="157" customWidth="1"/>
    <col min="3" max="3" width="7.19921875" style="157" customWidth="1"/>
    <col min="4" max="4" width="6.69921875" style="157" customWidth="1"/>
    <col min="5" max="5" width="7.5" style="157" customWidth="1"/>
    <col min="6" max="6" width="7.8984375" style="157" customWidth="1"/>
    <col min="7" max="7" width="6.69921875" style="157" customWidth="1"/>
    <col min="8" max="8" width="6.5" style="157" customWidth="1"/>
    <col min="9" max="9" width="6.8984375" style="157" customWidth="1"/>
    <col min="10" max="10" width="7.59765625" style="158" customWidth="1"/>
    <col min="11" max="11" width="9.3984375" style="157" customWidth="1"/>
    <col min="12" max="13" width="9.19921875" style="157" customWidth="1"/>
    <col min="14" max="14" width="5.69921875" style="156" customWidth="1"/>
    <col min="15" max="21" width="9" style="157" customWidth="1"/>
    <col min="22" max="22" width="10.19921875" style="157" customWidth="1"/>
    <col min="23" max="23" width="10.3984375" style="157" customWidth="1"/>
    <col min="24" max="24" width="10.59765625" style="157" customWidth="1"/>
    <col min="25" max="25" width="10.8984375" style="157" customWidth="1"/>
    <col min="26" max="26" width="9" style="157" customWidth="1"/>
    <col min="27" max="53" width="0" style="157" hidden="1" customWidth="1"/>
    <col min="54" max="16384" width="9" style="157" hidden="1"/>
  </cols>
  <sheetData>
    <row r="1" spans="2:53" ht="52.5" customHeight="1">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row>
    <row r="2" spans="2:53" ht="17.399999999999999" customHeight="1">
      <c r="B2" s="160"/>
      <c r="C2" s="161"/>
      <c r="D2" s="162"/>
      <c r="E2" s="162"/>
      <c r="F2" s="162"/>
      <c r="G2" s="162"/>
      <c r="H2" s="162"/>
      <c r="I2" s="162"/>
      <c r="J2" s="161"/>
      <c r="K2" s="160"/>
      <c r="L2" s="160"/>
      <c r="M2" s="160"/>
      <c r="O2" s="163"/>
      <c r="P2" s="164"/>
      <c r="Q2" s="164"/>
      <c r="R2" s="164"/>
      <c r="S2" s="164"/>
      <c r="T2" s="164"/>
      <c r="U2" s="164"/>
      <c r="V2" s="164"/>
      <c r="W2" s="164"/>
      <c r="X2" s="164"/>
      <c r="Y2" s="164"/>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row>
    <row r="3" spans="2:53" ht="17.399999999999999" customHeight="1">
      <c r="B3" s="160"/>
      <c r="C3" s="328" t="s">
        <v>2</v>
      </c>
      <c r="D3" s="162"/>
      <c r="E3" s="162"/>
      <c r="F3" s="162"/>
      <c r="G3" s="162"/>
      <c r="H3" s="162"/>
      <c r="I3" s="162"/>
      <c r="J3" s="161"/>
      <c r="K3" s="160"/>
      <c r="L3" s="160"/>
      <c r="M3" s="160"/>
      <c r="O3" s="164"/>
      <c r="P3" s="166"/>
      <c r="Q3" s="166"/>
      <c r="R3" s="166"/>
      <c r="S3" s="166"/>
      <c r="T3" s="166"/>
      <c r="U3" s="166"/>
      <c r="V3" s="166"/>
      <c r="W3" s="166"/>
      <c r="X3" s="166"/>
      <c r="Y3" s="166"/>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row>
    <row r="4" spans="2:53" ht="17.399999999999999" customHeight="1">
      <c r="B4" s="160"/>
      <c r="C4" s="165"/>
      <c r="D4" s="162"/>
      <c r="E4" s="162"/>
      <c r="F4" s="162"/>
      <c r="G4" s="162"/>
      <c r="H4" s="162"/>
      <c r="I4" s="162"/>
      <c r="J4" s="161"/>
      <c r="K4" s="160"/>
      <c r="L4" s="160"/>
      <c r="M4" s="160"/>
      <c r="O4" s="164"/>
      <c r="P4" s="166"/>
      <c r="Q4" s="166"/>
      <c r="R4" s="166"/>
      <c r="S4" s="166"/>
      <c r="T4" s="166"/>
      <c r="U4" s="166"/>
      <c r="V4" s="166"/>
      <c r="W4" s="166"/>
      <c r="X4" s="166"/>
      <c r="Y4" s="166"/>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row>
    <row r="5" spans="2:53" ht="17.399999999999999" customHeight="1">
      <c r="B5" s="160"/>
      <c r="C5" s="165" t="s">
        <v>766</v>
      </c>
      <c r="D5" s="162"/>
      <c r="E5" s="162"/>
      <c r="F5" s="481"/>
      <c r="G5" s="482"/>
      <c r="H5" s="482"/>
      <c r="I5" s="482"/>
      <c r="J5" s="482"/>
      <c r="K5" s="483"/>
      <c r="L5" s="160"/>
      <c r="M5" s="160"/>
      <c r="O5" s="164"/>
      <c r="P5" s="166"/>
      <c r="Q5" s="166"/>
      <c r="R5" s="166"/>
      <c r="S5" s="166"/>
      <c r="T5" s="166"/>
      <c r="U5" s="166"/>
      <c r="V5" s="166"/>
      <c r="W5" s="166"/>
      <c r="X5" s="166"/>
      <c r="Y5" s="166"/>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row>
    <row r="6" spans="2:53" ht="17.399999999999999" customHeight="1">
      <c r="B6" s="160"/>
      <c r="C6" s="165"/>
      <c r="D6" s="162"/>
      <c r="E6" s="162"/>
      <c r="F6" s="162"/>
      <c r="G6" s="162"/>
      <c r="H6" s="162"/>
      <c r="I6" s="162"/>
      <c r="J6" s="161"/>
      <c r="K6" s="160"/>
      <c r="L6" s="160"/>
      <c r="M6" s="160"/>
      <c r="O6" s="164"/>
      <c r="P6" s="166"/>
      <c r="Q6" s="166"/>
      <c r="R6" s="166"/>
      <c r="S6" s="166"/>
      <c r="T6" s="166"/>
      <c r="U6" s="166"/>
      <c r="V6" s="166"/>
      <c r="W6" s="166"/>
      <c r="X6" s="166"/>
      <c r="Y6" s="166"/>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row>
    <row r="7" spans="2:53" ht="17.399999999999999" customHeight="1">
      <c r="B7" s="160"/>
      <c r="C7" s="165" t="s">
        <v>767</v>
      </c>
      <c r="D7" s="162"/>
      <c r="E7" s="162"/>
      <c r="F7" s="484" t="s">
        <v>994</v>
      </c>
      <c r="G7" s="482"/>
      <c r="H7" s="482"/>
      <c r="I7" s="482"/>
      <c r="J7" s="482"/>
      <c r="K7" s="483"/>
      <c r="L7" s="160"/>
      <c r="M7" s="160"/>
      <c r="O7" s="164"/>
      <c r="P7" s="166"/>
      <c r="Q7" s="166"/>
      <c r="R7" s="166"/>
      <c r="S7" s="166"/>
      <c r="T7" s="166"/>
      <c r="U7" s="166"/>
      <c r="V7" s="166"/>
      <c r="W7" s="166"/>
      <c r="X7" s="166"/>
      <c r="Y7" s="166"/>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row>
    <row r="8" spans="2:53" ht="17.399999999999999" customHeight="1">
      <c r="B8" s="160"/>
      <c r="C8" s="162"/>
      <c r="D8" s="162"/>
      <c r="E8" s="162"/>
      <c r="F8" s="162"/>
      <c r="G8" s="162"/>
      <c r="H8" s="162"/>
      <c r="I8" s="162"/>
      <c r="J8" s="161"/>
      <c r="K8" s="160"/>
      <c r="L8" s="160"/>
      <c r="M8" s="162"/>
      <c r="N8" s="167"/>
      <c r="O8" s="168"/>
      <c r="P8" s="164"/>
      <c r="Q8" s="164"/>
      <c r="R8" s="164"/>
      <c r="S8" s="164"/>
      <c r="T8" s="164"/>
      <c r="U8" s="164"/>
      <c r="V8" s="169"/>
      <c r="W8" s="169"/>
      <c r="X8" s="169"/>
      <c r="Y8" s="16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row>
    <row r="9" spans="2:53" ht="17.399999999999999" customHeight="1">
      <c r="B9" s="160"/>
      <c r="C9" s="162" t="s">
        <v>478</v>
      </c>
      <c r="D9" s="162"/>
      <c r="E9" s="162"/>
      <c r="F9" s="162"/>
      <c r="G9" s="162"/>
      <c r="H9" s="162"/>
      <c r="I9" s="162"/>
      <c r="J9" s="170"/>
      <c r="K9" s="2">
        <v>800</v>
      </c>
      <c r="L9" s="182" t="s">
        <v>141</v>
      </c>
      <c r="M9" s="162"/>
      <c r="N9" s="167"/>
      <c r="O9" s="168"/>
      <c r="P9" s="169"/>
      <c r="Q9" s="169"/>
      <c r="R9" s="169"/>
      <c r="S9" s="169"/>
      <c r="T9" s="169"/>
      <c r="U9" s="169"/>
      <c r="V9" s="169"/>
      <c r="W9" s="169"/>
      <c r="X9" s="169"/>
      <c r="Y9" s="16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row>
    <row r="10" spans="2:53" ht="17.399999999999999" customHeight="1">
      <c r="B10" s="160"/>
      <c r="C10" s="173"/>
      <c r="D10" s="162"/>
      <c r="E10" s="162"/>
      <c r="F10" s="162"/>
      <c r="G10" s="162"/>
      <c r="H10" s="162"/>
      <c r="I10" s="162"/>
      <c r="J10" s="170"/>
      <c r="K10" s="162"/>
      <c r="L10" s="162"/>
      <c r="M10" s="162"/>
      <c r="N10" s="167"/>
      <c r="O10" s="168"/>
      <c r="P10" s="169"/>
      <c r="Q10" s="169"/>
      <c r="R10" s="169"/>
      <c r="S10" s="169"/>
      <c r="T10" s="169"/>
      <c r="U10" s="169"/>
      <c r="V10" s="169"/>
      <c r="W10" s="169"/>
      <c r="X10" s="169"/>
      <c r="Y10" s="16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row>
    <row r="11" spans="2:53" ht="17.399999999999999" customHeight="1">
      <c r="B11" s="160"/>
      <c r="C11" s="162" t="s">
        <v>480</v>
      </c>
      <c r="D11" s="162"/>
      <c r="E11" s="162"/>
      <c r="F11" s="162"/>
      <c r="G11" s="162"/>
      <c r="H11" s="162"/>
      <c r="I11" s="162"/>
      <c r="J11" s="174"/>
      <c r="K11" s="179">
        <f>'6'!C3/10</f>
        <v>3</v>
      </c>
      <c r="L11" s="178" t="s">
        <v>3</v>
      </c>
      <c r="M11" s="162"/>
      <c r="N11" s="167"/>
      <c r="O11" s="168"/>
      <c r="P11" s="164"/>
      <c r="Q11" s="164"/>
      <c r="R11" s="164"/>
      <c r="S11" s="164"/>
      <c r="T11" s="164"/>
      <c r="U11" s="164"/>
      <c r="V11" s="169"/>
      <c r="W11" s="169"/>
      <c r="X11" s="169"/>
      <c r="Y11" s="16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row>
    <row r="12" spans="2:53" ht="17.399999999999999" customHeight="1">
      <c r="B12" s="160"/>
      <c r="C12" s="162" t="s">
        <v>481</v>
      </c>
      <c r="D12" s="162"/>
      <c r="E12" s="162"/>
      <c r="F12" s="162"/>
      <c r="G12" s="162"/>
      <c r="H12" s="162"/>
      <c r="I12" s="162"/>
      <c r="J12" s="170"/>
      <c r="K12" s="162"/>
      <c r="L12" s="162"/>
      <c r="M12" s="162"/>
      <c r="N12" s="167"/>
      <c r="O12" s="168"/>
      <c r="P12" s="164"/>
      <c r="Q12" s="164"/>
      <c r="R12" s="164"/>
      <c r="S12" s="164"/>
      <c r="T12" s="164"/>
      <c r="U12" s="164"/>
      <c r="V12" s="169"/>
      <c r="W12" s="169"/>
      <c r="X12" s="169"/>
      <c r="Y12" s="16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row>
    <row r="13" spans="2:53" ht="17.399999999999999" customHeight="1">
      <c r="B13" s="160"/>
      <c r="C13" s="173"/>
      <c r="D13" s="162"/>
      <c r="E13" s="162"/>
      <c r="F13" s="162"/>
      <c r="G13" s="162"/>
      <c r="H13" s="162"/>
      <c r="I13" s="162"/>
      <c r="J13" s="170"/>
      <c r="K13" s="162"/>
      <c r="L13" s="162"/>
      <c r="M13" s="162"/>
      <c r="N13" s="167"/>
      <c r="O13" s="168"/>
      <c r="P13" s="164"/>
      <c r="Q13" s="164"/>
      <c r="R13" s="164"/>
      <c r="S13" s="164"/>
      <c r="T13" s="164"/>
      <c r="U13" s="164"/>
      <c r="V13" s="169"/>
      <c r="W13" s="169"/>
      <c r="X13" s="169"/>
      <c r="Y13" s="16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row>
    <row r="14" spans="2:53" ht="17.399999999999999" customHeight="1">
      <c r="B14" s="160"/>
      <c r="C14" s="162" t="s">
        <v>482</v>
      </c>
      <c r="D14" s="162"/>
      <c r="E14" s="162"/>
      <c r="F14" s="162"/>
      <c r="G14" s="162"/>
      <c r="H14" s="162"/>
      <c r="I14" s="162"/>
      <c r="J14" s="170"/>
      <c r="K14" s="179">
        <f>'6'!D3/10</f>
        <v>6</v>
      </c>
      <c r="L14" s="178" t="s">
        <v>3</v>
      </c>
      <c r="M14" s="162"/>
      <c r="N14" s="167"/>
      <c r="O14" s="168"/>
      <c r="P14" s="164"/>
      <c r="Q14" s="164"/>
      <c r="R14" s="164"/>
      <c r="S14" s="164"/>
      <c r="T14" s="164"/>
      <c r="U14" s="164"/>
      <c r="V14" s="169"/>
      <c r="W14" s="169"/>
      <c r="X14" s="169"/>
      <c r="Y14" s="16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row>
    <row r="15" spans="2:53" ht="17.399999999999999" customHeight="1">
      <c r="B15" s="160"/>
      <c r="C15" s="175"/>
      <c r="D15" s="162"/>
      <c r="E15" s="162"/>
      <c r="F15" s="162"/>
      <c r="G15" s="162"/>
      <c r="H15" s="162"/>
      <c r="I15" s="162"/>
      <c r="J15" s="170"/>
      <c r="K15" s="162"/>
      <c r="L15" s="162"/>
      <c r="M15" s="162"/>
      <c r="N15" s="167"/>
      <c r="O15" s="168"/>
      <c r="P15" s="164"/>
      <c r="Q15" s="164"/>
      <c r="R15" s="164"/>
      <c r="S15" s="164"/>
      <c r="T15" s="164"/>
      <c r="U15" s="164"/>
      <c r="V15" s="169"/>
      <c r="W15" s="169"/>
      <c r="X15" s="169"/>
      <c r="Y15" s="16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row>
    <row r="16" spans="2:53" ht="17.399999999999999" customHeight="1">
      <c r="B16" s="160"/>
      <c r="C16" s="162" t="s">
        <v>483</v>
      </c>
      <c r="D16" s="162"/>
      <c r="E16" s="162"/>
      <c r="F16" s="162"/>
      <c r="G16" s="162"/>
      <c r="H16" s="162"/>
      <c r="I16" s="162"/>
      <c r="J16" s="174"/>
      <c r="K16" s="2">
        <v>70</v>
      </c>
      <c r="L16" s="172" t="s">
        <v>12</v>
      </c>
      <c r="M16" s="162"/>
      <c r="N16" s="167"/>
      <c r="O16" s="168"/>
      <c r="P16" s="164"/>
      <c r="Q16" s="164"/>
      <c r="R16" s="164"/>
      <c r="S16" s="164"/>
      <c r="T16" s="164"/>
      <c r="U16" s="164"/>
      <c r="V16" s="169"/>
      <c r="W16" s="169"/>
      <c r="X16" s="169"/>
      <c r="Y16" s="16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row>
    <row r="17" spans="2:53" ht="17.399999999999999" customHeight="1">
      <c r="B17" s="160"/>
      <c r="C17" s="162"/>
      <c r="D17" s="162"/>
      <c r="E17" s="162"/>
      <c r="F17" s="162"/>
      <c r="G17" s="162"/>
      <c r="H17" s="162"/>
      <c r="I17" s="162"/>
      <c r="J17" s="176"/>
      <c r="K17" s="177"/>
      <c r="L17" s="162"/>
      <c r="M17" s="162"/>
      <c r="O17" s="156"/>
      <c r="P17" s="156"/>
      <c r="Q17" s="156"/>
      <c r="R17" s="164"/>
      <c r="S17" s="164"/>
      <c r="T17" s="164"/>
      <c r="U17" s="164"/>
      <c r="V17" s="169"/>
      <c r="W17" s="169"/>
      <c r="X17" s="169"/>
      <c r="Y17" s="16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row>
    <row r="18" spans="2:53" ht="17.399999999999999" customHeight="1">
      <c r="B18" s="160"/>
      <c r="C18" s="162"/>
      <c r="D18" s="162"/>
      <c r="E18" s="162"/>
      <c r="F18" s="162"/>
      <c r="G18" s="162"/>
      <c r="H18" s="162"/>
      <c r="I18" s="162"/>
      <c r="J18" s="176"/>
      <c r="K18" s="171"/>
      <c r="L18" s="178"/>
      <c r="M18" s="162"/>
      <c r="O18" s="156"/>
      <c r="P18" s="156"/>
      <c r="Q18" s="156"/>
      <c r="R18" s="164"/>
      <c r="S18" s="164"/>
      <c r="T18" s="164"/>
      <c r="U18" s="164"/>
      <c r="V18" s="169"/>
      <c r="W18" s="169"/>
      <c r="X18" s="169"/>
      <c r="Y18" s="16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row>
    <row r="19" spans="2:53" ht="17.399999999999999" customHeight="1">
      <c r="C19" s="183" t="s">
        <v>747</v>
      </c>
      <c r="O19" s="168"/>
      <c r="P19" s="164"/>
      <c r="Q19" s="164"/>
      <c r="R19" s="164"/>
      <c r="S19" s="164"/>
      <c r="T19" s="164"/>
      <c r="U19" s="164"/>
      <c r="V19" s="169"/>
      <c r="W19" s="169"/>
      <c r="X19" s="169"/>
      <c r="Y19" s="16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row>
    <row r="20" spans="2:53" ht="17.399999999999999" customHeight="1">
      <c r="C20" s="183"/>
      <c r="O20" s="168"/>
      <c r="P20" s="164"/>
      <c r="Q20" s="164"/>
      <c r="R20" s="164"/>
      <c r="S20" s="164"/>
      <c r="T20" s="164"/>
      <c r="U20" s="164"/>
      <c r="V20" s="169"/>
      <c r="W20" s="169"/>
      <c r="X20" s="169"/>
      <c r="Y20" s="16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row>
    <row r="21" spans="2:53" ht="17.399999999999999" customHeight="1">
      <c r="C21" s="183" t="s">
        <v>766</v>
      </c>
      <c r="F21" s="489" t="str">
        <f>IF(F5="","",F5)</f>
        <v/>
      </c>
      <c r="G21" s="490"/>
      <c r="H21" s="490"/>
      <c r="I21" s="490"/>
      <c r="J21" s="490"/>
      <c r="K21" s="490"/>
      <c r="O21" s="168"/>
      <c r="P21" s="164"/>
      <c r="Q21" s="164"/>
      <c r="R21" s="164"/>
      <c r="S21" s="164"/>
      <c r="T21" s="164"/>
      <c r="U21" s="164"/>
      <c r="V21" s="169"/>
      <c r="W21" s="169"/>
      <c r="X21" s="169"/>
      <c r="Y21" s="16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row>
    <row r="22" spans="2:53" ht="17.399999999999999" customHeight="1">
      <c r="C22" s="183" t="s">
        <v>767</v>
      </c>
      <c r="F22" s="491" t="str">
        <f>IF(F7="","",F7)</f>
        <v>IMI Hydronic Engineering</v>
      </c>
      <c r="G22" s="490"/>
      <c r="H22" s="490"/>
      <c r="I22" s="490"/>
      <c r="J22" s="490"/>
      <c r="K22" s="490"/>
      <c r="O22" s="168"/>
      <c r="P22" s="164"/>
      <c r="Q22" s="164"/>
      <c r="R22" s="164"/>
      <c r="S22" s="164"/>
      <c r="T22" s="164"/>
      <c r="U22" s="164"/>
      <c r="V22" s="169"/>
      <c r="W22" s="169"/>
      <c r="X22" s="169"/>
      <c r="Y22" s="16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row>
    <row r="23" spans="2:53" ht="17.399999999999999" customHeight="1">
      <c r="C23" s="332" t="s">
        <v>768</v>
      </c>
      <c r="D23" s="331"/>
      <c r="E23" s="330"/>
      <c r="F23" s="493">
        <f ca="1">NOW()</f>
        <v>44656.337238425927</v>
      </c>
      <c r="G23" s="493"/>
      <c r="J23" s="329"/>
      <c r="O23" s="168"/>
      <c r="P23" s="164"/>
      <c r="Q23" s="164"/>
      <c r="R23" s="164"/>
      <c r="S23" s="164"/>
      <c r="T23" s="164"/>
      <c r="U23" s="164"/>
      <c r="V23" s="169"/>
      <c r="W23" s="169"/>
      <c r="X23" s="169"/>
      <c r="Y23" s="16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row>
    <row r="24" spans="2:53" ht="17.399999999999999" customHeight="1">
      <c r="C24" s="183"/>
      <c r="J24" s="329"/>
      <c r="O24" s="168"/>
      <c r="P24" s="164"/>
      <c r="Q24" s="164"/>
      <c r="R24" s="164"/>
      <c r="S24" s="164"/>
      <c r="T24" s="164"/>
      <c r="U24" s="164"/>
      <c r="V24" s="169"/>
      <c r="W24" s="169"/>
      <c r="X24" s="169"/>
      <c r="Y24" s="16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row>
    <row r="25" spans="2:53" ht="17.399999999999999" customHeight="1">
      <c r="C25" s="183" t="s">
        <v>660</v>
      </c>
      <c r="O25" s="168"/>
      <c r="P25" s="164"/>
      <c r="Q25" s="164"/>
      <c r="R25" s="164"/>
      <c r="S25" s="164"/>
      <c r="T25" s="164"/>
      <c r="U25" s="164"/>
      <c r="V25" s="169"/>
      <c r="W25" s="169"/>
      <c r="X25" s="169"/>
      <c r="Y25" s="16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row>
    <row r="26" spans="2:53" ht="17.399999999999999" customHeight="1">
      <c r="C26" s="183"/>
      <c r="O26" s="168"/>
      <c r="P26" s="164"/>
      <c r="Q26" s="164"/>
      <c r="R26" s="164"/>
      <c r="S26" s="164"/>
      <c r="T26" s="164"/>
      <c r="U26" s="164"/>
      <c r="V26" s="169"/>
      <c r="W26" s="169"/>
      <c r="X26" s="169"/>
      <c r="Y26" s="16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row>
    <row r="27" spans="2:53" ht="17.399999999999999" customHeight="1">
      <c r="C27" s="183" t="str">
        <f>C9</f>
        <v>1) Pojemność zasobnika c.w.u. [litry]:</v>
      </c>
      <c r="K27" s="183">
        <f>K9</f>
        <v>800</v>
      </c>
      <c r="L27" s="183" t="str">
        <f>L9</f>
        <v>litrów</v>
      </c>
      <c r="O27" s="168"/>
      <c r="P27" s="164"/>
      <c r="Q27" s="164"/>
      <c r="R27" s="164"/>
      <c r="S27" s="164"/>
      <c r="T27" s="164"/>
      <c r="U27" s="164"/>
      <c r="V27" s="169"/>
      <c r="W27" s="169"/>
      <c r="X27" s="169"/>
      <c r="Y27" s="16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row>
    <row r="28" spans="2:53" ht="17.399999999999999" customHeight="1">
      <c r="C28" s="183" t="str">
        <f>C11</f>
        <v xml:space="preserve">2) Ciśnienie robocze instalacji zimnej wody [bar]: </v>
      </c>
      <c r="K28" s="216">
        <f>K11</f>
        <v>3</v>
      </c>
      <c r="L28" s="183" t="str">
        <f>L11</f>
        <v>bar</v>
      </c>
      <c r="O28" s="168"/>
      <c r="P28" s="164"/>
      <c r="Q28" s="164"/>
      <c r="R28" s="164"/>
      <c r="S28" s="164"/>
      <c r="T28" s="164"/>
      <c r="U28" s="164"/>
      <c r="V28" s="169"/>
      <c r="W28" s="169"/>
      <c r="X28" s="169"/>
      <c r="Y28" s="16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row>
    <row r="29" spans="2:53" ht="17.399999999999999" customHeight="1">
      <c r="C29" s="183" t="str">
        <f>C14</f>
        <v>3) PSV - ciśnienie otwarcia zaworu bezpieczeństwa [bar]:</v>
      </c>
      <c r="K29" s="216">
        <f>K14</f>
        <v>6</v>
      </c>
      <c r="L29" s="183" t="str">
        <f>L14</f>
        <v>bar</v>
      </c>
      <c r="O29" s="168"/>
      <c r="P29" s="164"/>
      <c r="Q29" s="164"/>
      <c r="R29" s="164"/>
      <c r="S29" s="164"/>
      <c r="T29" s="164"/>
      <c r="U29" s="164"/>
      <c r="V29" s="169"/>
      <c r="W29" s="169"/>
      <c r="X29" s="169"/>
      <c r="Y29" s="16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row>
    <row r="30" spans="2:53" ht="17.399999999999999" customHeight="1">
      <c r="C30" s="183" t="s">
        <v>752</v>
      </c>
      <c r="K30" s="183">
        <f>K16</f>
        <v>70</v>
      </c>
      <c r="L30" s="183" t="str">
        <f>L16</f>
        <v>˚C</v>
      </c>
      <c r="O30" s="168"/>
      <c r="P30" s="164"/>
      <c r="Q30" s="164"/>
      <c r="R30" s="164"/>
      <c r="S30" s="164"/>
      <c r="T30" s="164"/>
      <c r="U30" s="164"/>
      <c r="V30" s="169"/>
      <c r="W30" s="169"/>
      <c r="X30" s="169"/>
      <c r="Y30" s="16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row>
    <row r="31" spans="2:53" ht="17.399999999999999" customHeight="1">
      <c r="C31" s="183"/>
      <c r="O31" s="168"/>
      <c r="P31" s="164"/>
      <c r="Q31" s="164"/>
      <c r="R31" s="164"/>
      <c r="S31" s="164"/>
      <c r="T31" s="164"/>
      <c r="U31" s="164"/>
      <c r="V31" s="169"/>
      <c r="W31" s="169"/>
      <c r="X31" s="169"/>
      <c r="Y31" s="16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row>
    <row r="32" spans="2:53" ht="17.399999999999999" customHeight="1">
      <c r="C32" s="183" t="s">
        <v>20</v>
      </c>
      <c r="M32" s="184"/>
      <c r="O32" s="168"/>
      <c r="P32" s="164"/>
      <c r="Q32" s="164"/>
      <c r="R32" s="164"/>
      <c r="S32" s="164"/>
      <c r="T32" s="164"/>
      <c r="U32" s="164"/>
      <c r="V32" s="169"/>
      <c r="W32" s="169"/>
      <c r="X32" s="169"/>
      <c r="Y32" s="16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row>
    <row r="33" spans="3:53" ht="17.399999999999999" customHeight="1">
      <c r="L33" s="185"/>
      <c r="O33" s="168"/>
      <c r="P33" s="166"/>
      <c r="Q33" s="164"/>
      <c r="R33" s="164"/>
      <c r="S33" s="164"/>
      <c r="T33" s="164"/>
      <c r="U33" s="164"/>
      <c r="V33" s="169"/>
      <c r="W33" s="169"/>
      <c r="X33" s="169"/>
      <c r="Y33" s="16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row>
    <row r="34" spans="3:53" ht="17.399999999999999" customHeight="1">
      <c r="L34" s="184"/>
      <c r="O34" s="168"/>
      <c r="P34" s="164"/>
      <c r="Q34" s="164"/>
      <c r="R34" s="168"/>
      <c r="S34" s="164"/>
      <c r="T34" s="164"/>
      <c r="U34" s="164"/>
      <c r="V34" s="169"/>
      <c r="W34" s="169"/>
      <c r="X34" s="169"/>
      <c r="Y34" s="16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row>
    <row r="35" spans="3:53" ht="17.399999999999999" customHeight="1">
      <c r="J35" s="1" t="s">
        <v>21</v>
      </c>
      <c r="O35" s="168"/>
      <c r="P35" s="164"/>
      <c r="Q35" s="164"/>
      <c r="R35" s="164"/>
      <c r="S35" s="164"/>
      <c r="T35" s="164"/>
      <c r="U35" s="164"/>
      <c r="V35" s="169"/>
      <c r="W35" s="169"/>
      <c r="X35" s="169"/>
      <c r="Y35" s="16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row>
    <row r="36" spans="3:53" ht="17.399999999999999" customHeight="1">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row>
    <row r="37" spans="3:53" ht="17.399999999999999" customHeight="1">
      <c r="C37" s="1" t="s">
        <v>0</v>
      </c>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row>
    <row r="38" spans="3:53" ht="17.399999999999999" customHeight="1">
      <c r="D38" s="157" t="s">
        <v>486</v>
      </c>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row>
    <row r="39" spans="3:53" ht="17.399999999999999" customHeight="1">
      <c r="D39" s="157" t="s">
        <v>487</v>
      </c>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row>
    <row r="40" spans="3:53" ht="17.399999999999999" customHeight="1">
      <c r="D40" s="157" t="s">
        <v>25</v>
      </c>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row>
    <row r="41" spans="3:53" ht="17.399999999999999" customHeight="1">
      <c r="D41" s="157" t="s">
        <v>67</v>
      </c>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row>
    <row r="42" spans="3:53" ht="17.399999999999999" customHeight="1">
      <c r="D42" s="157" t="s">
        <v>46</v>
      </c>
      <c r="N42" s="186"/>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row>
    <row r="43" spans="3:53" ht="17.399999999999999" customHeight="1">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row>
    <row r="44" spans="3:53" ht="17.399999999999999" customHeight="1">
      <c r="C44" s="183" t="s">
        <v>488</v>
      </c>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row>
    <row r="45" spans="3:53" ht="17.399999999999999" customHeight="1">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row>
    <row r="46" spans="3:53" ht="17.399999999999999" customHeight="1">
      <c r="C46" s="1" t="s">
        <v>28</v>
      </c>
      <c r="E46" s="1"/>
      <c r="F46" s="1"/>
      <c r="G46" s="188"/>
      <c r="H46" s="188"/>
      <c r="I46" s="188"/>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row>
    <row r="47" spans="3:53" ht="17.399999999999999" customHeight="1">
      <c r="D47" s="1" t="s">
        <v>489</v>
      </c>
      <c r="E47" s="190">
        <f>K9</f>
        <v>800</v>
      </c>
      <c r="F47" s="157" t="s">
        <v>21</v>
      </c>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row>
    <row r="48" spans="3:53" ht="17.399999999999999" customHeight="1">
      <c r="D48" s="1" t="s">
        <v>59</v>
      </c>
      <c r="E48" s="12">
        <f>'6'!D7</f>
        <v>2.2397218245040099E-2</v>
      </c>
      <c r="F48" s="187"/>
      <c r="G48" s="191" t="s">
        <v>36</v>
      </c>
      <c r="H48" s="192" t="s">
        <v>60</v>
      </c>
      <c r="I48" s="157">
        <f>K16</f>
        <v>70</v>
      </c>
      <c r="J48" s="193" t="s">
        <v>33</v>
      </c>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row>
    <row r="49" spans="2:53" ht="17.399999999999999" customHeight="1">
      <c r="D49" s="1" t="s">
        <v>490</v>
      </c>
      <c r="E49" s="184">
        <f>K14</f>
        <v>6</v>
      </c>
      <c r="F49" s="157" t="s">
        <v>41</v>
      </c>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row>
    <row r="50" spans="2:53" ht="17.399999999999999" customHeight="1">
      <c r="D50" s="1" t="s">
        <v>491</v>
      </c>
      <c r="E50" s="184">
        <f>K11-0.3</f>
        <v>2.7</v>
      </c>
      <c r="F50" s="157" t="s">
        <v>41</v>
      </c>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row>
    <row r="51" spans="2:53" ht="17.399999999999999" customHeight="1">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row>
    <row r="52" spans="2:53" ht="17.399999999999999" customHeight="1">
      <c r="C52" s="1" t="s">
        <v>32</v>
      </c>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row>
    <row r="53" spans="2:53" ht="17.399999999999999" customHeight="1">
      <c r="D53" s="275" t="s">
        <v>748</v>
      </c>
      <c r="E53" s="239">
        <f>E47*E48*((E49+0.5)*(E50+1.3))/((E50+1)*(E49-E50-0.8))</f>
        <v>50.363474540198276</v>
      </c>
      <c r="F53" s="217" t="s">
        <v>664</v>
      </c>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row>
    <row r="54" spans="2:53" ht="17.399999999999999" customHeight="1">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row>
    <row r="55" spans="2:53" ht="17.399999999999999" customHeight="1">
      <c r="C55" s="183" t="s">
        <v>123</v>
      </c>
      <c r="J55" s="207"/>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row>
    <row r="56" spans="2:53" ht="17.399999999999999" customHeight="1">
      <c r="B56" s="160"/>
      <c r="C56" s="160"/>
      <c r="D56" s="160"/>
      <c r="E56" s="160"/>
      <c r="F56" s="160"/>
      <c r="G56" s="160"/>
      <c r="H56" s="160"/>
      <c r="I56" s="160"/>
      <c r="J56" s="297"/>
      <c r="K56" s="160"/>
      <c r="L56" s="160"/>
      <c r="M56" s="160"/>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row>
    <row r="57" spans="2:53" ht="17.399999999999999" customHeight="1">
      <c r="B57" s="160"/>
      <c r="C57" s="160"/>
      <c r="D57" s="160"/>
      <c r="E57" s="160"/>
      <c r="F57" s="303" t="s">
        <v>124</v>
      </c>
      <c r="G57" s="150">
        <v>1</v>
      </c>
      <c r="H57" s="162" t="s">
        <v>1</v>
      </c>
      <c r="I57" s="160"/>
      <c r="J57" s="298"/>
      <c r="K57" s="160"/>
      <c r="L57" s="160"/>
      <c r="M57" s="160"/>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row>
    <row r="58" spans="2:53" ht="17.399999999999999" customHeight="1">
      <c r="B58" s="160"/>
      <c r="C58" s="339" t="str">
        <f>C78</f>
        <v>Dobrane naczynia spełniają wymagania PAG</v>
      </c>
      <c r="D58" s="160"/>
      <c r="E58" s="300"/>
      <c r="F58" s="300"/>
      <c r="G58" s="301"/>
      <c r="H58" s="301"/>
      <c r="I58" s="302"/>
      <c r="J58" s="298"/>
      <c r="K58" s="160"/>
      <c r="L58" s="160"/>
      <c r="M58" s="160"/>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row>
    <row r="59" spans="2:53" ht="17.399999999999999" customHeight="1">
      <c r="B59" s="160"/>
      <c r="C59" s="272" t="str">
        <f>IF('6'!G8&lt;K14,"Ciśnienie nominalne dla naczynia wzbiorczego jest mniejsze niż wybrane PSV","")</f>
        <v/>
      </c>
      <c r="D59" s="160"/>
      <c r="E59" s="300"/>
      <c r="F59" s="300"/>
      <c r="G59" s="301"/>
      <c r="H59" s="301"/>
      <c r="I59" s="302"/>
      <c r="J59" s="298"/>
      <c r="K59" s="160"/>
      <c r="L59" s="160"/>
      <c r="M59" s="160"/>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row>
    <row r="60" spans="2:53" ht="17.399999999999999" customHeight="1">
      <c r="B60" s="160"/>
      <c r="C60" s="272" t="str">
        <f>IF(C59="Ciśnienie nominalne dla naczynia wzbiorczego jest mniejsze niż wybrane PSV","Wybierz naczynie o wyższym ciśnieniu nominalnym!!!","")</f>
        <v/>
      </c>
      <c r="D60" s="160"/>
      <c r="E60" s="300"/>
      <c r="F60" s="300"/>
      <c r="G60" s="301"/>
      <c r="H60" s="301"/>
      <c r="I60" s="302"/>
      <c r="J60" s="298"/>
      <c r="K60" s="160"/>
      <c r="L60" s="160"/>
      <c r="M60" s="160"/>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row>
    <row r="61" spans="2:53" ht="17.399999999999999" customHeight="1">
      <c r="B61" s="221"/>
      <c r="C61" s="240"/>
      <c r="D61" s="221"/>
      <c r="E61" s="241"/>
      <c r="F61" s="241"/>
      <c r="G61" s="242"/>
      <c r="H61" s="242"/>
      <c r="I61" s="243"/>
      <c r="J61" s="244"/>
      <c r="K61" s="221"/>
      <c r="L61" s="221"/>
      <c r="M61" s="221"/>
      <c r="O61" s="159"/>
      <c r="P61" s="180" t="s">
        <v>226</v>
      </c>
      <c r="Q61" s="180"/>
      <c r="R61" s="180"/>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row>
    <row r="62" spans="2:53" ht="17.399999999999999" customHeight="1">
      <c r="C62" s="157" t="s">
        <v>129</v>
      </c>
      <c r="I62" s="157" t="str">
        <f>VLOOKUP('6'!B11,'6'!A13:B41,2,0)</f>
        <v>Aquapresso ADF 80.10</v>
      </c>
      <c r="L62" s="157" t="s">
        <v>130</v>
      </c>
      <c r="M62" s="188">
        <f>G57</f>
        <v>1</v>
      </c>
      <c r="O62" s="159"/>
      <c r="P62" s="180" t="s">
        <v>479</v>
      </c>
      <c r="R62" s="151" t="s">
        <v>229</v>
      </c>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row>
    <row r="63" spans="2:53" ht="17.399999999999999" customHeight="1">
      <c r="C63" s="157" t="s">
        <v>131</v>
      </c>
      <c r="F63" s="157">
        <f>'6'!G7*'NW do c.w.u.'!M62</f>
        <v>80</v>
      </c>
      <c r="G63" s="157" t="s">
        <v>230</v>
      </c>
      <c r="L63" s="158"/>
      <c r="O63" s="159"/>
      <c r="P63" s="180" t="s">
        <v>228</v>
      </c>
      <c r="R63" s="151" t="s">
        <v>229</v>
      </c>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row>
    <row r="64" spans="2:53" ht="17.399999999999999" customHeight="1">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row>
    <row r="65" spans="3:53" ht="17.399999999999999" customHeight="1">
      <c r="C65" s="183" t="s">
        <v>749</v>
      </c>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row>
    <row r="66" spans="3:53" ht="17.399999999999999" customHeight="1">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row>
    <row r="67" spans="3:53" ht="17.399999999999999" customHeight="1">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row>
    <row r="68" spans="3:53" ht="17.399999999999999" customHeight="1">
      <c r="C68" s="1" t="s">
        <v>0</v>
      </c>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row>
    <row r="69" spans="3:53" ht="17.399999999999999" customHeight="1">
      <c r="D69" s="157" t="s">
        <v>521</v>
      </c>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row>
    <row r="70" spans="3:53" ht="17.399999999999999" customHeight="1">
      <c r="D70" s="157" t="s">
        <v>522</v>
      </c>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row>
    <row r="71" spans="3:53" ht="17.399999999999999" customHeight="1">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row>
    <row r="72" spans="3:53" ht="17.399999999999999" customHeight="1">
      <c r="C72" s="1" t="s">
        <v>28</v>
      </c>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row>
    <row r="73" spans="3:53" ht="17.399999999999999" customHeight="1">
      <c r="D73" s="1" t="s">
        <v>523</v>
      </c>
      <c r="E73" s="187">
        <f>E53</f>
        <v>50.363474540198276</v>
      </c>
      <c r="F73" s="157" t="s">
        <v>21</v>
      </c>
      <c r="G73" s="158"/>
      <c r="H73" s="158"/>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row>
    <row r="74" spans="3:53" ht="17.399999999999999" customHeight="1">
      <c r="D74" s="1" t="s">
        <v>137</v>
      </c>
      <c r="E74" s="1">
        <f>F63</f>
        <v>80</v>
      </c>
      <c r="F74" s="157" t="s">
        <v>21</v>
      </c>
      <c r="G74" s="158"/>
      <c r="H74" s="158"/>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row>
    <row r="75" spans="3:53" ht="17.399999999999999" customHeight="1">
      <c r="E75" s="1"/>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row>
    <row r="76" spans="3:53" ht="17.399999999999999" customHeight="1">
      <c r="F76" s="157" t="s">
        <v>135</v>
      </c>
      <c r="G76" s="157" t="str">
        <f>IF(E74&gt;E73,"większe od",IF(E74=E73,"równe","mniejsze od"))</f>
        <v>większe od</v>
      </c>
      <c r="I76" s="157" t="s">
        <v>134</v>
      </c>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row>
    <row r="77" spans="3:53" ht="17.399999999999999" customHeight="1">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row>
    <row r="78" spans="3:53" ht="17.399999999999999" customHeight="1">
      <c r="C78" s="225" t="str">
        <f>IF('6'!G8&lt;K14,"Dobrane naczynia nie spełniają wymogów PAG",IF(G76="mniejsze od","Dobrane naczynia nie spełniają wymogów PAG","Dobrane naczynia spełniają wymagania PAG"))</f>
        <v>Dobrane naczynia spełniają wymagania PAG</v>
      </c>
      <c r="J78" s="212"/>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row>
    <row r="79" spans="3:53" ht="17.399999999999999" customHeight="1">
      <c r="C79" s="212" t="str">
        <f>IF(G76="mniejsze od","Dobierz naczynie wzbiorcze o większej pojemności lub zwiększ ich liczbę!!!","")</f>
        <v/>
      </c>
      <c r="I79" s="212"/>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row>
    <row r="80" spans="3:53" ht="17.399999999999999" customHeight="1">
      <c r="C80" s="183" t="s">
        <v>750</v>
      </c>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row>
    <row r="81" spans="3:53" ht="17.399999999999999" customHeight="1">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row>
    <row r="82" spans="3:53" ht="17.399999999999999" customHeight="1">
      <c r="C82" s="157" t="s">
        <v>139</v>
      </c>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row>
    <row r="83" spans="3:53" ht="17.399999999999999" customHeight="1">
      <c r="D83" s="183" t="str">
        <f>I62</f>
        <v>Aquapresso ADF 80.10</v>
      </c>
      <c r="H83" s="157" t="s">
        <v>130</v>
      </c>
      <c r="I83" s="183">
        <f>G57</f>
        <v>1</v>
      </c>
      <c r="J83" s="183" t="s">
        <v>1</v>
      </c>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row>
    <row r="84" spans="3:53" ht="17.399999999999999" customHeight="1">
      <c r="D84" s="157" t="s">
        <v>140</v>
      </c>
      <c r="I84" s="157">
        <f>'6'!G7</f>
        <v>80</v>
      </c>
      <c r="J84" s="188" t="s">
        <v>141</v>
      </c>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row>
    <row r="85" spans="3:53" ht="17.399999999999999" customHeight="1">
      <c r="D85" s="157" t="s">
        <v>159</v>
      </c>
      <c r="I85" s="157">
        <f>'6'!G8</f>
        <v>10</v>
      </c>
      <c r="J85" s="188" t="s">
        <v>3</v>
      </c>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row>
    <row r="86" spans="3:53" ht="17.399999999999999" customHeight="1">
      <c r="D86" s="157" t="s">
        <v>142</v>
      </c>
      <c r="I86" s="229">
        <f>VLOOKUP('6'!B11,'6'!A13:G41,6,0)</f>
        <v>7112006</v>
      </c>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row>
    <row r="87" spans="3:53" ht="17.399999999999999" customHeight="1">
      <c r="D87" s="157" t="s">
        <v>145</v>
      </c>
      <c r="I87" s="157">
        <f>I84+'6'!G9</f>
        <v>97.4</v>
      </c>
      <c r="J87" s="188" t="s">
        <v>146</v>
      </c>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row>
    <row r="88" spans="3:53" ht="17.399999999999999" customHeight="1">
      <c r="D88" s="157" t="s">
        <v>147</v>
      </c>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row>
    <row r="89" spans="3:53" ht="17.399999999999999" customHeight="1">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row>
    <row r="90" spans="3:53" ht="17.399999999999999" customHeight="1">
      <c r="C90" s="183" t="s">
        <v>751</v>
      </c>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row>
    <row r="91" spans="3:53" ht="17.399999999999999" customHeight="1">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row>
    <row r="92" spans="3:53" ht="17.399999999999999" customHeight="1">
      <c r="C92" s="221" t="s">
        <v>160</v>
      </c>
      <c r="D92" s="221"/>
      <c r="E92" s="221"/>
      <c r="F92" s="221"/>
      <c r="G92" s="221"/>
      <c r="H92" s="221"/>
      <c r="I92" s="230"/>
      <c r="J92" s="231">
        <f>E50</f>
        <v>2.7</v>
      </c>
      <c r="K92" s="230" t="s">
        <v>3</v>
      </c>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row>
    <row r="93" spans="3:53" ht="17.399999999999999" customHeight="1">
      <c r="C93" s="221" t="s">
        <v>524</v>
      </c>
      <c r="D93" s="221"/>
      <c r="E93" s="221"/>
      <c r="F93" s="221"/>
      <c r="G93" s="221"/>
      <c r="H93" s="221"/>
      <c r="I93" s="232" t="s">
        <v>525</v>
      </c>
      <c r="J93" s="231">
        <f>K11</f>
        <v>3</v>
      </c>
      <c r="K93" s="230" t="s">
        <v>3</v>
      </c>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row>
    <row r="94" spans="3:53" ht="17.399999999999999" customHeight="1">
      <c r="C94" s="221" t="s">
        <v>161</v>
      </c>
      <c r="D94" s="221"/>
      <c r="E94" s="221"/>
      <c r="F94" s="221"/>
      <c r="G94" s="221"/>
      <c r="H94" s="221"/>
      <c r="I94" s="230"/>
      <c r="J94" s="231">
        <f>K14</f>
        <v>6</v>
      </c>
      <c r="K94" s="230" t="s">
        <v>3</v>
      </c>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row>
    <row r="95" spans="3:53" ht="17.399999999999999" customHeight="1">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row>
    <row r="96" spans="3:53" ht="17.399999999999999" customHeight="1">
      <c r="C96" s="157" t="s">
        <v>526</v>
      </c>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row>
    <row r="97" spans="2:53" ht="17.399999999999999" customHeight="1">
      <c r="C97" s="157" t="s">
        <v>528</v>
      </c>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row>
    <row r="98" spans="2:53" ht="17.399999999999999" customHeight="1">
      <c r="C98" s="157" t="s">
        <v>527</v>
      </c>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row>
    <row r="99" spans="2:53" ht="17.399999999999999" customHeight="1">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row>
    <row r="100" spans="2:53" ht="17.399999999999999" customHeight="1">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row>
    <row r="101" spans="2:53" ht="17.399999999999999" customHeight="1">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row>
    <row r="102" spans="2:53" ht="17.399999999999999" customHeight="1">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row>
    <row r="103" spans="2:53" ht="17.399999999999999" customHeight="1">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row>
    <row r="104" spans="2:53" ht="17.399999999999999" customHeight="1">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row>
    <row r="105" spans="2:53" ht="17.399999999999999" customHeight="1">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row>
    <row r="106" spans="2:53" ht="17.399999999999999" customHeight="1">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row>
    <row r="107" spans="2:53" ht="17.399999999999999" customHeight="1">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row>
    <row r="108" spans="2:53" ht="17.399999999999999" customHeight="1">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row>
    <row r="109" spans="2:53" ht="17.399999999999999" customHeight="1">
      <c r="C109" s="210" t="s">
        <v>8</v>
      </c>
      <c r="D109" s="210"/>
      <c r="E109" s="210"/>
      <c r="F109" s="210"/>
      <c r="G109" s="210"/>
      <c r="H109" s="210"/>
      <c r="M109" s="222"/>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row>
    <row r="110" spans="2:53" ht="17.399999999999999" customHeight="1">
      <c r="B110" s="156"/>
      <c r="C110" s="156"/>
      <c r="D110" s="156"/>
      <c r="E110" s="156"/>
      <c r="F110" s="156"/>
      <c r="G110" s="156"/>
      <c r="H110" s="156"/>
      <c r="I110" s="156"/>
      <c r="J110" s="223"/>
      <c r="K110" s="156"/>
      <c r="L110" s="156"/>
      <c r="M110" s="156"/>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row>
    <row r="111" spans="2:53" ht="17.399999999999999" customHeight="1">
      <c r="B111" s="156"/>
      <c r="C111" s="156"/>
      <c r="D111" s="156"/>
      <c r="E111" s="156"/>
      <c r="F111" s="156"/>
      <c r="G111" s="156"/>
      <c r="H111" s="156"/>
      <c r="I111" s="156"/>
      <c r="J111" s="223"/>
      <c r="K111" s="156"/>
      <c r="L111" s="156"/>
      <c r="M111" s="156"/>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row>
    <row r="112" spans="2:53" ht="17.399999999999999" customHeight="1">
      <c r="B112" s="156"/>
      <c r="C112" s="156"/>
      <c r="D112" s="156"/>
      <c r="E112" s="156"/>
      <c r="F112" s="156"/>
      <c r="G112" s="156"/>
      <c r="H112" s="156"/>
      <c r="I112" s="156"/>
      <c r="J112" s="223"/>
      <c r="K112" s="156"/>
      <c r="L112" s="156"/>
      <c r="M112" s="156"/>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row>
    <row r="113" spans="2:53" ht="17.399999999999999" customHeight="1">
      <c r="B113" s="156"/>
      <c r="C113" s="156"/>
      <c r="D113" s="156"/>
      <c r="E113" s="156"/>
      <c r="F113" s="156"/>
      <c r="G113" s="156"/>
      <c r="H113" s="156"/>
      <c r="I113" s="156"/>
      <c r="J113" s="223"/>
      <c r="K113" s="156"/>
      <c r="L113" s="156"/>
      <c r="M113" s="156"/>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row>
    <row r="114" spans="2:53" ht="17.399999999999999" customHeight="1">
      <c r="B114" s="156"/>
      <c r="C114" s="156"/>
      <c r="D114" s="156"/>
      <c r="E114" s="156"/>
      <c r="F114" s="156"/>
      <c r="G114" s="156"/>
      <c r="H114" s="156"/>
      <c r="I114" s="156"/>
      <c r="J114" s="223"/>
      <c r="K114" s="156"/>
      <c r="L114" s="156"/>
      <c r="M114" s="156"/>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row>
    <row r="115" spans="2:53" ht="17.399999999999999" customHeight="1">
      <c r="B115" s="159"/>
      <c r="C115" s="156"/>
      <c r="D115" s="156"/>
      <c r="E115" s="156"/>
      <c r="F115" s="156"/>
      <c r="G115" s="156"/>
      <c r="H115" s="156"/>
      <c r="I115" s="156"/>
      <c r="J115" s="223"/>
      <c r="K115" s="156"/>
      <c r="L115" s="156"/>
      <c r="M115" s="156"/>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row>
    <row r="116" spans="2:53" ht="17.399999999999999" customHeight="1">
      <c r="B116" s="159"/>
      <c r="C116" s="159"/>
      <c r="D116" s="159"/>
      <c r="E116" s="159"/>
      <c r="F116" s="159"/>
      <c r="G116" s="159"/>
      <c r="H116" s="159"/>
      <c r="I116" s="159"/>
      <c r="J116" s="224"/>
      <c r="K116" s="159"/>
      <c r="L116" s="159"/>
      <c r="M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row>
    <row r="117" spans="2:53" ht="17.399999999999999" customHeight="1">
      <c r="B117" s="159"/>
      <c r="C117" s="159"/>
      <c r="D117" s="159"/>
      <c r="E117" s="159"/>
      <c r="F117" s="159"/>
      <c r="G117" s="159"/>
      <c r="H117" s="159"/>
      <c r="I117" s="159"/>
      <c r="J117" s="224"/>
      <c r="K117" s="159"/>
      <c r="L117" s="159"/>
      <c r="M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row>
    <row r="118" spans="2:53" ht="17.399999999999999" customHeight="1">
      <c r="B118" s="159"/>
      <c r="C118" s="159"/>
      <c r="D118" s="159"/>
      <c r="E118" s="159"/>
      <c r="F118" s="159"/>
      <c r="G118" s="159"/>
      <c r="H118" s="159"/>
      <c r="I118" s="159"/>
      <c r="J118" s="224"/>
      <c r="K118" s="159"/>
      <c r="L118" s="159"/>
      <c r="M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row>
    <row r="119" spans="2:53" ht="17.399999999999999" customHeight="1">
      <c r="B119" s="159"/>
      <c r="C119" s="159"/>
      <c r="D119" s="159"/>
      <c r="E119" s="159"/>
      <c r="F119" s="159"/>
      <c r="G119" s="159"/>
      <c r="H119" s="159"/>
      <c r="I119" s="159"/>
      <c r="J119" s="224"/>
      <c r="K119" s="159"/>
      <c r="L119" s="159"/>
      <c r="M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row>
    <row r="120" spans="2:53" ht="17.399999999999999" customHeight="1">
      <c r="B120" s="159"/>
      <c r="C120" s="159"/>
      <c r="D120" s="159"/>
      <c r="E120" s="159"/>
      <c r="F120" s="159"/>
      <c r="G120" s="159"/>
      <c r="H120" s="159"/>
      <c r="I120" s="159"/>
      <c r="J120" s="224"/>
      <c r="K120" s="159"/>
      <c r="L120" s="159"/>
      <c r="M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row>
    <row r="121" spans="2:53" ht="17.399999999999999" customHeight="1">
      <c r="B121" s="159"/>
      <c r="C121" s="159"/>
      <c r="D121" s="159"/>
      <c r="E121" s="159"/>
      <c r="F121" s="159"/>
      <c r="G121" s="159"/>
      <c r="H121" s="159"/>
      <c r="I121" s="159"/>
      <c r="J121" s="224"/>
      <c r="K121" s="159"/>
      <c r="L121" s="159"/>
      <c r="M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row>
    <row r="122" spans="2:53" ht="17.399999999999999" customHeight="1">
      <c r="B122" s="159"/>
      <c r="C122" s="159"/>
      <c r="D122" s="159"/>
      <c r="E122" s="159"/>
      <c r="F122" s="159"/>
      <c r="G122" s="159"/>
      <c r="H122" s="159"/>
      <c r="I122" s="159"/>
      <c r="J122" s="224"/>
      <c r="K122" s="159"/>
      <c r="L122" s="159"/>
      <c r="M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row>
    <row r="123" spans="2:53" ht="17.399999999999999" customHeight="1">
      <c r="B123" s="159"/>
      <c r="C123" s="159"/>
      <c r="D123" s="159"/>
      <c r="E123" s="159"/>
      <c r="F123" s="159"/>
      <c r="G123" s="159"/>
      <c r="H123" s="159"/>
      <c r="I123" s="159"/>
      <c r="J123" s="224"/>
      <c r="K123" s="159"/>
      <c r="L123" s="159"/>
      <c r="M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row>
    <row r="124" spans="2:53" ht="17.399999999999999" customHeight="1">
      <c r="B124" s="159"/>
      <c r="C124" s="159"/>
      <c r="D124" s="159"/>
      <c r="E124" s="159"/>
      <c r="F124" s="159"/>
      <c r="G124" s="159"/>
      <c r="H124" s="159"/>
      <c r="I124" s="159"/>
      <c r="J124" s="224"/>
      <c r="K124" s="159"/>
      <c r="L124" s="159"/>
      <c r="M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row>
    <row r="125" spans="2:53" ht="17.399999999999999" customHeight="1">
      <c r="B125" s="159"/>
      <c r="C125" s="159"/>
      <c r="D125" s="159"/>
      <c r="E125" s="159"/>
      <c r="F125" s="159"/>
      <c r="G125" s="159"/>
      <c r="H125" s="159"/>
      <c r="I125" s="159"/>
      <c r="J125" s="224"/>
      <c r="K125" s="159"/>
      <c r="L125" s="159"/>
      <c r="M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row>
    <row r="126" spans="2:53" ht="17.399999999999999" customHeight="1">
      <c r="B126" s="159"/>
      <c r="C126" s="159"/>
      <c r="D126" s="159"/>
      <c r="E126" s="159"/>
      <c r="F126" s="159"/>
      <c r="G126" s="159"/>
      <c r="H126" s="159"/>
      <c r="I126" s="159"/>
      <c r="J126" s="224"/>
      <c r="K126" s="159"/>
      <c r="L126" s="159"/>
      <c r="M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row>
    <row r="127" spans="2:53" ht="17.399999999999999" customHeight="1">
      <c r="B127" s="159"/>
      <c r="C127" s="159"/>
      <c r="D127" s="159"/>
      <c r="E127" s="159"/>
      <c r="F127" s="159"/>
      <c r="G127" s="159"/>
      <c r="H127" s="159"/>
      <c r="I127" s="159"/>
      <c r="J127" s="224"/>
      <c r="K127" s="159"/>
      <c r="L127" s="159"/>
      <c r="M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row>
    <row r="128" spans="2:53" ht="17.399999999999999" customHeight="1">
      <c r="B128" s="159"/>
      <c r="C128" s="159"/>
      <c r="D128" s="159"/>
      <c r="E128" s="159"/>
      <c r="F128" s="159"/>
      <c r="G128" s="159"/>
      <c r="H128" s="159"/>
      <c r="I128" s="159"/>
      <c r="J128" s="224"/>
      <c r="K128" s="159"/>
      <c r="L128" s="159"/>
      <c r="M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row>
    <row r="129" spans="2:53" ht="17.399999999999999" customHeight="1">
      <c r="B129" s="159"/>
      <c r="C129" s="159"/>
      <c r="D129" s="159"/>
      <c r="E129" s="159"/>
      <c r="F129" s="159"/>
      <c r="G129" s="159"/>
      <c r="H129" s="159"/>
      <c r="I129" s="159"/>
      <c r="J129" s="224"/>
      <c r="K129" s="159"/>
      <c r="L129" s="159"/>
      <c r="M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row>
    <row r="130" spans="2:53" ht="17.399999999999999" customHeight="1">
      <c r="B130" s="159"/>
      <c r="C130" s="159"/>
      <c r="D130" s="159"/>
      <c r="E130" s="159"/>
      <c r="F130" s="159"/>
      <c r="G130" s="159"/>
      <c r="H130" s="159"/>
      <c r="I130" s="159"/>
      <c r="J130" s="224"/>
      <c r="K130" s="159"/>
      <c r="L130" s="159"/>
      <c r="M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row>
    <row r="131" spans="2:53" ht="17.399999999999999" customHeight="1">
      <c r="B131" s="159"/>
      <c r="C131" s="159"/>
      <c r="D131" s="159"/>
      <c r="E131" s="159"/>
      <c r="F131" s="159"/>
      <c r="G131" s="159"/>
      <c r="H131" s="159"/>
      <c r="I131" s="159"/>
      <c r="J131" s="224"/>
      <c r="K131" s="159"/>
      <c r="L131" s="159"/>
      <c r="M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row>
    <row r="132" spans="2:53" ht="17.399999999999999" customHeight="1">
      <c r="B132" s="159"/>
      <c r="C132" s="159"/>
      <c r="D132" s="159"/>
      <c r="E132" s="159"/>
      <c r="F132" s="159"/>
      <c r="G132" s="159"/>
      <c r="H132" s="159"/>
      <c r="I132" s="159"/>
      <c r="J132" s="224"/>
      <c r="K132" s="159"/>
      <c r="L132" s="159"/>
      <c r="M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row>
    <row r="133" spans="2:53" ht="17.399999999999999" customHeight="1">
      <c r="B133" s="159"/>
      <c r="C133" s="159"/>
      <c r="D133" s="159"/>
      <c r="E133" s="159"/>
      <c r="F133" s="159"/>
      <c r="G133" s="159"/>
      <c r="H133" s="159"/>
      <c r="I133" s="159"/>
      <c r="J133" s="224"/>
      <c r="K133" s="159"/>
      <c r="L133" s="159"/>
      <c r="M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row>
    <row r="134" spans="2:53" ht="17.399999999999999" customHeight="1">
      <c r="B134" s="159"/>
      <c r="C134" s="159"/>
      <c r="D134" s="159"/>
      <c r="E134" s="159"/>
      <c r="F134" s="159"/>
      <c r="G134" s="159"/>
      <c r="H134" s="159"/>
      <c r="I134" s="159"/>
      <c r="J134" s="224"/>
      <c r="K134" s="159"/>
      <c r="L134" s="159"/>
      <c r="M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row>
    <row r="135" spans="2:53" ht="17.399999999999999" customHeight="1">
      <c r="B135" s="159"/>
      <c r="C135" s="159"/>
      <c r="D135" s="159"/>
      <c r="E135" s="159"/>
      <c r="F135" s="159"/>
      <c r="G135" s="159"/>
      <c r="H135" s="159"/>
      <c r="I135" s="159"/>
      <c r="J135" s="224"/>
      <c r="K135" s="159"/>
      <c r="L135" s="159"/>
      <c r="M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row>
    <row r="136" spans="2:53" ht="17.399999999999999" customHeight="1">
      <c r="B136" s="159"/>
      <c r="C136" s="159"/>
      <c r="D136" s="159"/>
      <c r="E136" s="159"/>
      <c r="F136" s="159"/>
      <c r="G136" s="159"/>
      <c r="H136" s="159"/>
      <c r="I136" s="159"/>
      <c r="J136" s="224"/>
      <c r="K136" s="159"/>
      <c r="L136" s="159"/>
      <c r="M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row>
    <row r="137" spans="2:53" ht="17.399999999999999" customHeight="1">
      <c r="B137" s="159"/>
      <c r="C137" s="159"/>
      <c r="D137" s="159"/>
      <c r="E137" s="159"/>
      <c r="F137" s="159"/>
      <c r="G137" s="159"/>
      <c r="H137" s="159"/>
      <c r="I137" s="159"/>
      <c r="J137" s="224"/>
      <c r="K137" s="159"/>
      <c r="L137" s="159"/>
      <c r="M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row>
    <row r="138" spans="2:53" ht="17.399999999999999" customHeight="1">
      <c r="B138" s="159"/>
      <c r="C138" s="159"/>
      <c r="D138" s="159"/>
      <c r="E138" s="159"/>
      <c r="F138" s="159"/>
      <c r="G138" s="159"/>
      <c r="H138" s="159"/>
      <c r="I138" s="159"/>
      <c r="J138" s="224"/>
      <c r="K138" s="159"/>
      <c r="L138" s="159"/>
      <c r="M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row>
    <row r="139" spans="2:53" ht="17.399999999999999" customHeight="1">
      <c r="B139" s="159"/>
      <c r="C139" s="159"/>
      <c r="D139" s="159"/>
      <c r="E139" s="159"/>
      <c r="F139" s="159"/>
      <c r="G139" s="159"/>
      <c r="H139" s="159"/>
      <c r="I139" s="159"/>
      <c r="J139" s="224"/>
      <c r="K139" s="159"/>
      <c r="L139" s="159"/>
      <c r="M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row>
    <row r="140" spans="2:53" ht="17.399999999999999" customHeight="1">
      <c r="B140" s="159"/>
      <c r="C140" s="159"/>
      <c r="D140" s="159"/>
      <c r="E140" s="159"/>
      <c r="F140" s="159"/>
      <c r="G140" s="159"/>
      <c r="H140" s="159"/>
      <c r="I140" s="159"/>
      <c r="J140" s="224"/>
      <c r="K140" s="159"/>
      <c r="L140" s="159"/>
      <c r="M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row>
    <row r="141" spans="2:53" ht="17.399999999999999" customHeight="1">
      <c r="B141" s="159"/>
      <c r="C141" s="159"/>
      <c r="D141" s="159"/>
      <c r="E141" s="159"/>
      <c r="F141" s="159"/>
      <c r="G141" s="159"/>
      <c r="H141" s="159"/>
      <c r="I141" s="159"/>
      <c r="J141" s="224"/>
      <c r="K141" s="159"/>
      <c r="L141" s="159"/>
      <c r="M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row>
    <row r="142" spans="2:53" ht="17.399999999999999" customHeight="1">
      <c r="B142" s="159"/>
      <c r="C142" s="159"/>
      <c r="D142" s="159"/>
      <c r="E142" s="159"/>
      <c r="F142" s="159"/>
      <c r="G142" s="159"/>
      <c r="H142" s="159"/>
      <c r="I142" s="159"/>
      <c r="J142" s="224"/>
      <c r="K142" s="159"/>
      <c r="L142" s="159"/>
      <c r="M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row>
    <row r="143" spans="2:53" ht="17.399999999999999" customHeight="1">
      <c r="B143" s="159"/>
      <c r="C143" s="159"/>
      <c r="D143" s="159"/>
      <c r="E143" s="159"/>
      <c r="F143" s="159"/>
      <c r="G143" s="159"/>
      <c r="H143" s="159"/>
      <c r="I143" s="159"/>
      <c r="J143" s="224"/>
      <c r="K143" s="159"/>
      <c r="L143" s="159"/>
      <c r="M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row>
    <row r="144" spans="2:53" ht="17.399999999999999" customHeight="1">
      <c r="B144" s="159"/>
      <c r="C144" s="159"/>
      <c r="D144" s="159"/>
      <c r="E144" s="159"/>
      <c r="F144" s="159"/>
      <c r="G144" s="159"/>
      <c r="H144" s="159"/>
      <c r="I144" s="159"/>
      <c r="J144" s="224"/>
      <c r="K144" s="159"/>
      <c r="L144" s="159"/>
      <c r="M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row>
    <row r="145" spans="2:53" ht="17.399999999999999" customHeight="1">
      <c r="B145" s="159"/>
      <c r="C145" s="159"/>
      <c r="D145" s="159"/>
      <c r="E145" s="159"/>
      <c r="F145" s="159"/>
      <c r="G145" s="159"/>
      <c r="H145" s="159"/>
      <c r="I145" s="159"/>
      <c r="J145" s="224"/>
      <c r="K145" s="159"/>
      <c r="L145" s="159"/>
      <c r="M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row>
    <row r="146" spans="2:53" ht="17.399999999999999" customHeight="1">
      <c r="B146" s="159"/>
      <c r="C146" s="159"/>
      <c r="D146" s="159"/>
      <c r="E146" s="159"/>
      <c r="F146" s="159"/>
      <c r="G146" s="159"/>
      <c r="H146" s="159"/>
      <c r="I146" s="159"/>
      <c r="J146" s="224"/>
      <c r="K146" s="159"/>
      <c r="L146" s="159"/>
      <c r="M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row>
    <row r="147" spans="2:53" ht="17.399999999999999" customHeight="1">
      <c r="B147" s="159"/>
      <c r="C147" s="159"/>
      <c r="D147" s="159"/>
      <c r="E147" s="159"/>
      <c r="F147" s="159"/>
      <c r="G147" s="159"/>
      <c r="H147" s="159"/>
      <c r="I147" s="159"/>
      <c r="J147" s="224"/>
      <c r="K147" s="159"/>
      <c r="L147" s="159"/>
      <c r="M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row>
    <row r="148" spans="2:53" ht="17.399999999999999" customHeight="1">
      <c r="B148" s="159"/>
      <c r="C148" s="159"/>
      <c r="D148" s="159"/>
      <c r="E148" s="159"/>
      <c r="F148" s="159"/>
      <c r="G148" s="159"/>
      <c r="H148" s="159"/>
      <c r="I148" s="159"/>
      <c r="J148" s="224"/>
      <c r="K148" s="159"/>
      <c r="L148" s="159"/>
      <c r="M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row>
    <row r="149" spans="2:53" ht="17.399999999999999" customHeight="1">
      <c r="B149" s="159"/>
      <c r="C149" s="159"/>
      <c r="D149" s="159"/>
      <c r="E149" s="159"/>
      <c r="F149" s="159"/>
      <c r="G149" s="159"/>
      <c r="H149" s="159"/>
      <c r="I149" s="159"/>
      <c r="J149" s="224"/>
      <c r="K149" s="159"/>
      <c r="L149" s="159"/>
      <c r="M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row>
    <row r="150" spans="2:53" ht="17.399999999999999" customHeight="1">
      <c r="B150" s="159"/>
      <c r="C150" s="159"/>
      <c r="D150" s="159"/>
      <c r="E150" s="159"/>
      <c r="F150" s="159"/>
      <c r="G150" s="159"/>
      <c r="H150" s="159"/>
      <c r="I150" s="159"/>
      <c r="J150" s="224"/>
      <c r="K150" s="159"/>
      <c r="L150" s="159"/>
      <c r="M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row>
    <row r="151" spans="2:53" ht="17.399999999999999" customHeight="1">
      <c r="B151" s="159"/>
      <c r="C151" s="159"/>
      <c r="D151" s="159"/>
      <c r="E151" s="159"/>
      <c r="F151" s="159"/>
      <c r="G151" s="159"/>
      <c r="H151" s="159"/>
      <c r="I151" s="159"/>
      <c r="J151" s="224"/>
      <c r="K151" s="159"/>
      <c r="L151" s="159"/>
      <c r="M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row>
    <row r="152" spans="2:53" ht="17.399999999999999" customHeight="1">
      <c r="B152" s="159"/>
      <c r="C152" s="159"/>
      <c r="D152" s="159"/>
      <c r="E152" s="159"/>
      <c r="F152" s="159"/>
      <c r="G152" s="159"/>
      <c r="H152" s="159"/>
      <c r="I152" s="159"/>
      <c r="J152" s="224"/>
      <c r="K152" s="159"/>
      <c r="L152" s="159"/>
      <c r="M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row>
    <row r="153" spans="2:53" ht="17.399999999999999" customHeight="1">
      <c r="B153" s="159"/>
      <c r="C153" s="159"/>
      <c r="D153" s="159"/>
      <c r="E153" s="159"/>
      <c r="F153" s="159"/>
      <c r="G153" s="159"/>
      <c r="H153" s="159"/>
      <c r="I153" s="159"/>
      <c r="J153" s="224"/>
      <c r="K153" s="159"/>
      <c r="L153" s="159"/>
      <c r="M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row>
    <row r="154" spans="2:53" ht="17.399999999999999" customHeight="1">
      <c r="B154" s="159"/>
      <c r="C154" s="159"/>
      <c r="D154" s="159"/>
      <c r="E154" s="159"/>
      <c r="F154" s="159"/>
      <c r="G154" s="159"/>
      <c r="H154" s="159"/>
      <c r="I154" s="159"/>
      <c r="J154" s="224"/>
      <c r="K154" s="159"/>
      <c r="L154" s="159"/>
      <c r="M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row>
    <row r="155" spans="2:53" ht="17.399999999999999" customHeight="1">
      <c r="B155" s="159"/>
      <c r="C155" s="159"/>
      <c r="D155" s="159"/>
      <c r="E155" s="159"/>
      <c r="F155" s="159"/>
      <c r="G155" s="159"/>
      <c r="H155" s="159"/>
      <c r="I155" s="159"/>
      <c r="J155" s="224"/>
      <c r="K155" s="159"/>
      <c r="L155" s="159"/>
      <c r="M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row>
    <row r="156" spans="2:53" ht="17.399999999999999" customHeight="1">
      <c r="B156" s="159"/>
      <c r="C156" s="159"/>
      <c r="D156" s="159"/>
      <c r="E156" s="159"/>
      <c r="F156" s="159"/>
      <c r="G156" s="159"/>
      <c r="H156" s="159"/>
      <c r="I156" s="159"/>
      <c r="J156" s="224"/>
      <c r="K156" s="159"/>
      <c r="L156" s="159"/>
      <c r="M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row>
    <row r="157" spans="2:53" ht="17.399999999999999" customHeight="1">
      <c r="B157" s="159"/>
      <c r="C157" s="159"/>
      <c r="D157" s="159"/>
      <c r="E157" s="159"/>
      <c r="F157" s="159"/>
      <c r="G157" s="159"/>
      <c r="H157" s="159"/>
      <c r="I157" s="159"/>
      <c r="J157" s="224"/>
      <c r="K157" s="159"/>
      <c r="L157" s="159"/>
      <c r="M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row>
    <row r="158" spans="2:53" ht="17.399999999999999" customHeight="1">
      <c r="B158" s="159"/>
      <c r="C158" s="159"/>
      <c r="D158" s="159"/>
      <c r="E158" s="159"/>
      <c r="F158" s="159"/>
      <c r="G158" s="159"/>
      <c r="H158" s="159"/>
      <c r="I158" s="159"/>
      <c r="J158" s="224"/>
      <c r="K158" s="159"/>
      <c r="L158" s="159"/>
      <c r="M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row>
    <row r="159" spans="2:53" ht="17.399999999999999" customHeight="1">
      <c r="B159" s="159"/>
      <c r="C159" s="159"/>
      <c r="D159" s="159"/>
      <c r="E159" s="159"/>
      <c r="F159" s="159"/>
      <c r="G159" s="159"/>
      <c r="H159" s="159"/>
      <c r="I159" s="159"/>
      <c r="J159" s="224"/>
      <c r="K159" s="159"/>
      <c r="L159" s="159"/>
      <c r="M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row>
    <row r="160" spans="2:53" ht="17.399999999999999" customHeight="1">
      <c r="B160" s="159"/>
      <c r="C160" s="159"/>
      <c r="D160" s="159"/>
      <c r="E160" s="159"/>
      <c r="F160" s="159"/>
      <c r="G160" s="159"/>
      <c r="H160" s="159"/>
      <c r="I160" s="159"/>
      <c r="J160" s="224"/>
      <c r="K160" s="159"/>
      <c r="L160" s="159"/>
      <c r="M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row>
    <row r="161" spans="2:53" ht="17.399999999999999" customHeight="1">
      <c r="B161" s="159"/>
      <c r="C161" s="159"/>
      <c r="D161" s="159"/>
      <c r="E161" s="159"/>
      <c r="F161" s="159"/>
      <c r="G161" s="159"/>
      <c r="H161" s="159"/>
      <c r="I161" s="159"/>
      <c r="J161" s="224"/>
      <c r="K161" s="159"/>
      <c r="L161" s="159"/>
      <c r="M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row>
    <row r="162" spans="2:53" ht="17.399999999999999" customHeight="1">
      <c r="B162" s="159"/>
      <c r="C162" s="159"/>
      <c r="D162" s="159"/>
      <c r="E162" s="159"/>
      <c r="F162" s="159"/>
      <c r="G162" s="159"/>
      <c r="H162" s="159"/>
      <c r="I162" s="159"/>
      <c r="J162" s="224"/>
      <c r="K162" s="159"/>
      <c r="L162" s="159"/>
      <c r="M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row>
    <row r="163" spans="2:53" ht="17.399999999999999" customHeight="1">
      <c r="B163" s="159"/>
      <c r="C163" s="159"/>
      <c r="D163" s="159"/>
      <c r="E163" s="159"/>
      <c r="F163" s="159"/>
      <c r="G163" s="159"/>
      <c r="H163" s="159"/>
      <c r="I163" s="159"/>
      <c r="J163" s="224"/>
      <c r="K163" s="159"/>
      <c r="L163" s="159"/>
      <c r="M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row>
    <row r="164" spans="2:53" ht="17.399999999999999" customHeight="1">
      <c r="B164" s="159"/>
      <c r="C164" s="159"/>
      <c r="D164" s="159"/>
      <c r="E164" s="159"/>
      <c r="F164" s="159"/>
      <c r="G164" s="159"/>
      <c r="H164" s="159"/>
      <c r="I164" s="159"/>
      <c r="J164" s="224"/>
      <c r="K164" s="159"/>
      <c r="L164" s="159"/>
      <c r="M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row>
    <row r="165" spans="2:53" ht="17.399999999999999" customHeight="1">
      <c r="B165" s="159"/>
      <c r="C165" s="159"/>
      <c r="D165" s="159"/>
      <c r="E165" s="159"/>
      <c r="F165" s="159"/>
      <c r="G165" s="159"/>
      <c r="H165" s="159"/>
      <c r="I165" s="159"/>
      <c r="J165" s="224"/>
      <c r="K165" s="159"/>
      <c r="L165" s="159"/>
      <c r="M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row>
    <row r="166" spans="2:53" ht="17.399999999999999" customHeight="1">
      <c r="B166" s="159"/>
      <c r="C166" s="159"/>
      <c r="D166" s="159"/>
      <c r="E166" s="159"/>
      <c r="F166" s="159"/>
      <c r="G166" s="159"/>
      <c r="H166" s="159"/>
      <c r="I166" s="159"/>
      <c r="J166" s="224"/>
      <c r="K166" s="159"/>
      <c r="L166" s="159"/>
      <c r="M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row>
    <row r="167" spans="2:53" ht="17.399999999999999" customHeight="1">
      <c r="B167" s="159"/>
      <c r="C167" s="159"/>
      <c r="D167" s="159"/>
      <c r="E167" s="159"/>
      <c r="F167" s="159"/>
      <c r="G167" s="159"/>
      <c r="H167" s="159"/>
      <c r="I167" s="159"/>
      <c r="J167" s="224"/>
      <c r="K167" s="159"/>
      <c r="L167" s="159"/>
      <c r="M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row>
    <row r="168" spans="2:53" ht="17.399999999999999" customHeight="1">
      <c r="B168" s="159"/>
      <c r="C168" s="159"/>
      <c r="D168" s="159"/>
      <c r="E168" s="159"/>
      <c r="F168" s="159"/>
      <c r="G168" s="159"/>
      <c r="H168" s="159"/>
      <c r="I168" s="159"/>
      <c r="J168" s="224"/>
      <c r="K168" s="159"/>
      <c r="L168" s="159"/>
      <c r="M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row>
    <row r="169" spans="2:53" ht="17.399999999999999" customHeight="1">
      <c r="B169" s="159"/>
      <c r="C169" s="159"/>
      <c r="D169" s="159"/>
      <c r="E169" s="159"/>
      <c r="F169" s="159"/>
      <c r="G169" s="159"/>
      <c r="H169" s="159"/>
      <c r="I169" s="159"/>
      <c r="J169" s="224"/>
      <c r="K169" s="159"/>
      <c r="L169" s="159"/>
      <c r="M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row>
    <row r="170" spans="2:53" ht="17.399999999999999" customHeight="1">
      <c r="B170" s="159"/>
      <c r="C170" s="159"/>
      <c r="D170" s="159"/>
      <c r="E170" s="159"/>
      <c r="F170" s="159"/>
      <c r="G170" s="159"/>
      <c r="H170" s="159"/>
      <c r="I170" s="159"/>
      <c r="J170" s="224"/>
      <c r="K170" s="159"/>
      <c r="L170" s="159"/>
      <c r="M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row>
    <row r="171" spans="2:53" ht="17.399999999999999" customHeight="1">
      <c r="B171" s="159"/>
      <c r="C171" s="159"/>
      <c r="D171" s="159"/>
      <c r="E171" s="159"/>
      <c r="F171" s="159"/>
      <c r="G171" s="159"/>
      <c r="H171" s="159"/>
      <c r="I171" s="159"/>
      <c r="J171" s="224"/>
      <c r="K171" s="159"/>
      <c r="L171" s="159"/>
      <c r="M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row>
    <row r="172" spans="2:53" ht="17.399999999999999" customHeight="1">
      <c r="B172" s="159"/>
      <c r="C172" s="159"/>
      <c r="D172" s="159"/>
      <c r="E172" s="159"/>
      <c r="F172" s="159"/>
      <c r="G172" s="159"/>
      <c r="H172" s="159"/>
      <c r="I172" s="159"/>
      <c r="J172" s="224"/>
      <c r="K172" s="159"/>
      <c r="L172" s="159"/>
      <c r="M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row>
    <row r="173" spans="2:53" ht="17.399999999999999" customHeight="1">
      <c r="B173" s="159"/>
      <c r="C173" s="159"/>
      <c r="D173" s="159"/>
      <c r="E173" s="159"/>
      <c r="F173" s="159"/>
      <c r="G173" s="159"/>
      <c r="H173" s="159"/>
      <c r="I173" s="159"/>
      <c r="J173" s="224"/>
      <c r="K173" s="159"/>
      <c r="L173" s="159"/>
      <c r="M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row>
    <row r="174" spans="2:53" ht="17.399999999999999" customHeight="1">
      <c r="B174" s="159"/>
      <c r="C174" s="159"/>
      <c r="D174" s="159"/>
      <c r="E174" s="159"/>
      <c r="F174" s="159"/>
      <c r="G174" s="159"/>
      <c r="H174" s="159"/>
      <c r="I174" s="159"/>
      <c r="J174" s="224"/>
      <c r="K174" s="159"/>
      <c r="L174" s="159"/>
      <c r="M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row>
    <row r="175" spans="2:53" ht="17.399999999999999" customHeight="1">
      <c r="B175" s="159"/>
      <c r="C175" s="159"/>
      <c r="D175" s="159"/>
      <c r="E175" s="159"/>
      <c r="F175" s="159"/>
      <c r="G175" s="159"/>
      <c r="H175" s="159"/>
      <c r="I175" s="159"/>
      <c r="J175" s="224"/>
      <c r="K175" s="159"/>
      <c r="L175" s="159"/>
      <c r="M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row>
    <row r="176" spans="2:53" ht="17.399999999999999" customHeight="1">
      <c r="B176" s="159"/>
      <c r="C176" s="159"/>
      <c r="D176" s="159"/>
      <c r="E176" s="159"/>
      <c r="F176" s="159"/>
      <c r="G176" s="159"/>
      <c r="H176" s="159"/>
      <c r="I176" s="159"/>
      <c r="J176" s="224"/>
      <c r="K176" s="159"/>
      <c r="L176" s="159"/>
      <c r="M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row>
    <row r="177" spans="2:53" ht="17.399999999999999" customHeight="1">
      <c r="B177" s="159"/>
      <c r="C177" s="159"/>
      <c r="D177" s="159"/>
      <c r="E177" s="159"/>
      <c r="F177" s="159"/>
      <c r="G177" s="159"/>
      <c r="H177" s="159"/>
      <c r="I177" s="159"/>
      <c r="J177" s="224"/>
      <c r="K177" s="159"/>
      <c r="L177" s="159"/>
      <c r="M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row>
    <row r="178" spans="2:53" ht="17.399999999999999" customHeight="1">
      <c r="B178" s="159"/>
      <c r="C178" s="159"/>
      <c r="D178" s="159"/>
      <c r="E178" s="159"/>
      <c r="F178" s="159"/>
      <c r="G178" s="159"/>
      <c r="H178" s="159"/>
      <c r="I178" s="159"/>
      <c r="J178" s="224"/>
      <c r="K178" s="159"/>
      <c r="L178" s="159"/>
      <c r="M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row>
    <row r="179" spans="2:53" ht="17.399999999999999" customHeight="1">
      <c r="B179" s="159"/>
      <c r="C179" s="159"/>
      <c r="D179" s="159"/>
      <c r="E179" s="159"/>
      <c r="F179" s="159"/>
      <c r="G179" s="159"/>
      <c r="H179" s="159"/>
      <c r="I179" s="159"/>
      <c r="J179" s="224"/>
      <c r="K179" s="159"/>
      <c r="L179" s="159"/>
      <c r="M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row>
    <row r="180" spans="2:53" ht="17.399999999999999" customHeight="1">
      <c r="B180" s="159"/>
      <c r="C180" s="159"/>
      <c r="D180" s="159"/>
      <c r="E180" s="159"/>
      <c r="F180" s="159"/>
      <c r="G180" s="159"/>
      <c r="H180" s="159"/>
      <c r="I180" s="159"/>
      <c r="J180" s="224"/>
      <c r="K180" s="159"/>
      <c r="L180" s="159"/>
      <c r="M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row>
    <row r="181" spans="2:53" ht="17.399999999999999" customHeight="1">
      <c r="B181" s="159"/>
      <c r="C181" s="159"/>
      <c r="D181" s="159"/>
      <c r="E181" s="159"/>
      <c r="F181" s="159"/>
      <c r="G181" s="159"/>
      <c r="H181" s="159"/>
      <c r="I181" s="159"/>
      <c r="J181" s="224"/>
      <c r="K181" s="159"/>
      <c r="L181" s="159"/>
      <c r="M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row>
    <row r="182" spans="2:53" ht="17.399999999999999" customHeight="1">
      <c r="B182" s="159"/>
      <c r="C182" s="159"/>
      <c r="D182" s="159"/>
      <c r="E182" s="159"/>
      <c r="F182" s="159"/>
      <c r="G182" s="159"/>
      <c r="H182" s="159"/>
      <c r="I182" s="159"/>
      <c r="J182" s="224"/>
      <c r="K182" s="159"/>
      <c r="L182" s="159"/>
      <c r="M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row>
    <row r="183" spans="2:53" ht="17.399999999999999" customHeight="1">
      <c r="B183" s="159"/>
      <c r="C183" s="159"/>
      <c r="D183" s="159"/>
      <c r="E183" s="159"/>
      <c r="F183" s="159"/>
      <c r="G183" s="159"/>
      <c r="H183" s="159"/>
      <c r="I183" s="159"/>
      <c r="J183" s="224"/>
      <c r="K183" s="159"/>
      <c r="L183" s="159"/>
      <c r="M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row>
    <row r="184" spans="2:53" ht="17.399999999999999" customHeight="1">
      <c r="B184" s="159"/>
      <c r="C184" s="159"/>
      <c r="D184" s="159"/>
      <c r="E184" s="159"/>
      <c r="F184" s="159"/>
      <c r="G184" s="159"/>
      <c r="H184" s="159"/>
      <c r="I184" s="159"/>
      <c r="J184" s="224"/>
      <c r="K184" s="159"/>
      <c r="L184" s="159"/>
      <c r="M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row>
    <row r="185" spans="2:53" ht="17.399999999999999" customHeight="1">
      <c r="B185" s="159"/>
      <c r="C185" s="159"/>
      <c r="D185" s="159"/>
      <c r="E185" s="159"/>
      <c r="F185" s="159"/>
      <c r="G185" s="159"/>
      <c r="H185" s="159"/>
      <c r="I185" s="159"/>
      <c r="J185" s="224"/>
      <c r="K185" s="159"/>
      <c r="L185" s="159"/>
      <c r="M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row>
    <row r="186" spans="2:53" ht="17.399999999999999" customHeight="1">
      <c r="B186" s="159"/>
      <c r="C186" s="159"/>
      <c r="D186" s="159"/>
      <c r="E186" s="159"/>
      <c r="F186" s="159"/>
      <c r="G186" s="159"/>
      <c r="H186" s="159"/>
      <c r="I186" s="159"/>
      <c r="J186" s="224"/>
      <c r="K186" s="159"/>
      <c r="L186" s="159"/>
      <c r="M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row>
    <row r="187" spans="2:53" ht="17.399999999999999" customHeight="1">
      <c r="B187" s="159"/>
      <c r="C187" s="159"/>
      <c r="D187" s="159"/>
      <c r="E187" s="159"/>
      <c r="F187" s="159"/>
      <c r="G187" s="159"/>
      <c r="H187" s="159"/>
      <c r="I187" s="159"/>
      <c r="J187" s="224"/>
      <c r="K187" s="159"/>
      <c r="L187" s="159"/>
      <c r="M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row>
    <row r="188" spans="2:53" ht="17.399999999999999" customHeight="1">
      <c r="B188" s="159"/>
      <c r="C188" s="159"/>
      <c r="D188" s="159"/>
      <c r="E188" s="159"/>
      <c r="F188" s="159"/>
      <c r="G188" s="159"/>
      <c r="H188" s="159"/>
      <c r="I188" s="159"/>
      <c r="J188" s="224"/>
      <c r="K188" s="159"/>
      <c r="L188" s="159"/>
      <c r="M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row>
    <row r="189" spans="2:53" ht="17.399999999999999" customHeight="1">
      <c r="B189" s="159"/>
      <c r="C189" s="159"/>
      <c r="D189" s="159"/>
      <c r="E189" s="159"/>
      <c r="F189" s="159"/>
      <c r="G189" s="159"/>
      <c r="H189" s="159"/>
      <c r="I189" s="159"/>
      <c r="J189" s="224"/>
      <c r="K189" s="159"/>
      <c r="L189" s="159"/>
      <c r="M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row>
    <row r="190" spans="2:53" ht="17.399999999999999" customHeight="1">
      <c r="B190" s="159"/>
      <c r="C190" s="159"/>
      <c r="D190" s="159"/>
      <c r="E190" s="159"/>
      <c r="F190" s="159"/>
      <c r="G190" s="159"/>
      <c r="H190" s="159"/>
      <c r="I190" s="159"/>
      <c r="J190" s="224"/>
      <c r="K190" s="159"/>
      <c r="L190" s="159"/>
      <c r="M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row>
    <row r="191" spans="2:53" ht="17.399999999999999" customHeight="1">
      <c r="B191" s="159"/>
      <c r="C191" s="159"/>
      <c r="D191" s="159"/>
      <c r="E191" s="159"/>
      <c r="F191" s="159"/>
      <c r="G191" s="159"/>
      <c r="H191" s="159"/>
      <c r="I191" s="159"/>
      <c r="J191" s="224"/>
      <c r="K191" s="159"/>
      <c r="L191" s="159"/>
      <c r="M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row>
    <row r="192" spans="2:53" ht="17.399999999999999" customHeight="1">
      <c r="B192" s="159"/>
      <c r="C192" s="159"/>
      <c r="D192" s="159"/>
      <c r="E192" s="159"/>
      <c r="F192" s="159"/>
      <c r="G192" s="159"/>
      <c r="H192" s="159"/>
      <c r="I192" s="159"/>
      <c r="J192" s="224"/>
      <c r="K192" s="159"/>
      <c r="L192" s="159"/>
      <c r="M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row>
    <row r="193" spans="2:53" ht="17.399999999999999" customHeight="1">
      <c r="B193" s="159"/>
      <c r="C193" s="159"/>
      <c r="D193" s="159"/>
      <c r="E193" s="159"/>
      <c r="F193" s="159"/>
      <c r="G193" s="159"/>
      <c r="H193" s="159"/>
      <c r="I193" s="159"/>
      <c r="J193" s="224"/>
      <c r="K193" s="159"/>
      <c r="L193" s="159"/>
      <c r="M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row>
    <row r="194" spans="2:53" ht="17.399999999999999" customHeight="1">
      <c r="B194" s="159"/>
      <c r="C194" s="159"/>
      <c r="D194" s="159"/>
      <c r="E194" s="159"/>
      <c r="F194" s="159"/>
      <c r="G194" s="159"/>
      <c r="H194" s="159"/>
      <c r="I194" s="159"/>
      <c r="J194" s="224"/>
      <c r="K194" s="159"/>
      <c r="L194" s="159"/>
      <c r="M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row>
    <row r="195" spans="2:53" ht="17.399999999999999" customHeight="1">
      <c r="B195" s="159"/>
      <c r="C195" s="159"/>
      <c r="D195" s="159"/>
      <c r="E195" s="159"/>
      <c r="F195" s="159"/>
      <c r="G195" s="159"/>
      <c r="H195" s="159"/>
      <c r="I195" s="159"/>
      <c r="J195" s="224"/>
      <c r="K195" s="159"/>
      <c r="L195" s="159"/>
      <c r="M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row>
    <row r="196" spans="2:53" ht="17.399999999999999" customHeight="1">
      <c r="B196" s="159"/>
      <c r="C196" s="159"/>
      <c r="D196" s="159"/>
      <c r="E196" s="159"/>
      <c r="F196" s="159"/>
      <c r="G196" s="159"/>
      <c r="H196" s="159"/>
      <c r="I196" s="159"/>
      <c r="J196" s="224"/>
      <c r="K196" s="159"/>
      <c r="L196" s="159"/>
      <c r="M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row>
    <row r="197" spans="2:53" ht="17.399999999999999" customHeight="1">
      <c r="B197" s="159"/>
      <c r="C197" s="159"/>
      <c r="D197" s="159"/>
      <c r="E197" s="159"/>
      <c r="F197" s="159"/>
      <c r="G197" s="159"/>
      <c r="H197" s="159"/>
      <c r="I197" s="159"/>
      <c r="J197" s="224"/>
      <c r="K197" s="159"/>
      <c r="L197" s="159"/>
      <c r="M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row>
    <row r="198" spans="2:53" ht="17.399999999999999" customHeight="1">
      <c r="B198" s="159"/>
      <c r="C198" s="159"/>
      <c r="D198" s="159"/>
      <c r="E198" s="159"/>
      <c r="F198" s="159"/>
      <c r="G198" s="159"/>
      <c r="H198" s="159"/>
      <c r="I198" s="159"/>
      <c r="J198" s="224"/>
      <c r="K198" s="159"/>
      <c r="L198" s="159"/>
      <c r="M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row>
    <row r="199" spans="2:53" ht="17.399999999999999" customHeight="1">
      <c r="B199" s="159"/>
      <c r="C199" s="159"/>
      <c r="D199" s="159"/>
      <c r="E199" s="159"/>
      <c r="F199" s="159"/>
      <c r="G199" s="159"/>
      <c r="H199" s="159"/>
      <c r="I199" s="159"/>
      <c r="J199" s="224"/>
      <c r="K199" s="159"/>
      <c r="L199" s="159"/>
      <c r="M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row>
    <row r="200" spans="2:53" ht="17.399999999999999" customHeight="1">
      <c r="B200" s="159"/>
      <c r="C200" s="159"/>
      <c r="D200" s="159"/>
      <c r="E200" s="159"/>
      <c r="F200" s="159"/>
      <c r="G200" s="159"/>
      <c r="H200" s="159"/>
      <c r="I200" s="159"/>
      <c r="J200" s="224"/>
      <c r="K200" s="159"/>
      <c r="L200" s="159"/>
      <c r="M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row>
    <row r="201" spans="2:53" ht="17.399999999999999" customHeight="1">
      <c r="B201" s="159"/>
      <c r="C201" s="159"/>
      <c r="D201" s="159"/>
      <c r="E201" s="159"/>
      <c r="F201" s="159"/>
      <c r="G201" s="159"/>
      <c r="H201" s="159"/>
      <c r="I201" s="159"/>
      <c r="J201" s="224"/>
      <c r="K201" s="159"/>
      <c r="L201" s="159"/>
      <c r="M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row>
    <row r="202" spans="2:53" ht="17.399999999999999" customHeight="1">
      <c r="B202" s="159"/>
      <c r="C202" s="159"/>
      <c r="D202" s="159"/>
      <c r="E202" s="159"/>
      <c r="F202" s="159"/>
      <c r="G202" s="159"/>
      <c r="H202" s="159"/>
      <c r="I202" s="159"/>
      <c r="J202" s="224"/>
      <c r="K202" s="159"/>
      <c r="L202" s="159"/>
      <c r="M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row>
    <row r="203" spans="2:53" ht="17.399999999999999" customHeight="1">
      <c r="B203" s="159"/>
      <c r="C203" s="159"/>
      <c r="D203" s="159"/>
      <c r="E203" s="159"/>
      <c r="F203" s="159"/>
      <c r="G203" s="159"/>
      <c r="H203" s="159"/>
      <c r="I203" s="159"/>
      <c r="J203" s="224"/>
      <c r="K203" s="159"/>
      <c r="L203" s="159"/>
      <c r="M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row>
    <row r="204" spans="2:53" ht="17.399999999999999" customHeight="1">
      <c r="B204" s="159"/>
      <c r="C204" s="159"/>
      <c r="D204" s="159"/>
      <c r="E204" s="159"/>
      <c r="F204" s="159"/>
      <c r="G204" s="159"/>
      <c r="H204" s="159"/>
      <c r="I204" s="159"/>
      <c r="J204" s="224"/>
      <c r="K204" s="159"/>
      <c r="L204" s="159"/>
      <c r="M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row>
    <row r="205" spans="2:53" ht="17.399999999999999" customHeight="1">
      <c r="B205" s="159"/>
      <c r="C205" s="159"/>
      <c r="D205" s="159"/>
      <c r="E205" s="159"/>
      <c r="F205" s="159"/>
      <c r="G205" s="159"/>
      <c r="H205" s="159"/>
      <c r="I205" s="159"/>
      <c r="J205" s="224"/>
      <c r="K205" s="159"/>
      <c r="L205" s="159"/>
      <c r="M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row>
    <row r="206" spans="2:53" ht="17.399999999999999" customHeight="1">
      <c r="B206" s="159"/>
      <c r="C206" s="159"/>
      <c r="D206" s="159"/>
      <c r="E206" s="159"/>
      <c r="F206" s="159"/>
      <c r="G206" s="159"/>
      <c r="H206" s="159"/>
      <c r="I206" s="159"/>
      <c r="J206" s="224"/>
      <c r="K206" s="159"/>
      <c r="L206" s="159"/>
      <c r="M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row>
    <row r="207" spans="2:53" ht="17.399999999999999" customHeight="1">
      <c r="B207" s="159"/>
      <c r="C207" s="159"/>
      <c r="D207" s="159"/>
      <c r="E207" s="159"/>
      <c r="F207" s="159"/>
      <c r="G207" s="159"/>
      <c r="H207" s="159"/>
      <c r="I207" s="159"/>
      <c r="J207" s="224"/>
      <c r="K207" s="159"/>
      <c r="L207" s="159"/>
      <c r="M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row>
    <row r="208" spans="2:53" ht="17.399999999999999" customHeight="1">
      <c r="B208" s="159"/>
      <c r="C208" s="159"/>
      <c r="D208" s="159"/>
      <c r="E208" s="159"/>
      <c r="F208" s="159"/>
      <c r="G208" s="159"/>
      <c r="H208" s="159"/>
      <c r="I208" s="159"/>
      <c r="J208" s="224"/>
      <c r="K208" s="159"/>
      <c r="L208" s="159"/>
      <c r="M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row>
    <row r="209" spans="2:53" ht="17.399999999999999" customHeight="1">
      <c r="B209" s="159"/>
      <c r="C209" s="159"/>
      <c r="D209" s="159"/>
      <c r="E209" s="159"/>
      <c r="F209" s="159"/>
      <c r="G209" s="159"/>
      <c r="H209" s="159"/>
      <c r="I209" s="159"/>
      <c r="J209" s="224"/>
      <c r="K209" s="159"/>
      <c r="L209" s="159"/>
      <c r="M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row>
    <row r="210" spans="2:53" ht="17.399999999999999" customHeight="1">
      <c r="B210" s="159"/>
      <c r="C210" s="159"/>
      <c r="D210" s="159"/>
      <c r="E210" s="159"/>
      <c r="F210" s="159"/>
      <c r="G210" s="159"/>
      <c r="H210" s="159"/>
      <c r="I210" s="159"/>
      <c r="J210" s="224"/>
      <c r="K210" s="159"/>
      <c r="L210" s="159"/>
      <c r="M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row>
    <row r="211" spans="2:53" ht="17.399999999999999" customHeight="1">
      <c r="B211" s="159"/>
      <c r="C211" s="159"/>
      <c r="D211" s="159"/>
      <c r="E211" s="159"/>
      <c r="F211" s="159"/>
      <c r="G211" s="159"/>
      <c r="H211" s="159"/>
      <c r="I211" s="159"/>
      <c r="J211" s="224"/>
      <c r="K211" s="159"/>
      <c r="L211" s="159"/>
      <c r="M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row>
    <row r="212" spans="2:53" ht="17.399999999999999" customHeight="1">
      <c r="B212" s="159"/>
      <c r="C212" s="159"/>
      <c r="D212" s="159"/>
      <c r="E212" s="159"/>
      <c r="F212" s="159"/>
      <c r="G212" s="159"/>
      <c r="H212" s="159"/>
      <c r="I212" s="159"/>
      <c r="J212" s="224"/>
      <c r="K212" s="159"/>
      <c r="L212" s="159"/>
      <c r="M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row>
    <row r="213" spans="2:53" ht="17.399999999999999" customHeight="1">
      <c r="B213" s="159"/>
      <c r="C213" s="159"/>
      <c r="D213" s="159"/>
      <c r="E213" s="159"/>
      <c r="F213" s="159"/>
      <c r="G213" s="159"/>
      <c r="H213" s="159"/>
      <c r="I213" s="159"/>
      <c r="J213" s="224"/>
      <c r="K213" s="159"/>
      <c r="L213" s="159"/>
      <c r="M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row>
    <row r="214" spans="2:53" ht="17.399999999999999" customHeight="1">
      <c r="B214" s="159"/>
      <c r="C214" s="159"/>
      <c r="D214" s="159"/>
      <c r="E214" s="159"/>
      <c r="F214" s="159"/>
      <c r="G214" s="159"/>
      <c r="H214" s="159"/>
      <c r="I214" s="159"/>
      <c r="J214" s="224"/>
      <c r="K214" s="159"/>
      <c r="L214" s="159"/>
      <c r="M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row>
    <row r="215" spans="2:53" ht="17.399999999999999" customHeight="1">
      <c r="B215" s="159"/>
      <c r="C215" s="159"/>
      <c r="D215" s="159"/>
      <c r="E215" s="159"/>
      <c r="F215" s="159"/>
      <c r="G215" s="159"/>
      <c r="H215" s="159"/>
      <c r="I215" s="159"/>
      <c r="J215" s="224"/>
      <c r="K215" s="159"/>
      <c r="L215" s="159"/>
      <c r="M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row>
    <row r="216" spans="2:53" ht="17.399999999999999" customHeight="1">
      <c r="B216" s="159"/>
      <c r="C216" s="159"/>
      <c r="D216" s="159"/>
      <c r="E216" s="159"/>
      <c r="F216" s="159"/>
      <c r="G216" s="159"/>
      <c r="H216" s="159"/>
      <c r="I216" s="159"/>
      <c r="J216" s="224"/>
      <c r="K216" s="159"/>
      <c r="L216" s="159"/>
      <c r="M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row>
    <row r="217" spans="2:53" ht="17.399999999999999" customHeight="1">
      <c r="B217" s="159"/>
      <c r="C217" s="159"/>
      <c r="D217" s="159"/>
      <c r="E217" s="159"/>
      <c r="F217" s="159"/>
      <c r="G217" s="159"/>
      <c r="H217" s="159"/>
      <c r="I217" s="159"/>
      <c r="J217" s="224"/>
      <c r="K217" s="159"/>
      <c r="L217" s="159"/>
      <c r="M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row>
    <row r="218" spans="2:53" ht="17.399999999999999" customHeight="1">
      <c r="B218" s="159"/>
      <c r="C218" s="159"/>
      <c r="D218" s="159"/>
      <c r="E218" s="159"/>
      <c r="F218" s="159"/>
      <c r="G218" s="159"/>
      <c r="H218" s="159"/>
      <c r="I218" s="159"/>
      <c r="J218" s="224"/>
      <c r="K218" s="159"/>
      <c r="L218" s="159"/>
      <c r="M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row>
    <row r="219" spans="2:53" ht="17.399999999999999" customHeight="1">
      <c r="B219" s="159"/>
      <c r="C219" s="159"/>
      <c r="D219" s="159"/>
      <c r="E219" s="159"/>
      <c r="F219" s="159"/>
      <c r="G219" s="159"/>
      <c r="H219" s="159"/>
      <c r="I219" s="159"/>
      <c r="J219" s="224"/>
      <c r="K219" s="159"/>
      <c r="L219" s="159"/>
      <c r="M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row>
    <row r="220" spans="2:53" ht="17.399999999999999" customHeight="1">
      <c r="B220" s="159"/>
      <c r="C220" s="159"/>
      <c r="D220" s="159"/>
      <c r="E220" s="159"/>
      <c r="F220" s="159"/>
      <c r="G220" s="159"/>
      <c r="H220" s="159"/>
      <c r="I220" s="159"/>
      <c r="J220" s="224"/>
      <c r="K220" s="159"/>
      <c r="L220" s="159"/>
      <c r="M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row>
    <row r="221" spans="2:53" ht="17.399999999999999" customHeight="1">
      <c r="B221" s="159"/>
      <c r="C221" s="159"/>
      <c r="D221" s="159"/>
      <c r="E221" s="159"/>
      <c r="F221" s="159"/>
      <c r="G221" s="159"/>
      <c r="H221" s="159"/>
      <c r="I221" s="159"/>
      <c r="J221" s="224"/>
      <c r="K221" s="159"/>
      <c r="L221" s="159"/>
      <c r="M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row>
    <row r="222" spans="2:53" ht="17.399999999999999" customHeight="1">
      <c r="B222" s="159"/>
      <c r="C222" s="159"/>
      <c r="D222" s="159"/>
      <c r="E222" s="159"/>
      <c r="F222" s="159"/>
      <c r="G222" s="159"/>
      <c r="H222" s="159"/>
      <c r="I222" s="159"/>
      <c r="J222" s="224"/>
      <c r="K222" s="159"/>
      <c r="L222" s="159"/>
      <c r="M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row>
    <row r="223" spans="2:53" ht="17.399999999999999" customHeight="1">
      <c r="B223" s="159"/>
      <c r="C223" s="159"/>
      <c r="D223" s="159"/>
      <c r="E223" s="159"/>
      <c r="F223" s="159"/>
      <c r="G223" s="159"/>
      <c r="H223" s="159"/>
      <c r="I223" s="159"/>
      <c r="J223" s="224"/>
      <c r="K223" s="159"/>
      <c r="L223" s="159"/>
      <c r="M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row>
    <row r="224" spans="2:53" ht="17.399999999999999" customHeight="1">
      <c r="B224" s="159"/>
      <c r="C224" s="159"/>
      <c r="D224" s="159"/>
      <c r="E224" s="159"/>
      <c r="F224" s="159"/>
      <c r="G224" s="159"/>
      <c r="H224" s="159"/>
      <c r="I224" s="159"/>
      <c r="J224" s="224"/>
      <c r="K224" s="159"/>
      <c r="L224" s="159"/>
      <c r="M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row>
    <row r="225" spans="2:53" ht="17.399999999999999" customHeight="1">
      <c r="B225" s="159"/>
      <c r="C225" s="159"/>
      <c r="D225" s="159"/>
      <c r="E225" s="159"/>
      <c r="F225" s="159"/>
      <c r="G225" s="159"/>
      <c r="H225" s="159"/>
      <c r="I225" s="159"/>
      <c r="J225" s="224"/>
      <c r="K225" s="159"/>
      <c r="L225" s="159"/>
      <c r="M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row>
    <row r="226" spans="2:53" ht="17.399999999999999" customHeight="1">
      <c r="B226" s="159"/>
      <c r="C226" s="159"/>
      <c r="D226" s="159"/>
      <c r="E226" s="159"/>
      <c r="F226" s="159"/>
      <c r="G226" s="159"/>
      <c r="H226" s="159"/>
      <c r="I226" s="159"/>
      <c r="J226" s="224"/>
      <c r="K226" s="159"/>
      <c r="L226" s="159"/>
      <c r="M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row>
    <row r="227" spans="2:53" ht="17.399999999999999" customHeight="1">
      <c r="B227" s="159"/>
      <c r="C227" s="159"/>
      <c r="D227" s="159"/>
      <c r="E227" s="159"/>
      <c r="F227" s="159"/>
      <c r="G227" s="159"/>
      <c r="H227" s="159"/>
      <c r="I227" s="159"/>
      <c r="J227" s="224"/>
      <c r="K227" s="159"/>
      <c r="L227" s="159"/>
      <c r="M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row>
    <row r="228" spans="2:53" ht="17.399999999999999" customHeight="1">
      <c r="B228" s="159"/>
      <c r="C228" s="159"/>
      <c r="D228" s="159"/>
      <c r="E228" s="159"/>
      <c r="F228" s="159"/>
      <c r="G228" s="159"/>
      <c r="H228" s="159"/>
      <c r="I228" s="159"/>
      <c r="J228" s="224"/>
      <c r="K228" s="159"/>
      <c r="L228" s="159"/>
      <c r="M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row>
    <row r="229" spans="2:53" ht="17.399999999999999" customHeight="1">
      <c r="B229" s="159"/>
      <c r="C229" s="159"/>
      <c r="D229" s="159"/>
      <c r="E229" s="159"/>
      <c r="F229" s="159"/>
      <c r="G229" s="159"/>
      <c r="H229" s="159"/>
      <c r="I229" s="159"/>
      <c r="J229" s="224"/>
      <c r="K229" s="159"/>
      <c r="L229" s="159"/>
      <c r="M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row>
    <row r="230" spans="2:53" ht="17.399999999999999" customHeight="1">
      <c r="B230" s="159"/>
      <c r="C230" s="159"/>
      <c r="D230" s="159"/>
      <c r="E230" s="159"/>
      <c r="F230" s="159"/>
      <c r="G230" s="159"/>
      <c r="H230" s="159"/>
      <c r="I230" s="159"/>
      <c r="J230" s="224"/>
      <c r="K230" s="159"/>
      <c r="L230" s="159"/>
      <c r="M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row>
    <row r="231" spans="2:53" ht="17.399999999999999" customHeight="1">
      <c r="B231" s="159"/>
      <c r="C231" s="159"/>
      <c r="D231" s="159"/>
      <c r="E231" s="159"/>
      <c r="F231" s="159"/>
      <c r="G231" s="159"/>
      <c r="H231" s="159"/>
      <c r="I231" s="159"/>
      <c r="J231" s="224"/>
      <c r="K231" s="159"/>
      <c r="L231" s="159"/>
      <c r="M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row>
    <row r="232" spans="2:53" ht="17.399999999999999" customHeight="1">
      <c r="B232" s="159"/>
      <c r="C232" s="159"/>
      <c r="D232" s="159"/>
      <c r="E232" s="159"/>
      <c r="F232" s="159"/>
      <c r="G232" s="159"/>
      <c r="H232" s="159"/>
      <c r="I232" s="159"/>
      <c r="J232" s="224"/>
      <c r="K232" s="159"/>
      <c r="L232" s="159"/>
      <c r="M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row>
    <row r="233" spans="2:53" ht="17.399999999999999" customHeight="1">
      <c r="B233" s="159"/>
      <c r="C233" s="159"/>
      <c r="D233" s="159"/>
      <c r="E233" s="159"/>
      <c r="F233" s="159"/>
      <c r="G233" s="159"/>
      <c r="H233" s="159"/>
      <c r="I233" s="159"/>
      <c r="J233" s="224"/>
      <c r="K233" s="159"/>
      <c r="L233" s="159"/>
      <c r="M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row>
    <row r="234" spans="2:53" ht="17.399999999999999" customHeight="1">
      <c r="B234" s="159"/>
      <c r="C234" s="159"/>
      <c r="D234" s="159"/>
      <c r="E234" s="159"/>
      <c r="F234" s="159"/>
      <c r="G234" s="159"/>
      <c r="H234" s="159"/>
      <c r="I234" s="159"/>
      <c r="J234" s="224"/>
      <c r="K234" s="159"/>
      <c r="L234" s="159"/>
      <c r="M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row>
    <row r="235" spans="2:53" ht="17.399999999999999" customHeight="1">
      <c r="B235" s="159"/>
      <c r="C235" s="159"/>
      <c r="D235" s="159"/>
      <c r="E235" s="159"/>
      <c r="F235" s="159"/>
      <c r="G235" s="159"/>
      <c r="H235" s="159"/>
      <c r="I235" s="159"/>
      <c r="J235" s="224"/>
      <c r="K235" s="159"/>
      <c r="L235" s="159"/>
      <c r="M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row>
    <row r="236" spans="2:53" ht="17.399999999999999" customHeight="1">
      <c r="B236" s="159"/>
      <c r="C236" s="159"/>
      <c r="D236" s="159"/>
      <c r="E236" s="159"/>
      <c r="F236" s="159"/>
      <c r="G236" s="159"/>
      <c r="H236" s="159"/>
      <c r="I236" s="159"/>
      <c r="J236" s="224"/>
      <c r="K236" s="159"/>
      <c r="L236" s="159"/>
      <c r="M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row>
    <row r="237" spans="2:53" ht="17.399999999999999" customHeight="1">
      <c r="B237" s="159"/>
      <c r="C237" s="159"/>
      <c r="D237" s="159"/>
      <c r="E237" s="159"/>
      <c r="F237" s="159"/>
      <c r="G237" s="159"/>
      <c r="H237" s="159"/>
      <c r="I237" s="159"/>
      <c r="J237" s="224"/>
      <c r="K237" s="159"/>
      <c r="L237" s="159"/>
      <c r="M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row>
    <row r="238" spans="2:53" ht="17.399999999999999" customHeight="1">
      <c r="B238" s="159"/>
      <c r="C238" s="159"/>
      <c r="D238" s="159"/>
      <c r="E238" s="159"/>
      <c r="F238" s="159"/>
      <c r="G238" s="159"/>
      <c r="H238" s="159"/>
      <c r="I238" s="159"/>
      <c r="J238" s="224"/>
      <c r="K238" s="159"/>
      <c r="L238" s="159"/>
      <c r="M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row>
    <row r="239" spans="2:53" ht="17.399999999999999" customHeight="1">
      <c r="B239" s="159"/>
      <c r="C239" s="159"/>
      <c r="D239" s="159"/>
      <c r="E239" s="159"/>
      <c r="F239" s="159"/>
      <c r="G239" s="159"/>
      <c r="H239" s="159"/>
      <c r="I239" s="159"/>
      <c r="J239" s="224"/>
      <c r="K239" s="159"/>
      <c r="L239" s="159"/>
      <c r="M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row>
    <row r="240" spans="2:53" ht="17.399999999999999" customHeight="1">
      <c r="B240" s="159"/>
      <c r="C240" s="159"/>
      <c r="D240" s="159"/>
      <c r="E240" s="159"/>
      <c r="F240" s="159"/>
      <c r="G240" s="159"/>
      <c r="H240" s="159"/>
      <c r="I240" s="159"/>
      <c r="J240" s="224"/>
      <c r="K240" s="159"/>
      <c r="L240" s="159"/>
      <c r="M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row>
    <row r="241" spans="2:53" ht="17.399999999999999" customHeight="1">
      <c r="B241" s="159"/>
      <c r="C241" s="159"/>
      <c r="D241" s="159"/>
      <c r="E241" s="159"/>
      <c r="F241" s="159"/>
      <c r="G241" s="159"/>
      <c r="H241" s="159"/>
      <c r="I241" s="159"/>
      <c r="J241" s="224"/>
      <c r="K241" s="159"/>
      <c r="L241" s="159"/>
      <c r="M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row>
    <row r="242" spans="2:53" ht="17.399999999999999" customHeight="1">
      <c r="B242" s="159"/>
      <c r="C242" s="159"/>
      <c r="D242" s="159"/>
      <c r="E242" s="159"/>
      <c r="F242" s="159"/>
      <c r="G242" s="159"/>
      <c r="H242" s="159"/>
      <c r="I242" s="159"/>
      <c r="J242" s="224"/>
      <c r="K242" s="159"/>
      <c r="L242" s="159"/>
      <c r="M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row>
    <row r="243" spans="2:53" ht="17.399999999999999" customHeight="1">
      <c r="B243" s="159"/>
      <c r="C243" s="159"/>
      <c r="D243" s="159"/>
      <c r="E243" s="159"/>
      <c r="F243" s="159"/>
      <c r="G243" s="159"/>
      <c r="H243" s="159"/>
      <c r="I243" s="159"/>
      <c r="J243" s="224"/>
      <c r="K243" s="159"/>
      <c r="L243" s="159"/>
      <c r="M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row>
    <row r="244" spans="2:53" ht="17.399999999999999" customHeight="1">
      <c r="B244" s="159"/>
      <c r="C244" s="159"/>
      <c r="D244" s="159"/>
      <c r="E244" s="159"/>
      <c r="F244" s="159"/>
      <c r="G244" s="159"/>
      <c r="H244" s="159"/>
      <c r="I244" s="159"/>
      <c r="J244" s="224"/>
      <c r="K244" s="159"/>
      <c r="L244" s="159"/>
      <c r="M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row>
    <row r="245" spans="2:53" ht="17.399999999999999" customHeight="1">
      <c r="B245" s="159"/>
      <c r="C245" s="159"/>
      <c r="D245" s="159"/>
      <c r="E245" s="159"/>
      <c r="F245" s="159"/>
      <c r="G245" s="159"/>
      <c r="H245" s="159"/>
      <c r="I245" s="159"/>
      <c r="J245" s="224"/>
      <c r="K245" s="159"/>
      <c r="L245" s="159"/>
      <c r="M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row>
    <row r="246" spans="2:53" ht="17.399999999999999" customHeight="1">
      <c r="B246" s="159"/>
      <c r="C246" s="159"/>
      <c r="D246" s="159"/>
      <c r="E246" s="159"/>
      <c r="F246" s="159"/>
      <c r="G246" s="159"/>
      <c r="H246" s="159"/>
      <c r="I246" s="159"/>
      <c r="J246" s="224"/>
      <c r="K246" s="159"/>
      <c r="L246" s="159"/>
      <c r="M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row>
    <row r="247" spans="2:53" ht="17.399999999999999" customHeight="1">
      <c r="B247" s="159"/>
      <c r="C247" s="159"/>
      <c r="D247" s="159"/>
      <c r="E247" s="159"/>
      <c r="F247" s="159"/>
      <c r="G247" s="159"/>
      <c r="H247" s="159"/>
      <c r="I247" s="159"/>
      <c r="J247" s="224"/>
      <c r="K247" s="159"/>
      <c r="L247" s="159"/>
      <c r="M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row>
    <row r="248" spans="2:53" ht="17.399999999999999" customHeight="1">
      <c r="B248" s="159"/>
      <c r="C248" s="159"/>
      <c r="D248" s="159"/>
      <c r="E248" s="159"/>
      <c r="F248" s="159"/>
      <c r="G248" s="159"/>
      <c r="H248" s="159"/>
      <c r="I248" s="159"/>
      <c r="J248" s="224"/>
      <c r="K248" s="159"/>
      <c r="L248" s="159"/>
      <c r="M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row>
    <row r="249" spans="2:53" ht="17.399999999999999" customHeight="1">
      <c r="B249" s="159"/>
      <c r="C249" s="159"/>
      <c r="D249" s="159"/>
      <c r="E249" s="159"/>
      <c r="F249" s="159"/>
      <c r="G249" s="159"/>
      <c r="H249" s="159"/>
      <c r="I249" s="159"/>
      <c r="J249" s="224"/>
      <c r="K249" s="159"/>
      <c r="L249" s="159"/>
      <c r="M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row>
    <row r="250" spans="2:53" ht="17.399999999999999" customHeight="1">
      <c r="B250" s="159"/>
      <c r="C250" s="159"/>
      <c r="D250" s="159"/>
      <c r="E250" s="159"/>
      <c r="F250" s="159"/>
      <c r="G250" s="159"/>
      <c r="H250" s="159"/>
      <c r="I250" s="159"/>
      <c r="J250" s="224"/>
      <c r="K250" s="159"/>
      <c r="L250" s="159"/>
      <c r="M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row>
    <row r="251" spans="2:53" ht="17.399999999999999" customHeight="1">
      <c r="B251" s="159"/>
      <c r="C251" s="159"/>
      <c r="D251" s="159"/>
      <c r="E251" s="159"/>
      <c r="F251" s="159"/>
      <c r="G251" s="159"/>
      <c r="H251" s="159"/>
      <c r="I251" s="159"/>
      <c r="J251" s="224"/>
      <c r="K251" s="159"/>
      <c r="L251" s="159"/>
      <c r="M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row>
    <row r="252" spans="2:53" ht="17.399999999999999" customHeight="1">
      <c r="B252" s="159"/>
      <c r="C252" s="159"/>
      <c r="D252" s="159"/>
      <c r="E252" s="159"/>
      <c r="F252" s="159"/>
      <c r="G252" s="159"/>
      <c r="H252" s="159"/>
      <c r="I252" s="159"/>
      <c r="J252" s="224"/>
      <c r="K252" s="159"/>
      <c r="L252" s="159"/>
      <c r="M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row>
    <row r="253" spans="2:53" ht="17.399999999999999" customHeight="1">
      <c r="B253" s="159"/>
      <c r="C253" s="159"/>
      <c r="D253" s="159"/>
      <c r="E253" s="159"/>
      <c r="F253" s="159"/>
      <c r="G253" s="159"/>
      <c r="H253" s="159"/>
      <c r="I253" s="159"/>
      <c r="J253" s="224"/>
      <c r="K253" s="159"/>
      <c r="L253" s="159"/>
      <c r="M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row>
    <row r="254" spans="2:53" ht="17.399999999999999" customHeight="1">
      <c r="B254" s="159"/>
      <c r="C254" s="159"/>
      <c r="D254" s="159"/>
      <c r="E254" s="159"/>
      <c r="F254" s="159"/>
      <c r="G254" s="159"/>
      <c r="H254" s="159"/>
      <c r="I254" s="159"/>
      <c r="J254" s="224"/>
      <c r="K254" s="159"/>
      <c r="L254" s="159"/>
      <c r="M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row>
    <row r="255" spans="2:53" ht="17.399999999999999" customHeight="1">
      <c r="B255" s="159"/>
      <c r="C255" s="159"/>
      <c r="D255" s="159"/>
      <c r="E255" s="159"/>
      <c r="F255" s="159"/>
      <c r="G255" s="159"/>
      <c r="H255" s="159"/>
      <c r="I255" s="159"/>
      <c r="J255" s="224"/>
      <c r="K255" s="159"/>
      <c r="L255" s="159"/>
      <c r="M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row>
    <row r="256" spans="2:53" ht="17.399999999999999" customHeight="1">
      <c r="B256" s="159"/>
      <c r="C256" s="159"/>
      <c r="D256" s="159"/>
      <c r="E256" s="159"/>
      <c r="F256" s="159"/>
      <c r="G256" s="159"/>
      <c r="H256" s="159"/>
      <c r="I256" s="159"/>
      <c r="J256" s="224"/>
      <c r="K256" s="159"/>
      <c r="L256" s="159"/>
      <c r="M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row>
    <row r="257" spans="2:53" ht="17.399999999999999" customHeight="1">
      <c r="B257" s="159"/>
      <c r="C257" s="159"/>
      <c r="D257" s="159"/>
      <c r="E257" s="159"/>
      <c r="F257" s="159"/>
      <c r="G257" s="159"/>
      <c r="H257" s="159"/>
      <c r="I257" s="159"/>
      <c r="J257" s="224"/>
      <c r="K257" s="159"/>
      <c r="L257" s="159"/>
      <c r="M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row>
    <row r="258" spans="2:53" ht="17.399999999999999" customHeight="1">
      <c r="B258" s="159"/>
      <c r="C258" s="159"/>
      <c r="D258" s="159"/>
      <c r="E258" s="159"/>
      <c r="F258" s="159"/>
      <c r="G258" s="159"/>
      <c r="H258" s="159"/>
      <c r="I258" s="159"/>
      <c r="J258" s="224"/>
      <c r="K258" s="159"/>
      <c r="L258" s="159"/>
      <c r="M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row>
    <row r="259" spans="2:53" ht="17.399999999999999" customHeight="1">
      <c r="B259" s="159"/>
      <c r="C259" s="159"/>
      <c r="D259" s="159"/>
      <c r="E259" s="159"/>
      <c r="F259" s="159"/>
      <c r="G259" s="159"/>
      <c r="H259" s="159"/>
      <c r="I259" s="159"/>
      <c r="J259" s="224"/>
      <c r="K259" s="159"/>
      <c r="L259" s="159"/>
      <c r="M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row>
    <row r="260" spans="2:53" ht="17.399999999999999" customHeight="1">
      <c r="B260" s="159"/>
      <c r="C260" s="159"/>
      <c r="D260" s="159"/>
      <c r="E260" s="159"/>
      <c r="F260" s="159"/>
      <c r="G260" s="159"/>
      <c r="H260" s="159"/>
      <c r="I260" s="159"/>
      <c r="J260" s="224"/>
      <c r="K260" s="159"/>
      <c r="L260" s="159"/>
      <c r="M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row>
    <row r="261" spans="2:53" ht="17.399999999999999" customHeight="1">
      <c r="B261" s="159"/>
      <c r="C261" s="159"/>
      <c r="D261" s="159"/>
      <c r="E261" s="159"/>
      <c r="F261" s="159"/>
      <c r="G261" s="159"/>
      <c r="H261" s="159"/>
      <c r="I261" s="159"/>
      <c r="J261" s="224"/>
      <c r="K261" s="159"/>
      <c r="L261" s="159"/>
      <c r="M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row>
    <row r="262" spans="2:53" ht="17.399999999999999" customHeight="1">
      <c r="B262" s="159"/>
      <c r="C262" s="159"/>
      <c r="D262" s="159"/>
      <c r="E262" s="159"/>
      <c r="F262" s="159"/>
      <c r="G262" s="159"/>
      <c r="H262" s="159"/>
      <c r="I262" s="159"/>
      <c r="J262" s="224"/>
      <c r="K262" s="159"/>
      <c r="L262" s="159"/>
      <c r="M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row>
    <row r="263" spans="2:53" ht="17.399999999999999" customHeight="1">
      <c r="B263" s="159"/>
      <c r="C263" s="159"/>
      <c r="D263" s="159"/>
      <c r="E263" s="159"/>
      <c r="F263" s="159"/>
      <c r="G263" s="159"/>
      <c r="H263" s="159"/>
      <c r="I263" s="159"/>
      <c r="J263" s="224"/>
      <c r="K263" s="159"/>
      <c r="L263" s="159"/>
      <c r="M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row>
    <row r="264" spans="2:53" ht="17.399999999999999" customHeight="1">
      <c r="B264" s="159"/>
      <c r="C264" s="159"/>
      <c r="D264" s="159"/>
      <c r="E264" s="159"/>
      <c r="F264" s="159"/>
      <c r="G264" s="159"/>
      <c r="H264" s="159"/>
      <c r="I264" s="159"/>
      <c r="J264" s="224"/>
      <c r="K264" s="159"/>
      <c r="L264" s="159"/>
      <c r="M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row>
    <row r="265" spans="2:53" ht="17.399999999999999" customHeight="1">
      <c r="B265" s="159"/>
      <c r="C265" s="159"/>
      <c r="D265" s="159"/>
      <c r="E265" s="159"/>
      <c r="F265" s="159"/>
      <c r="G265" s="159"/>
      <c r="H265" s="159"/>
      <c r="I265" s="159"/>
      <c r="J265" s="224"/>
      <c r="K265" s="159"/>
      <c r="L265" s="159"/>
      <c r="M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row>
    <row r="266" spans="2:53" ht="17.399999999999999" customHeight="1">
      <c r="B266" s="159"/>
      <c r="C266" s="159"/>
      <c r="D266" s="159"/>
      <c r="E266" s="159"/>
      <c r="F266" s="159"/>
      <c r="G266" s="159"/>
      <c r="H266" s="159"/>
      <c r="I266" s="159"/>
      <c r="J266" s="224"/>
      <c r="K266" s="159"/>
      <c r="L266" s="159"/>
      <c r="M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row>
    <row r="267" spans="2:53" ht="17.399999999999999" customHeight="1">
      <c r="B267" s="159"/>
      <c r="C267" s="159"/>
      <c r="D267" s="159"/>
      <c r="E267" s="159"/>
      <c r="F267" s="159"/>
      <c r="G267" s="159"/>
      <c r="H267" s="159"/>
      <c r="I267" s="159"/>
      <c r="J267" s="224"/>
      <c r="K267" s="159"/>
      <c r="L267" s="159"/>
      <c r="M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row>
    <row r="268" spans="2:53" ht="17.399999999999999" customHeight="1">
      <c r="B268" s="159"/>
      <c r="C268" s="159"/>
      <c r="D268" s="159"/>
      <c r="E268" s="159"/>
      <c r="F268" s="159"/>
      <c r="G268" s="159"/>
      <c r="H268" s="159"/>
      <c r="I268" s="159"/>
      <c r="J268" s="224"/>
      <c r="K268" s="159"/>
      <c r="L268" s="159"/>
      <c r="M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row>
    <row r="269" spans="2:53" ht="17.399999999999999" customHeight="1">
      <c r="B269" s="159"/>
      <c r="C269" s="159"/>
      <c r="D269" s="159"/>
      <c r="E269" s="159"/>
      <c r="F269" s="159"/>
      <c r="G269" s="159"/>
      <c r="H269" s="159"/>
      <c r="I269" s="159"/>
      <c r="J269" s="224"/>
      <c r="K269" s="159"/>
      <c r="L269" s="159"/>
      <c r="M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row>
    <row r="270" spans="2:53" ht="17.399999999999999" customHeight="1">
      <c r="B270" s="159"/>
      <c r="C270" s="159"/>
      <c r="D270" s="159"/>
      <c r="E270" s="159"/>
      <c r="F270" s="159"/>
      <c r="G270" s="159"/>
      <c r="H270" s="159"/>
      <c r="I270" s="159"/>
      <c r="J270" s="224"/>
      <c r="K270" s="159"/>
      <c r="L270" s="159"/>
      <c r="M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row>
    <row r="271" spans="2:53" ht="17.399999999999999" customHeight="1">
      <c r="B271" s="159"/>
      <c r="C271" s="159"/>
      <c r="D271" s="159"/>
      <c r="E271" s="159"/>
      <c r="F271" s="159"/>
      <c r="G271" s="159"/>
      <c r="H271" s="159"/>
      <c r="I271" s="159"/>
      <c r="J271" s="224"/>
      <c r="K271" s="159"/>
      <c r="L271" s="159"/>
      <c r="M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row>
    <row r="272" spans="2:53" ht="17.399999999999999" customHeight="1">
      <c r="B272" s="159"/>
      <c r="C272" s="159"/>
      <c r="D272" s="159"/>
      <c r="E272" s="159"/>
      <c r="F272" s="159"/>
      <c r="G272" s="159"/>
      <c r="H272" s="159"/>
      <c r="I272" s="159"/>
      <c r="J272" s="224"/>
      <c r="K272" s="159"/>
      <c r="L272" s="159"/>
      <c r="M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row>
    <row r="273" spans="2:53" ht="17.399999999999999" customHeight="1">
      <c r="B273" s="159"/>
      <c r="C273" s="159"/>
      <c r="D273" s="159"/>
      <c r="E273" s="159"/>
      <c r="F273" s="159"/>
      <c r="G273" s="159"/>
      <c r="H273" s="159"/>
      <c r="I273" s="159"/>
      <c r="J273" s="224"/>
      <c r="K273" s="159"/>
      <c r="L273" s="159"/>
      <c r="M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row>
    <row r="274" spans="2:53" ht="17.399999999999999" customHeight="1">
      <c r="B274" s="159"/>
      <c r="C274" s="159"/>
      <c r="D274" s="159"/>
      <c r="E274" s="159"/>
      <c r="F274" s="159"/>
      <c r="G274" s="159"/>
      <c r="H274" s="159"/>
      <c r="I274" s="159"/>
      <c r="J274" s="224"/>
      <c r="K274" s="159"/>
      <c r="L274" s="159"/>
      <c r="M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row>
    <row r="275" spans="2:53" ht="17.399999999999999" customHeight="1">
      <c r="B275" s="159"/>
      <c r="C275" s="159"/>
      <c r="D275" s="159"/>
      <c r="E275" s="159"/>
      <c r="F275" s="159"/>
      <c r="G275" s="159"/>
      <c r="H275" s="159"/>
      <c r="I275" s="159"/>
      <c r="J275" s="224"/>
      <c r="K275" s="159"/>
      <c r="L275" s="159"/>
      <c r="M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row>
    <row r="276" spans="2:53" ht="17.399999999999999" customHeight="1">
      <c r="B276" s="159"/>
      <c r="C276" s="159"/>
      <c r="D276" s="159"/>
      <c r="E276" s="159"/>
      <c r="F276" s="159"/>
      <c r="G276" s="159"/>
      <c r="H276" s="159"/>
      <c r="I276" s="159"/>
      <c r="J276" s="224"/>
      <c r="K276" s="159"/>
      <c r="L276" s="159"/>
      <c r="M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row>
    <row r="277" spans="2:53" ht="17.399999999999999" customHeight="1">
      <c r="B277" s="159"/>
      <c r="C277" s="159"/>
      <c r="D277" s="159"/>
      <c r="E277" s="159"/>
      <c r="F277" s="159"/>
      <c r="G277" s="159"/>
      <c r="H277" s="159"/>
      <c r="I277" s="159"/>
      <c r="J277" s="224"/>
      <c r="K277" s="159"/>
      <c r="L277" s="159"/>
      <c r="M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row>
    <row r="278" spans="2:53" ht="17.399999999999999" customHeight="1">
      <c r="B278" s="159"/>
      <c r="C278" s="159"/>
      <c r="D278" s="159"/>
      <c r="E278" s="159"/>
      <c r="F278" s="159"/>
      <c r="G278" s="159"/>
      <c r="H278" s="159"/>
      <c r="I278" s="159"/>
      <c r="J278" s="224"/>
      <c r="K278" s="159"/>
      <c r="L278" s="159"/>
      <c r="M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row>
    <row r="279" spans="2:53" ht="17.399999999999999" customHeight="1">
      <c r="B279" s="159"/>
      <c r="C279" s="159"/>
      <c r="D279" s="159"/>
      <c r="E279" s="159"/>
      <c r="F279" s="159"/>
      <c r="G279" s="159"/>
      <c r="H279" s="159"/>
      <c r="I279" s="159"/>
      <c r="J279" s="224"/>
      <c r="K279" s="159"/>
      <c r="L279" s="159"/>
      <c r="M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row>
    <row r="280" spans="2:53" ht="17.399999999999999" customHeight="1">
      <c r="B280" s="159"/>
      <c r="C280" s="159"/>
      <c r="D280" s="159"/>
      <c r="E280" s="159"/>
      <c r="F280" s="159"/>
      <c r="G280" s="159"/>
      <c r="H280" s="159"/>
      <c r="I280" s="159"/>
      <c r="J280" s="224"/>
      <c r="K280" s="159"/>
      <c r="L280" s="159"/>
      <c r="M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row>
    <row r="281" spans="2:53" ht="17.399999999999999" customHeight="1">
      <c r="B281" s="159"/>
      <c r="C281" s="159"/>
      <c r="D281" s="159"/>
      <c r="E281" s="159"/>
      <c r="F281" s="159"/>
      <c r="G281" s="159"/>
      <c r="H281" s="159"/>
      <c r="I281" s="159"/>
      <c r="J281" s="224"/>
      <c r="K281" s="159"/>
      <c r="L281" s="159"/>
      <c r="M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row>
    <row r="282" spans="2:53" ht="17.399999999999999" customHeight="1">
      <c r="B282" s="159"/>
      <c r="C282" s="159"/>
      <c r="D282" s="159"/>
      <c r="E282" s="159"/>
      <c r="F282" s="159"/>
      <c r="G282" s="159"/>
      <c r="H282" s="159"/>
      <c r="I282" s="159"/>
      <c r="J282" s="224"/>
      <c r="K282" s="159"/>
      <c r="L282" s="159"/>
      <c r="M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row>
    <row r="283" spans="2:53" ht="17.399999999999999" customHeight="1">
      <c r="B283" s="159"/>
      <c r="C283" s="159"/>
      <c r="D283" s="159"/>
      <c r="E283" s="159"/>
      <c r="F283" s="159"/>
      <c r="G283" s="159"/>
      <c r="H283" s="159"/>
      <c r="I283" s="159"/>
      <c r="J283" s="224"/>
      <c r="K283" s="159"/>
      <c r="L283" s="159"/>
      <c r="M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row>
    <row r="284" spans="2:53" ht="17.399999999999999" customHeight="1">
      <c r="B284" s="159"/>
      <c r="C284" s="159"/>
      <c r="D284" s="159"/>
      <c r="E284" s="159"/>
      <c r="F284" s="159"/>
      <c r="G284" s="159"/>
      <c r="H284" s="159"/>
      <c r="I284" s="159"/>
      <c r="J284" s="224"/>
      <c r="K284" s="159"/>
      <c r="L284" s="159"/>
      <c r="M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row>
    <row r="285" spans="2:53" ht="17.399999999999999" customHeight="1">
      <c r="B285" s="159"/>
      <c r="C285" s="159"/>
      <c r="D285" s="159"/>
      <c r="E285" s="159"/>
      <c r="F285" s="159"/>
      <c r="G285" s="159"/>
      <c r="H285" s="159"/>
      <c r="I285" s="159"/>
      <c r="J285" s="224"/>
      <c r="K285" s="159"/>
      <c r="L285" s="159"/>
      <c r="M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row>
    <row r="286" spans="2:53" ht="17.399999999999999" customHeight="1">
      <c r="B286" s="159"/>
      <c r="C286" s="159"/>
      <c r="D286" s="159"/>
      <c r="E286" s="159"/>
      <c r="F286" s="159"/>
      <c r="G286" s="159"/>
      <c r="H286" s="159"/>
      <c r="I286" s="159"/>
      <c r="J286" s="224"/>
      <c r="K286" s="159"/>
      <c r="L286" s="159"/>
      <c r="M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row>
    <row r="287" spans="2:53" ht="17.399999999999999" customHeight="1">
      <c r="B287" s="159"/>
      <c r="C287" s="159"/>
      <c r="D287" s="159"/>
      <c r="E287" s="159"/>
      <c r="F287" s="159"/>
      <c r="G287" s="159"/>
      <c r="H287" s="159"/>
      <c r="I287" s="159"/>
      <c r="J287" s="224"/>
      <c r="K287" s="159"/>
      <c r="L287" s="159"/>
      <c r="M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row>
    <row r="288" spans="2:53" ht="17.399999999999999" customHeight="1">
      <c r="B288" s="159"/>
      <c r="C288" s="159"/>
      <c r="D288" s="159"/>
      <c r="E288" s="159"/>
      <c r="F288" s="159"/>
      <c r="G288" s="159"/>
      <c r="H288" s="159"/>
      <c r="I288" s="159"/>
      <c r="J288" s="224"/>
      <c r="K288" s="159"/>
      <c r="L288" s="159"/>
      <c r="M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row>
    <row r="289" spans="2:53" ht="17.399999999999999" customHeight="1">
      <c r="B289" s="159"/>
      <c r="C289" s="159"/>
      <c r="D289" s="159"/>
      <c r="E289" s="159"/>
      <c r="F289" s="159"/>
      <c r="G289" s="159"/>
      <c r="H289" s="159"/>
      <c r="I289" s="159"/>
      <c r="J289" s="224"/>
      <c r="K289" s="159"/>
      <c r="L289" s="159"/>
      <c r="M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row>
    <row r="290" spans="2:53" ht="17.399999999999999" customHeight="1">
      <c r="B290" s="159"/>
      <c r="C290" s="159"/>
      <c r="D290" s="159"/>
      <c r="E290" s="159"/>
      <c r="F290" s="159"/>
      <c r="G290" s="159"/>
      <c r="H290" s="159"/>
      <c r="I290" s="159"/>
      <c r="J290" s="224"/>
      <c r="K290" s="159"/>
      <c r="L290" s="159"/>
      <c r="M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row>
    <row r="291" spans="2:53" ht="17.399999999999999" customHeight="1">
      <c r="B291" s="159"/>
      <c r="C291" s="159"/>
      <c r="D291" s="159"/>
      <c r="E291" s="159"/>
      <c r="F291" s="159"/>
      <c r="G291" s="159"/>
      <c r="H291" s="159"/>
      <c r="I291" s="159"/>
      <c r="J291" s="224"/>
      <c r="K291" s="159"/>
      <c r="L291" s="159"/>
      <c r="M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row>
    <row r="292" spans="2:53" ht="17.399999999999999" customHeight="1">
      <c r="B292" s="159"/>
      <c r="C292" s="159"/>
      <c r="D292" s="159"/>
      <c r="E292" s="159"/>
      <c r="F292" s="159"/>
      <c r="G292" s="159"/>
      <c r="H292" s="159"/>
      <c r="I292" s="159"/>
      <c r="J292" s="224"/>
      <c r="K292" s="159"/>
      <c r="L292" s="159"/>
      <c r="M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row>
    <row r="293" spans="2:53" ht="17.399999999999999" customHeight="1">
      <c r="B293" s="159"/>
      <c r="C293" s="159"/>
      <c r="D293" s="159"/>
      <c r="E293" s="159"/>
      <c r="F293" s="159"/>
      <c r="G293" s="159"/>
      <c r="H293" s="159"/>
      <c r="I293" s="159"/>
      <c r="J293" s="224"/>
      <c r="K293" s="159"/>
      <c r="L293" s="159"/>
      <c r="M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row>
    <row r="294" spans="2:53" ht="17.399999999999999" customHeight="1">
      <c r="B294" s="159"/>
      <c r="C294" s="159"/>
      <c r="D294" s="159"/>
      <c r="E294" s="159"/>
      <c r="F294" s="159"/>
      <c r="G294" s="159"/>
      <c r="H294" s="159"/>
      <c r="I294" s="159"/>
      <c r="J294" s="224"/>
      <c r="K294" s="159"/>
      <c r="L294" s="159"/>
      <c r="M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row>
    <row r="295" spans="2:53" ht="17.399999999999999" customHeight="1">
      <c r="B295" s="159"/>
      <c r="C295" s="159"/>
      <c r="D295" s="159"/>
      <c r="E295" s="159"/>
      <c r="F295" s="159"/>
      <c r="G295" s="159"/>
      <c r="H295" s="159"/>
      <c r="I295" s="159"/>
      <c r="J295" s="224"/>
      <c r="K295" s="159"/>
      <c r="L295" s="159"/>
      <c r="M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row>
    <row r="296" spans="2:53" ht="17.399999999999999" customHeight="1">
      <c r="B296" s="159"/>
      <c r="C296" s="159"/>
      <c r="D296" s="159"/>
      <c r="E296" s="159"/>
      <c r="F296" s="159"/>
      <c r="G296" s="159"/>
      <c r="H296" s="159"/>
      <c r="I296" s="159"/>
      <c r="J296" s="224"/>
      <c r="K296" s="159"/>
      <c r="L296" s="159"/>
      <c r="M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row>
    <row r="297" spans="2:53" ht="17.399999999999999" customHeight="1">
      <c r="B297" s="159"/>
      <c r="C297" s="159"/>
      <c r="D297" s="159"/>
      <c r="E297" s="159"/>
      <c r="F297" s="159"/>
      <c r="G297" s="159"/>
      <c r="H297" s="159"/>
      <c r="I297" s="159"/>
      <c r="J297" s="224"/>
      <c r="K297" s="159"/>
      <c r="L297" s="159"/>
      <c r="M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row>
    <row r="298" spans="2:53" ht="17.399999999999999" customHeight="1">
      <c r="B298" s="159"/>
      <c r="C298" s="159"/>
      <c r="D298" s="159"/>
      <c r="E298" s="159"/>
      <c r="F298" s="159"/>
      <c r="G298" s="159"/>
      <c r="H298" s="159"/>
      <c r="I298" s="159"/>
      <c r="J298" s="224"/>
      <c r="K298" s="159"/>
      <c r="L298" s="159"/>
      <c r="M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row>
    <row r="299" spans="2:53" ht="17.399999999999999" customHeight="1">
      <c r="B299" s="159"/>
      <c r="C299" s="159"/>
      <c r="D299" s="159"/>
      <c r="E299" s="159"/>
      <c r="F299" s="159"/>
      <c r="G299" s="159"/>
      <c r="H299" s="159"/>
      <c r="I299" s="159"/>
      <c r="J299" s="224"/>
      <c r="K299" s="159"/>
      <c r="L299" s="159"/>
      <c r="M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row>
    <row r="300" spans="2:53" ht="17.399999999999999" customHeight="1">
      <c r="B300" s="159"/>
      <c r="C300" s="159"/>
      <c r="D300" s="159"/>
      <c r="E300" s="159"/>
      <c r="F300" s="159"/>
      <c r="G300" s="159"/>
      <c r="H300" s="159"/>
      <c r="I300" s="159"/>
      <c r="J300" s="224"/>
      <c r="K300" s="159"/>
      <c r="L300" s="159"/>
      <c r="M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row>
    <row r="301" spans="2:53" ht="17.399999999999999" customHeight="1">
      <c r="B301" s="159"/>
      <c r="C301" s="159"/>
      <c r="D301" s="159"/>
      <c r="E301" s="159"/>
      <c r="F301" s="159"/>
      <c r="G301" s="159"/>
      <c r="H301" s="159"/>
      <c r="I301" s="159"/>
      <c r="J301" s="224"/>
      <c r="K301" s="159"/>
      <c r="L301" s="159"/>
      <c r="M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row>
    <row r="302" spans="2:53" ht="17.399999999999999" customHeight="1">
      <c r="B302" s="159"/>
      <c r="C302" s="159"/>
      <c r="D302" s="159"/>
      <c r="E302" s="159"/>
      <c r="F302" s="159"/>
      <c r="G302" s="159"/>
      <c r="H302" s="159"/>
      <c r="I302" s="159"/>
      <c r="J302" s="224"/>
      <c r="K302" s="159"/>
      <c r="L302" s="159"/>
      <c r="M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row>
    <row r="303" spans="2:53" ht="17.399999999999999" customHeight="1">
      <c r="B303" s="159"/>
      <c r="C303" s="159"/>
      <c r="D303" s="159"/>
      <c r="E303" s="159"/>
      <c r="F303" s="159"/>
      <c r="G303" s="159"/>
      <c r="H303" s="159"/>
      <c r="I303" s="159"/>
      <c r="J303" s="224"/>
      <c r="K303" s="159"/>
      <c r="L303" s="159"/>
      <c r="M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row>
    <row r="304" spans="2:53" ht="17.399999999999999" customHeight="1">
      <c r="B304" s="159"/>
      <c r="C304" s="159"/>
      <c r="D304" s="159"/>
      <c r="E304" s="159"/>
      <c r="F304" s="159"/>
      <c r="G304" s="159"/>
      <c r="H304" s="159"/>
      <c r="I304" s="159"/>
      <c r="J304" s="224"/>
      <c r="K304" s="159"/>
      <c r="L304" s="159"/>
      <c r="M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row>
    <row r="305" spans="2:53" ht="17.399999999999999" customHeight="1">
      <c r="B305" s="159"/>
      <c r="C305" s="159"/>
      <c r="D305" s="159"/>
      <c r="E305" s="159"/>
      <c r="F305" s="159"/>
      <c r="G305" s="159"/>
      <c r="H305" s="159"/>
      <c r="I305" s="159"/>
      <c r="J305" s="224"/>
      <c r="K305" s="159"/>
      <c r="L305" s="159"/>
      <c r="M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row>
    <row r="306" spans="2:53" ht="17.399999999999999" customHeight="1">
      <c r="B306" s="159"/>
      <c r="C306" s="159"/>
      <c r="D306" s="159"/>
      <c r="E306" s="159"/>
      <c r="F306" s="159"/>
      <c r="G306" s="159"/>
      <c r="H306" s="159"/>
      <c r="I306" s="159"/>
      <c r="J306" s="224"/>
      <c r="K306" s="159"/>
      <c r="L306" s="159"/>
      <c r="M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row>
    <row r="307" spans="2:53" ht="17.399999999999999" customHeight="1">
      <c r="B307" s="159"/>
      <c r="C307" s="159"/>
      <c r="D307" s="159"/>
      <c r="E307" s="159"/>
      <c r="F307" s="159"/>
      <c r="G307" s="159"/>
      <c r="H307" s="159"/>
      <c r="I307" s="159"/>
      <c r="J307" s="224"/>
      <c r="K307" s="159"/>
      <c r="L307" s="159"/>
      <c r="M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row>
    <row r="308" spans="2:53" ht="17.399999999999999" customHeight="1">
      <c r="B308" s="159"/>
      <c r="C308" s="159"/>
      <c r="D308" s="159"/>
      <c r="E308" s="159"/>
      <c r="F308" s="159"/>
      <c r="G308" s="159"/>
      <c r="H308" s="159"/>
      <c r="I308" s="159"/>
      <c r="J308" s="224"/>
      <c r="K308" s="159"/>
      <c r="L308" s="159"/>
      <c r="M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row>
    <row r="309" spans="2:53" ht="17.399999999999999" customHeight="1">
      <c r="B309" s="159"/>
      <c r="C309" s="159"/>
      <c r="D309" s="159"/>
      <c r="E309" s="159"/>
      <c r="F309" s="159"/>
      <c r="G309" s="159"/>
      <c r="H309" s="159"/>
      <c r="I309" s="159"/>
      <c r="J309" s="224"/>
      <c r="K309" s="159"/>
      <c r="L309" s="159"/>
      <c r="M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row>
    <row r="310" spans="2:53" ht="17.399999999999999" customHeight="1">
      <c r="B310" s="159"/>
      <c r="C310" s="159"/>
      <c r="D310" s="159"/>
      <c r="E310" s="159"/>
      <c r="F310" s="159"/>
      <c r="G310" s="159"/>
      <c r="H310" s="159"/>
      <c r="I310" s="159"/>
      <c r="J310" s="224"/>
      <c r="K310" s="159"/>
      <c r="L310" s="159"/>
      <c r="M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row>
    <row r="311" spans="2:53" ht="17.399999999999999" customHeight="1">
      <c r="B311" s="159"/>
      <c r="C311" s="159"/>
      <c r="D311" s="159"/>
      <c r="E311" s="159"/>
      <c r="F311" s="159"/>
      <c r="G311" s="159"/>
      <c r="H311" s="159"/>
      <c r="I311" s="159"/>
      <c r="J311" s="224"/>
      <c r="K311" s="159"/>
      <c r="L311" s="159"/>
      <c r="M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row>
    <row r="312" spans="2:53" ht="17.399999999999999" customHeight="1">
      <c r="B312" s="159"/>
      <c r="C312" s="159"/>
      <c r="D312" s="159"/>
      <c r="E312" s="159"/>
      <c r="F312" s="159"/>
      <c r="G312" s="159"/>
      <c r="H312" s="159"/>
      <c r="I312" s="159"/>
      <c r="J312" s="224"/>
      <c r="K312" s="159"/>
      <c r="L312" s="159"/>
      <c r="M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row>
    <row r="313" spans="2:53" ht="17.399999999999999" customHeight="1">
      <c r="B313" s="159"/>
      <c r="C313" s="159"/>
      <c r="D313" s="159"/>
      <c r="E313" s="159"/>
      <c r="F313" s="159"/>
      <c r="G313" s="159"/>
      <c r="H313" s="159"/>
      <c r="I313" s="159"/>
      <c r="J313" s="224"/>
      <c r="K313" s="159"/>
      <c r="L313" s="159"/>
      <c r="M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row>
    <row r="314" spans="2:53" ht="17.399999999999999" customHeight="1">
      <c r="B314" s="159"/>
      <c r="C314" s="159"/>
      <c r="D314" s="159"/>
      <c r="E314" s="159"/>
      <c r="F314" s="159"/>
      <c r="G314" s="159"/>
      <c r="H314" s="159"/>
      <c r="I314" s="159"/>
      <c r="J314" s="224"/>
      <c r="K314" s="159"/>
      <c r="L314" s="159"/>
      <c r="M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row>
    <row r="315" spans="2:53" ht="17.399999999999999" customHeight="1">
      <c r="B315" s="159"/>
      <c r="C315" s="159"/>
      <c r="D315" s="159"/>
      <c r="E315" s="159"/>
      <c r="F315" s="159"/>
      <c r="G315" s="159"/>
      <c r="H315" s="159"/>
      <c r="I315" s="159"/>
      <c r="J315" s="224"/>
      <c r="K315" s="159"/>
      <c r="L315" s="159"/>
      <c r="M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row>
    <row r="316" spans="2:53" ht="17.399999999999999" customHeight="1">
      <c r="B316" s="159"/>
      <c r="C316" s="159"/>
      <c r="D316" s="159"/>
      <c r="E316" s="159"/>
      <c r="F316" s="159"/>
      <c r="G316" s="159"/>
      <c r="H316" s="159"/>
      <c r="I316" s="159"/>
      <c r="J316" s="224"/>
      <c r="K316" s="159"/>
      <c r="L316" s="159"/>
      <c r="M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row>
    <row r="317" spans="2:53" ht="17.399999999999999" customHeight="1">
      <c r="B317" s="159"/>
      <c r="C317" s="159"/>
      <c r="D317" s="159"/>
      <c r="E317" s="159"/>
      <c r="F317" s="159"/>
      <c r="G317" s="159"/>
      <c r="H317" s="159"/>
      <c r="I317" s="159"/>
      <c r="J317" s="224"/>
      <c r="K317" s="159"/>
      <c r="L317" s="159"/>
      <c r="M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row>
    <row r="318" spans="2:53" ht="17.399999999999999" customHeight="1">
      <c r="B318" s="159"/>
      <c r="C318" s="159"/>
      <c r="D318" s="159"/>
      <c r="E318" s="159"/>
      <c r="F318" s="159"/>
      <c r="G318" s="159"/>
      <c r="H318" s="159"/>
      <c r="I318" s="159"/>
      <c r="J318" s="224"/>
      <c r="K318" s="159"/>
      <c r="L318" s="159"/>
      <c r="M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row>
    <row r="319" spans="2:53" ht="17.399999999999999" customHeight="1">
      <c r="B319" s="159"/>
      <c r="C319" s="159"/>
      <c r="D319" s="159"/>
      <c r="E319" s="159"/>
      <c r="F319" s="159"/>
      <c r="G319" s="159"/>
      <c r="H319" s="159"/>
      <c r="I319" s="159"/>
      <c r="J319" s="224"/>
      <c r="K319" s="159"/>
      <c r="L319" s="159"/>
      <c r="M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row>
    <row r="320" spans="2:53" ht="17.399999999999999" customHeight="1">
      <c r="B320" s="159"/>
      <c r="C320" s="159"/>
      <c r="D320" s="159"/>
      <c r="E320" s="159"/>
      <c r="F320" s="159"/>
      <c r="G320" s="159"/>
      <c r="H320" s="159"/>
      <c r="I320" s="159"/>
      <c r="J320" s="224"/>
      <c r="K320" s="159"/>
      <c r="L320" s="159"/>
      <c r="M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row>
    <row r="321" spans="2:53" ht="17.399999999999999" customHeight="1">
      <c r="B321" s="159"/>
      <c r="C321" s="159"/>
      <c r="D321" s="159"/>
      <c r="E321" s="159"/>
      <c r="F321" s="159"/>
      <c r="G321" s="159"/>
      <c r="H321" s="159"/>
      <c r="I321" s="159"/>
      <c r="J321" s="224"/>
      <c r="K321" s="159"/>
      <c r="L321" s="159"/>
      <c r="M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row>
    <row r="322" spans="2:53" ht="17.399999999999999" customHeight="1">
      <c r="B322" s="159"/>
      <c r="C322" s="159"/>
      <c r="D322" s="159"/>
      <c r="E322" s="159"/>
      <c r="F322" s="159"/>
      <c r="G322" s="159"/>
      <c r="H322" s="159"/>
      <c r="I322" s="159"/>
      <c r="J322" s="224"/>
      <c r="K322" s="159"/>
      <c r="L322" s="159"/>
      <c r="M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row>
    <row r="323" spans="2:53" ht="17.399999999999999" customHeight="1">
      <c r="B323" s="159"/>
      <c r="C323" s="159"/>
      <c r="D323" s="159"/>
      <c r="E323" s="159"/>
      <c r="F323" s="159"/>
      <c r="G323" s="159"/>
      <c r="H323" s="159"/>
      <c r="I323" s="159"/>
      <c r="J323" s="224"/>
      <c r="K323" s="159"/>
      <c r="L323" s="159"/>
      <c r="M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row>
    <row r="324" spans="2:53" ht="17.399999999999999" customHeight="1">
      <c r="B324" s="159"/>
      <c r="C324" s="159"/>
      <c r="D324" s="159"/>
      <c r="E324" s="159"/>
      <c r="F324" s="159"/>
      <c r="G324" s="159"/>
      <c r="H324" s="159"/>
      <c r="I324" s="159"/>
      <c r="J324" s="224"/>
      <c r="K324" s="159"/>
      <c r="L324" s="159"/>
      <c r="M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row>
    <row r="325" spans="2:53" ht="17.399999999999999" customHeight="1">
      <c r="B325" s="159"/>
      <c r="C325" s="159"/>
      <c r="D325" s="159"/>
      <c r="E325" s="159"/>
      <c r="F325" s="159"/>
      <c r="G325" s="159"/>
      <c r="H325" s="159"/>
      <c r="I325" s="159"/>
      <c r="J325" s="224"/>
      <c r="K325" s="159"/>
      <c r="L325" s="159"/>
      <c r="M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row>
    <row r="326" spans="2:53" ht="17.399999999999999" customHeight="1">
      <c r="B326" s="159"/>
      <c r="C326" s="159"/>
      <c r="D326" s="159"/>
      <c r="E326" s="159"/>
      <c r="F326" s="159"/>
      <c r="G326" s="159"/>
      <c r="H326" s="159"/>
      <c r="I326" s="159"/>
      <c r="J326" s="224"/>
      <c r="K326" s="159"/>
      <c r="L326" s="159"/>
      <c r="M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row>
    <row r="327" spans="2:53" ht="17.399999999999999" customHeight="1">
      <c r="B327" s="159"/>
      <c r="C327" s="159"/>
      <c r="D327" s="159"/>
      <c r="E327" s="159"/>
      <c r="F327" s="159"/>
      <c r="G327" s="159"/>
      <c r="H327" s="159"/>
      <c r="I327" s="159"/>
      <c r="J327" s="224"/>
      <c r="K327" s="159"/>
      <c r="L327" s="159"/>
      <c r="M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row>
    <row r="328" spans="2:53" ht="17.399999999999999" customHeight="1">
      <c r="B328" s="159"/>
      <c r="C328" s="159"/>
      <c r="D328" s="159"/>
      <c r="E328" s="159"/>
      <c r="F328" s="159"/>
      <c r="G328" s="159"/>
      <c r="H328" s="159"/>
      <c r="I328" s="159"/>
      <c r="J328" s="224"/>
      <c r="K328" s="159"/>
      <c r="L328" s="159"/>
      <c r="M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row>
    <row r="329" spans="2:53" ht="17.399999999999999" customHeight="1">
      <c r="B329" s="159"/>
      <c r="C329" s="159"/>
      <c r="D329" s="159"/>
      <c r="E329" s="159"/>
      <c r="F329" s="159"/>
      <c r="G329" s="159"/>
      <c r="H329" s="159"/>
      <c r="I329" s="159"/>
      <c r="J329" s="224"/>
      <c r="K329" s="159"/>
      <c r="L329" s="159"/>
      <c r="M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row>
    <row r="330" spans="2:53" ht="17.399999999999999" customHeight="1">
      <c r="B330" s="159"/>
      <c r="C330" s="159"/>
      <c r="D330" s="159"/>
      <c r="E330" s="159"/>
      <c r="F330" s="159"/>
      <c r="G330" s="159"/>
      <c r="H330" s="159"/>
      <c r="I330" s="159"/>
      <c r="J330" s="224"/>
      <c r="K330" s="159"/>
      <c r="L330" s="159"/>
      <c r="M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row>
    <row r="331" spans="2:53" ht="17.399999999999999" customHeight="1">
      <c r="B331" s="159"/>
      <c r="C331" s="159"/>
      <c r="D331" s="159"/>
      <c r="E331" s="159"/>
      <c r="F331" s="159"/>
      <c r="G331" s="159"/>
      <c r="H331" s="159"/>
      <c r="I331" s="159"/>
      <c r="J331" s="224"/>
      <c r="K331" s="159"/>
      <c r="L331" s="159"/>
      <c r="M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row>
    <row r="332" spans="2:53" ht="17.399999999999999" customHeight="1">
      <c r="B332" s="159"/>
      <c r="C332" s="159"/>
      <c r="D332" s="159"/>
      <c r="E332" s="159"/>
      <c r="F332" s="159"/>
      <c r="G332" s="159"/>
      <c r="H332" s="159"/>
      <c r="I332" s="159"/>
      <c r="J332" s="224"/>
      <c r="K332" s="159"/>
      <c r="L332" s="159"/>
      <c r="M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row>
    <row r="333" spans="2:53" ht="17.399999999999999" customHeight="1">
      <c r="B333" s="159"/>
      <c r="C333" s="159"/>
      <c r="D333" s="159"/>
      <c r="E333" s="159"/>
      <c r="F333" s="159"/>
      <c r="G333" s="159"/>
      <c r="H333" s="159"/>
      <c r="I333" s="159"/>
      <c r="J333" s="224"/>
      <c r="K333" s="159"/>
      <c r="L333" s="159"/>
      <c r="M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row>
    <row r="334" spans="2:53" ht="17.399999999999999" customHeight="1">
      <c r="B334" s="159"/>
      <c r="C334" s="159"/>
      <c r="D334" s="159"/>
      <c r="E334" s="159"/>
      <c r="F334" s="159"/>
      <c r="G334" s="159"/>
      <c r="H334" s="159"/>
      <c r="I334" s="159"/>
      <c r="J334" s="224"/>
      <c r="K334" s="159"/>
      <c r="L334" s="159"/>
      <c r="M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row>
    <row r="335" spans="2:53" ht="17.399999999999999" customHeight="1">
      <c r="B335" s="159"/>
      <c r="C335" s="159"/>
      <c r="D335" s="159"/>
      <c r="E335" s="159"/>
      <c r="F335" s="159"/>
      <c r="G335" s="159"/>
      <c r="H335" s="159"/>
      <c r="I335" s="159"/>
      <c r="J335" s="224"/>
      <c r="K335" s="159"/>
      <c r="L335" s="159"/>
      <c r="M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row>
    <row r="336" spans="2:53" ht="17.399999999999999" customHeight="1">
      <c r="B336" s="159"/>
      <c r="C336" s="159"/>
      <c r="D336" s="159"/>
      <c r="E336" s="159"/>
      <c r="F336" s="159"/>
      <c r="G336" s="159"/>
      <c r="H336" s="159"/>
      <c r="I336" s="159"/>
      <c r="J336" s="224"/>
      <c r="K336" s="159"/>
      <c r="L336" s="159"/>
      <c r="M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row>
    <row r="337" spans="2:53" ht="17.399999999999999" customHeight="1">
      <c r="B337" s="159"/>
      <c r="C337" s="159"/>
      <c r="D337" s="159"/>
      <c r="E337" s="159"/>
      <c r="F337" s="159"/>
      <c r="G337" s="159"/>
      <c r="H337" s="159"/>
      <c r="I337" s="159"/>
      <c r="J337" s="224"/>
      <c r="K337" s="159"/>
      <c r="L337" s="159"/>
      <c r="M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row>
    <row r="338" spans="2:53" ht="17.399999999999999" customHeight="1">
      <c r="B338" s="159"/>
      <c r="C338" s="159"/>
      <c r="D338" s="159"/>
      <c r="E338" s="159"/>
      <c r="F338" s="159"/>
      <c r="G338" s="159"/>
      <c r="H338" s="159"/>
      <c r="I338" s="159"/>
      <c r="J338" s="224"/>
      <c r="K338" s="159"/>
      <c r="L338" s="159"/>
      <c r="M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row>
    <row r="339" spans="2:53" ht="17.399999999999999" customHeight="1">
      <c r="B339" s="159"/>
      <c r="C339" s="159"/>
      <c r="D339" s="159"/>
      <c r="E339" s="159"/>
      <c r="F339" s="159"/>
      <c r="G339" s="159"/>
      <c r="H339" s="159"/>
      <c r="I339" s="159"/>
      <c r="J339" s="224"/>
      <c r="K339" s="159"/>
      <c r="L339" s="159"/>
      <c r="M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row>
    <row r="340" spans="2:53" ht="17.399999999999999" customHeight="1">
      <c r="B340" s="159"/>
      <c r="C340" s="159"/>
      <c r="D340" s="159"/>
      <c r="E340" s="159"/>
      <c r="F340" s="159"/>
      <c r="G340" s="159"/>
      <c r="H340" s="159"/>
      <c r="I340" s="159"/>
      <c r="J340" s="224"/>
      <c r="K340" s="159"/>
      <c r="L340" s="159"/>
      <c r="M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row>
    <row r="341" spans="2:53" ht="17.399999999999999" customHeight="1">
      <c r="B341" s="159"/>
      <c r="C341" s="159"/>
      <c r="D341" s="159"/>
      <c r="E341" s="159"/>
      <c r="F341" s="159"/>
      <c r="G341" s="159"/>
      <c r="H341" s="159"/>
      <c r="I341" s="159"/>
      <c r="J341" s="224"/>
      <c r="K341" s="159"/>
      <c r="L341" s="159"/>
      <c r="M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row>
    <row r="342" spans="2:53" ht="17.399999999999999" customHeight="1">
      <c r="B342" s="159"/>
      <c r="C342" s="159"/>
      <c r="D342" s="159"/>
      <c r="E342" s="159"/>
      <c r="F342" s="159"/>
      <c r="G342" s="159"/>
      <c r="H342" s="159"/>
      <c r="I342" s="159"/>
      <c r="J342" s="224"/>
      <c r="K342" s="159"/>
      <c r="L342" s="159"/>
      <c r="M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row>
    <row r="343" spans="2:53" ht="17.399999999999999" customHeight="1">
      <c r="B343" s="159"/>
      <c r="C343" s="159"/>
      <c r="D343" s="159"/>
      <c r="E343" s="159"/>
      <c r="F343" s="159"/>
      <c r="G343" s="159"/>
      <c r="H343" s="159"/>
      <c r="I343" s="159"/>
      <c r="J343" s="224"/>
      <c r="K343" s="159"/>
      <c r="L343" s="159"/>
      <c r="M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row>
    <row r="344" spans="2:53" ht="17.399999999999999" customHeight="1">
      <c r="B344" s="159"/>
      <c r="C344" s="159"/>
      <c r="D344" s="159"/>
      <c r="E344" s="159"/>
      <c r="F344" s="159"/>
      <c r="G344" s="159"/>
      <c r="H344" s="159"/>
      <c r="I344" s="159"/>
      <c r="J344" s="224"/>
      <c r="K344" s="159"/>
      <c r="L344" s="159"/>
      <c r="M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row>
    <row r="345" spans="2:53" ht="17.399999999999999" customHeight="1">
      <c r="B345" s="159"/>
      <c r="C345" s="159"/>
      <c r="D345" s="159"/>
      <c r="E345" s="159"/>
      <c r="F345" s="159"/>
      <c r="G345" s="159"/>
      <c r="H345" s="159"/>
      <c r="I345" s="159"/>
      <c r="J345" s="224"/>
      <c r="K345" s="159"/>
      <c r="L345" s="159"/>
      <c r="M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c r="AT345" s="159"/>
      <c r="AU345" s="159"/>
      <c r="AV345" s="159"/>
      <c r="AW345" s="159"/>
      <c r="AX345" s="159"/>
      <c r="AY345" s="159"/>
      <c r="AZ345" s="159"/>
      <c r="BA345" s="159"/>
    </row>
    <row r="346" spans="2:53" ht="17.399999999999999" customHeight="1">
      <c r="B346" s="159"/>
      <c r="C346" s="159"/>
      <c r="D346" s="159"/>
      <c r="E346" s="159"/>
      <c r="F346" s="159"/>
      <c r="G346" s="159"/>
      <c r="H346" s="159"/>
      <c r="I346" s="159"/>
      <c r="J346" s="224"/>
      <c r="K346" s="159"/>
      <c r="L346" s="159"/>
      <c r="M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row>
    <row r="347" spans="2:53" ht="17.399999999999999" customHeight="1">
      <c r="B347" s="159"/>
      <c r="C347" s="159"/>
      <c r="D347" s="159"/>
      <c r="E347" s="159"/>
      <c r="F347" s="159"/>
      <c r="G347" s="159"/>
      <c r="H347" s="159"/>
      <c r="I347" s="159"/>
      <c r="J347" s="224"/>
      <c r="K347" s="159"/>
      <c r="L347" s="159"/>
      <c r="M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row>
    <row r="348" spans="2:53" ht="17.399999999999999" customHeight="1">
      <c r="B348" s="159"/>
      <c r="C348" s="159"/>
      <c r="D348" s="159"/>
      <c r="E348" s="159"/>
      <c r="F348" s="159"/>
      <c r="G348" s="159"/>
      <c r="H348" s="159"/>
      <c r="I348" s="159"/>
      <c r="J348" s="224"/>
      <c r="K348" s="159"/>
      <c r="L348" s="159"/>
      <c r="M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59"/>
      <c r="AY348" s="159"/>
      <c r="AZ348" s="159"/>
      <c r="BA348" s="159"/>
    </row>
    <row r="349" spans="2:53" ht="17.399999999999999" customHeight="1">
      <c r="B349" s="159"/>
      <c r="C349" s="159"/>
      <c r="D349" s="159"/>
      <c r="E349" s="159"/>
      <c r="F349" s="159"/>
      <c r="G349" s="159"/>
      <c r="H349" s="159"/>
      <c r="I349" s="159"/>
      <c r="J349" s="224"/>
      <c r="K349" s="159"/>
      <c r="L349" s="159"/>
      <c r="M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c r="AT349" s="159"/>
      <c r="AU349" s="159"/>
      <c r="AV349" s="159"/>
      <c r="AW349" s="159"/>
      <c r="AX349" s="159"/>
      <c r="AY349" s="159"/>
      <c r="AZ349" s="159"/>
      <c r="BA349" s="159"/>
    </row>
    <row r="350" spans="2:53" ht="17.399999999999999" customHeight="1">
      <c r="B350" s="159"/>
      <c r="C350" s="159"/>
      <c r="D350" s="159"/>
      <c r="E350" s="159"/>
      <c r="F350" s="159"/>
      <c r="G350" s="159"/>
      <c r="H350" s="159"/>
      <c r="I350" s="159"/>
      <c r="J350" s="224"/>
      <c r="K350" s="159"/>
      <c r="L350" s="159"/>
      <c r="M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c r="AT350" s="159"/>
      <c r="AU350" s="159"/>
      <c r="AV350" s="159"/>
      <c r="AW350" s="159"/>
      <c r="AX350" s="159"/>
      <c r="AY350" s="159"/>
      <c r="AZ350" s="159"/>
      <c r="BA350" s="159"/>
    </row>
    <row r="351" spans="2:53" ht="17.399999999999999" customHeight="1">
      <c r="B351" s="159"/>
      <c r="C351" s="159"/>
      <c r="D351" s="159"/>
      <c r="E351" s="159"/>
      <c r="F351" s="159"/>
      <c r="G351" s="159"/>
      <c r="H351" s="159"/>
      <c r="I351" s="159"/>
      <c r="J351" s="224"/>
      <c r="K351" s="159"/>
      <c r="L351" s="159"/>
      <c r="M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c r="AT351" s="159"/>
      <c r="AU351" s="159"/>
      <c r="AV351" s="159"/>
      <c r="AW351" s="159"/>
      <c r="AX351" s="159"/>
      <c r="AY351" s="159"/>
      <c r="AZ351" s="159"/>
      <c r="BA351" s="159"/>
    </row>
    <row r="352" spans="2:53" ht="17.399999999999999" customHeight="1">
      <c r="B352" s="159"/>
      <c r="C352" s="159"/>
      <c r="D352" s="159"/>
      <c r="E352" s="159"/>
      <c r="F352" s="159"/>
      <c r="G352" s="159"/>
      <c r="H352" s="159"/>
      <c r="I352" s="159"/>
      <c r="J352" s="224"/>
      <c r="K352" s="159"/>
      <c r="L352" s="159"/>
      <c r="M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row>
    <row r="353" spans="2:53" ht="17.399999999999999" customHeight="1">
      <c r="B353" s="159"/>
      <c r="C353" s="159"/>
      <c r="D353" s="159"/>
      <c r="E353" s="159"/>
      <c r="F353" s="159"/>
      <c r="G353" s="159"/>
      <c r="H353" s="159"/>
      <c r="I353" s="159"/>
      <c r="J353" s="224"/>
      <c r="K353" s="159"/>
      <c r="L353" s="159"/>
      <c r="M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row>
    <row r="354" spans="2:53" ht="17.399999999999999" customHeight="1">
      <c r="B354" s="159"/>
      <c r="C354" s="159"/>
      <c r="D354" s="159"/>
      <c r="E354" s="159"/>
      <c r="F354" s="159"/>
      <c r="G354" s="159"/>
      <c r="H354" s="159"/>
      <c r="I354" s="159"/>
      <c r="J354" s="224"/>
      <c r="K354" s="159"/>
      <c r="L354" s="159"/>
      <c r="M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row>
    <row r="355" spans="2:53" ht="17.399999999999999" customHeight="1">
      <c r="B355" s="159"/>
      <c r="C355" s="159"/>
      <c r="D355" s="159"/>
      <c r="E355" s="159"/>
      <c r="F355" s="159"/>
      <c r="G355" s="159"/>
      <c r="H355" s="159"/>
      <c r="I355" s="159"/>
      <c r="J355" s="224"/>
      <c r="K355" s="159"/>
      <c r="L355" s="159"/>
      <c r="M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row>
    <row r="356" spans="2:53" ht="17.399999999999999" customHeight="1">
      <c r="B356" s="159"/>
      <c r="C356" s="159"/>
      <c r="D356" s="159"/>
      <c r="E356" s="159"/>
      <c r="F356" s="159"/>
      <c r="G356" s="159"/>
      <c r="H356" s="159"/>
      <c r="I356" s="159"/>
      <c r="J356" s="224"/>
      <c r="K356" s="159"/>
      <c r="L356" s="159"/>
      <c r="M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row>
    <row r="357" spans="2:53" ht="17.399999999999999" customHeight="1">
      <c r="B357" s="159"/>
      <c r="C357" s="159"/>
      <c r="D357" s="159"/>
      <c r="E357" s="159"/>
      <c r="F357" s="159"/>
      <c r="G357" s="159"/>
      <c r="H357" s="159"/>
      <c r="I357" s="159"/>
      <c r="J357" s="224"/>
      <c r="K357" s="159"/>
      <c r="L357" s="159"/>
      <c r="M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row>
    <row r="358" spans="2:53" ht="17.399999999999999" customHeight="1">
      <c r="B358" s="159"/>
      <c r="C358" s="159"/>
      <c r="D358" s="159"/>
      <c r="E358" s="159"/>
      <c r="F358" s="159"/>
      <c r="G358" s="159"/>
      <c r="H358" s="159"/>
      <c r="I358" s="159"/>
      <c r="J358" s="224"/>
      <c r="K358" s="159"/>
      <c r="L358" s="159"/>
      <c r="M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row>
    <row r="359" spans="2:53" ht="17.399999999999999" customHeight="1">
      <c r="B359" s="159"/>
      <c r="C359" s="159"/>
      <c r="D359" s="159"/>
      <c r="E359" s="159"/>
      <c r="F359" s="159"/>
      <c r="G359" s="159"/>
      <c r="H359" s="159"/>
      <c r="I359" s="159"/>
      <c r="J359" s="224"/>
      <c r="K359" s="159"/>
      <c r="L359" s="159"/>
      <c r="M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row>
    <row r="360" spans="2:53" ht="17.399999999999999" customHeight="1">
      <c r="B360" s="159"/>
      <c r="C360" s="159"/>
      <c r="D360" s="159"/>
      <c r="E360" s="159"/>
      <c r="F360" s="159"/>
      <c r="G360" s="159"/>
      <c r="H360" s="159"/>
      <c r="I360" s="159"/>
      <c r="J360" s="224"/>
      <c r="K360" s="159"/>
      <c r="L360" s="159"/>
      <c r="M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row>
    <row r="361" spans="2:53" ht="17.399999999999999" customHeight="1">
      <c r="B361" s="159"/>
      <c r="C361" s="159"/>
      <c r="D361" s="159"/>
      <c r="E361" s="159"/>
      <c r="F361" s="159"/>
      <c r="G361" s="159"/>
      <c r="H361" s="159"/>
      <c r="I361" s="159"/>
      <c r="J361" s="224"/>
      <c r="K361" s="159"/>
      <c r="L361" s="159"/>
      <c r="M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row>
    <row r="362" spans="2:53" ht="17.399999999999999" customHeight="1">
      <c r="B362" s="159"/>
      <c r="C362" s="159"/>
      <c r="D362" s="159"/>
      <c r="E362" s="159"/>
      <c r="F362" s="159"/>
      <c r="G362" s="159"/>
      <c r="H362" s="159"/>
      <c r="I362" s="159"/>
      <c r="J362" s="224"/>
      <c r="K362" s="159"/>
      <c r="L362" s="159"/>
      <c r="M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row>
    <row r="363" spans="2:53" ht="17.399999999999999" customHeight="1">
      <c r="B363" s="159"/>
      <c r="C363" s="159"/>
      <c r="D363" s="159"/>
      <c r="E363" s="159"/>
      <c r="F363" s="159"/>
      <c r="G363" s="159"/>
      <c r="H363" s="159"/>
      <c r="I363" s="159"/>
      <c r="J363" s="224"/>
      <c r="K363" s="159"/>
      <c r="L363" s="159"/>
      <c r="M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c r="AT363" s="159"/>
      <c r="AU363" s="159"/>
      <c r="AV363" s="159"/>
      <c r="AW363" s="159"/>
      <c r="AX363" s="159"/>
      <c r="AY363" s="159"/>
      <c r="AZ363" s="159"/>
      <c r="BA363" s="159"/>
    </row>
    <row r="364" spans="2:53" ht="17.399999999999999" customHeight="1">
      <c r="B364" s="159"/>
      <c r="C364" s="159"/>
      <c r="D364" s="159"/>
      <c r="E364" s="159"/>
      <c r="F364" s="159"/>
      <c r="G364" s="159"/>
      <c r="H364" s="159"/>
      <c r="I364" s="159"/>
      <c r="J364" s="224"/>
      <c r="K364" s="159"/>
      <c r="L364" s="159"/>
      <c r="M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c r="AT364" s="159"/>
      <c r="AU364" s="159"/>
      <c r="AV364" s="159"/>
      <c r="AW364" s="159"/>
      <c r="AX364" s="159"/>
      <c r="AY364" s="159"/>
      <c r="AZ364" s="159"/>
      <c r="BA364" s="159"/>
    </row>
    <row r="365" spans="2:53" ht="17.399999999999999" customHeight="1">
      <c r="B365" s="159"/>
      <c r="C365" s="159"/>
      <c r="D365" s="159"/>
      <c r="E365" s="159"/>
      <c r="F365" s="159"/>
      <c r="G365" s="159"/>
      <c r="H365" s="159"/>
      <c r="I365" s="159"/>
      <c r="J365" s="224"/>
      <c r="K365" s="159"/>
      <c r="L365" s="159"/>
      <c r="M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c r="AT365" s="159"/>
      <c r="AU365" s="159"/>
      <c r="AV365" s="159"/>
      <c r="AW365" s="159"/>
      <c r="AX365" s="159"/>
      <c r="AY365" s="159"/>
      <c r="AZ365" s="159"/>
      <c r="BA365" s="159"/>
    </row>
    <row r="366" spans="2:53" ht="17.399999999999999" customHeight="1">
      <c r="B366" s="159"/>
      <c r="C366" s="159"/>
      <c r="D366" s="159"/>
      <c r="E366" s="159"/>
      <c r="F366" s="159"/>
      <c r="G366" s="159"/>
      <c r="H366" s="159"/>
      <c r="I366" s="159"/>
      <c r="J366" s="224"/>
      <c r="K366" s="159"/>
      <c r="L366" s="159"/>
      <c r="M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row>
    <row r="367" spans="2:53" ht="17.399999999999999" customHeight="1">
      <c r="B367" s="159"/>
      <c r="C367" s="159"/>
      <c r="D367" s="159"/>
      <c r="E367" s="159"/>
      <c r="F367" s="159"/>
      <c r="G367" s="159"/>
      <c r="H367" s="159"/>
      <c r="I367" s="159"/>
      <c r="J367" s="224"/>
      <c r="K367" s="159"/>
      <c r="L367" s="159"/>
      <c r="M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c r="AT367" s="159"/>
      <c r="AU367" s="159"/>
      <c r="AV367" s="159"/>
      <c r="AW367" s="159"/>
      <c r="AX367" s="159"/>
      <c r="AY367" s="159"/>
      <c r="AZ367" s="159"/>
      <c r="BA367" s="159"/>
    </row>
    <row r="368" spans="2:53" ht="17.399999999999999" customHeight="1">
      <c r="B368" s="159"/>
      <c r="C368" s="159"/>
      <c r="D368" s="159"/>
      <c r="E368" s="159"/>
      <c r="F368" s="159"/>
      <c r="G368" s="159"/>
      <c r="H368" s="159"/>
      <c r="I368" s="159"/>
      <c r="J368" s="224"/>
      <c r="K368" s="159"/>
      <c r="L368" s="159"/>
      <c r="M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59"/>
      <c r="AY368" s="159"/>
      <c r="AZ368" s="159"/>
      <c r="BA368" s="159"/>
    </row>
    <row r="369" spans="2:53" ht="17.399999999999999" customHeight="1">
      <c r="B369" s="159"/>
      <c r="C369" s="159"/>
      <c r="D369" s="159"/>
      <c r="E369" s="159"/>
      <c r="F369" s="159"/>
      <c r="G369" s="159"/>
      <c r="H369" s="159"/>
      <c r="I369" s="159"/>
      <c r="J369" s="224"/>
      <c r="K369" s="159"/>
      <c r="L369" s="159"/>
      <c r="M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c r="AT369" s="159"/>
      <c r="AU369" s="159"/>
      <c r="AV369" s="159"/>
      <c r="AW369" s="159"/>
      <c r="AX369" s="159"/>
      <c r="AY369" s="159"/>
      <c r="AZ369" s="159"/>
      <c r="BA369" s="159"/>
    </row>
    <row r="370" spans="2:53" ht="17.399999999999999" customHeight="1">
      <c r="B370" s="159"/>
      <c r="C370" s="159"/>
      <c r="D370" s="159"/>
      <c r="E370" s="159"/>
      <c r="F370" s="159"/>
      <c r="G370" s="159"/>
      <c r="H370" s="159"/>
      <c r="I370" s="159"/>
      <c r="J370" s="224"/>
      <c r="K370" s="159"/>
      <c r="L370" s="159"/>
      <c r="M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c r="AT370" s="159"/>
      <c r="AU370" s="159"/>
      <c r="AV370" s="159"/>
      <c r="AW370" s="159"/>
      <c r="AX370" s="159"/>
      <c r="AY370" s="159"/>
      <c r="AZ370" s="159"/>
      <c r="BA370" s="159"/>
    </row>
    <row r="371" spans="2:53" ht="17.399999999999999" customHeight="1">
      <c r="B371" s="159"/>
      <c r="C371" s="159"/>
      <c r="D371" s="159"/>
      <c r="E371" s="159"/>
      <c r="F371" s="159"/>
      <c r="G371" s="159"/>
      <c r="H371" s="159"/>
      <c r="I371" s="159"/>
      <c r="J371" s="224"/>
      <c r="K371" s="159"/>
      <c r="L371" s="159"/>
      <c r="M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c r="AT371" s="159"/>
      <c r="AU371" s="159"/>
      <c r="AV371" s="159"/>
      <c r="AW371" s="159"/>
      <c r="AX371" s="159"/>
      <c r="AY371" s="159"/>
      <c r="AZ371" s="159"/>
      <c r="BA371" s="159"/>
    </row>
    <row r="372" spans="2:53" ht="17.399999999999999" customHeight="1">
      <c r="B372" s="159"/>
      <c r="C372" s="159"/>
      <c r="D372" s="159"/>
      <c r="E372" s="159"/>
      <c r="F372" s="159"/>
      <c r="G372" s="159"/>
      <c r="H372" s="159"/>
      <c r="I372" s="159"/>
      <c r="J372" s="224"/>
      <c r="K372" s="159"/>
      <c r="L372" s="159"/>
      <c r="M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c r="AT372" s="159"/>
      <c r="AU372" s="159"/>
      <c r="AV372" s="159"/>
      <c r="AW372" s="159"/>
      <c r="AX372" s="159"/>
      <c r="AY372" s="159"/>
      <c r="AZ372" s="159"/>
      <c r="BA372" s="159"/>
    </row>
    <row r="373" spans="2:53" ht="17.399999999999999" customHeight="1">
      <c r="B373" s="159"/>
      <c r="C373" s="159"/>
      <c r="D373" s="159"/>
      <c r="E373" s="159"/>
      <c r="F373" s="159"/>
      <c r="G373" s="159"/>
      <c r="H373" s="159"/>
      <c r="I373" s="159"/>
      <c r="J373" s="224"/>
      <c r="K373" s="159"/>
      <c r="L373" s="159"/>
      <c r="M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c r="AT373" s="159"/>
      <c r="AU373" s="159"/>
      <c r="AV373" s="159"/>
      <c r="AW373" s="159"/>
      <c r="AX373" s="159"/>
      <c r="AY373" s="159"/>
      <c r="AZ373" s="159"/>
      <c r="BA373" s="159"/>
    </row>
    <row r="374" spans="2:53" ht="17.399999999999999" customHeight="1">
      <c r="B374" s="159"/>
      <c r="C374" s="159"/>
      <c r="D374" s="159"/>
      <c r="E374" s="159"/>
      <c r="F374" s="159"/>
      <c r="G374" s="159"/>
      <c r="H374" s="159"/>
      <c r="I374" s="159"/>
      <c r="J374" s="224"/>
      <c r="K374" s="159"/>
      <c r="L374" s="159"/>
      <c r="M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row>
    <row r="375" spans="2:53" ht="17.399999999999999" customHeight="1">
      <c r="B375" s="159"/>
      <c r="C375" s="159"/>
      <c r="D375" s="159"/>
      <c r="E375" s="159"/>
      <c r="F375" s="159"/>
      <c r="G375" s="159"/>
      <c r="H375" s="159"/>
      <c r="I375" s="159"/>
      <c r="J375" s="224"/>
      <c r="K375" s="159"/>
      <c r="L375" s="159"/>
      <c r="M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c r="AT375" s="159"/>
      <c r="AU375" s="159"/>
      <c r="AV375" s="159"/>
      <c r="AW375" s="159"/>
      <c r="AX375" s="159"/>
      <c r="AY375" s="159"/>
      <c r="AZ375" s="159"/>
      <c r="BA375" s="159"/>
    </row>
    <row r="376" spans="2:53" ht="17.399999999999999" customHeight="1">
      <c r="B376" s="159"/>
      <c r="C376" s="159"/>
      <c r="D376" s="159"/>
      <c r="E376" s="159"/>
      <c r="F376" s="159"/>
      <c r="G376" s="159"/>
      <c r="H376" s="159"/>
      <c r="I376" s="159"/>
      <c r="J376" s="224"/>
      <c r="K376" s="159"/>
      <c r="L376" s="159"/>
      <c r="M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c r="AT376" s="159"/>
      <c r="AU376" s="159"/>
      <c r="AV376" s="159"/>
      <c r="AW376" s="159"/>
      <c r="AX376" s="159"/>
      <c r="AY376" s="159"/>
      <c r="AZ376" s="159"/>
      <c r="BA376" s="159"/>
    </row>
    <row r="377" spans="2:53" ht="17.399999999999999" customHeight="1">
      <c r="B377" s="159"/>
      <c r="C377" s="159"/>
      <c r="D377" s="159"/>
      <c r="E377" s="159"/>
      <c r="F377" s="159"/>
      <c r="G377" s="159"/>
      <c r="H377" s="159"/>
      <c r="I377" s="159"/>
      <c r="J377" s="224"/>
      <c r="K377" s="159"/>
      <c r="L377" s="159"/>
      <c r="M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c r="AT377" s="159"/>
      <c r="AU377" s="159"/>
      <c r="AV377" s="159"/>
      <c r="AW377" s="159"/>
      <c r="AX377" s="159"/>
      <c r="AY377" s="159"/>
      <c r="AZ377" s="159"/>
      <c r="BA377" s="159"/>
    </row>
    <row r="378" spans="2:53" ht="17.399999999999999" customHeight="1">
      <c r="B378" s="159"/>
      <c r="C378" s="159"/>
      <c r="D378" s="159"/>
      <c r="E378" s="159"/>
      <c r="F378" s="159"/>
      <c r="G378" s="159"/>
      <c r="H378" s="159"/>
      <c r="I378" s="159"/>
      <c r="J378" s="224"/>
      <c r="K378" s="159"/>
      <c r="L378" s="159"/>
      <c r="M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c r="AT378" s="159"/>
      <c r="AU378" s="159"/>
      <c r="AV378" s="159"/>
      <c r="AW378" s="159"/>
      <c r="AX378" s="159"/>
      <c r="AY378" s="159"/>
      <c r="AZ378" s="159"/>
      <c r="BA378" s="159"/>
    </row>
    <row r="379" spans="2:53" ht="17.399999999999999" customHeight="1">
      <c r="B379" s="159"/>
      <c r="C379" s="159"/>
      <c r="D379" s="159"/>
      <c r="E379" s="159"/>
      <c r="F379" s="159"/>
      <c r="G379" s="159"/>
      <c r="H379" s="159"/>
      <c r="I379" s="159"/>
      <c r="J379" s="224"/>
      <c r="K379" s="159"/>
      <c r="L379" s="159"/>
      <c r="M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c r="AT379" s="159"/>
      <c r="AU379" s="159"/>
      <c r="AV379" s="159"/>
      <c r="AW379" s="159"/>
      <c r="AX379" s="159"/>
      <c r="AY379" s="159"/>
      <c r="AZ379" s="159"/>
      <c r="BA379" s="159"/>
    </row>
    <row r="380" spans="2:53" ht="17.399999999999999" customHeight="1">
      <c r="B380" s="159"/>
      <c r="C380" s="159"/>
      <c r="D380" s="159"/>
      <c r="E380" s="159"/>
      <c r="F380" s="159"/>
      <c r="G380" s="159"/>
      <c r="H380" s="159"/>
      <c r="I380" s="159"/>
      <c r="J380" s="224"/>
      <c r="K380" s="159"/>
      <c r="L380" s="159"/>
      <c r="M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c r="AT380" s="159"/>
      <c r="AU380" s="159"/>
      <c r="AV380" s="159"/>
      <c r="AW380" s="159"/>
      <c r="AX380" s="159"/>
      <c r="AY380" s="159"/>
      <c r="AZ380" s="159"/>
      <c r="BA380" s="159"/>
    </row>
    <row r="381" spans="2:53" ht="17.399999999999999" customHeight="1">
      <c r="B381" s="159"/>
      <c r="C381" s="159"/>
      <c r="D381" s="159"/>
      <c r="E381" s="159"/>
      <c r="F381" s="159"/>
      <c r="G381" s="159"/>
      <c r="H381" s="159"/>
      <c r="I381" s="159"/>
      <c r="J381" s="224"/>
      <c r="K381" s="159"/>
      <c r="L381" s="159"/>
      <c r="M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row>
    <row r="382" spans="2:53" ht="17.399999999999999" customHeight="1">
      <c r="B382" s="159"/>
      <c r="C382" s="159"/>
      <c r="D382" s="159"/>
      <c r="E382" s="159"/>
      <c r="F382" s="159"/>
      <c r="G382" s="159"/>
      <c r="H382" s="159"/>
      <c r="I382" s="159"/>
      <c r="J382" s="224"/>
      <c r="K382" s="159"/>
      <c r="L382" s="159"/>
      <c r="M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c r="AT382" s="159"/>
      <c r="AU382" s="159"/>
      <c r="AV382" s="159"/>
      <c r="AW382" s="159"/>
      <c r="AX382" s="159"/>
      <c r="AY382" s="159"/>
      <c r="AZ382" s="159"/>
      <c r="BA382" s="159"/>
    </row>
    <row r="383" spans="2:53" ht="17.399999999999999" customHeight="1">
      <c r="B383" s="159"/>
      <c r="C383" s="159"/>
      <c r="D383" s="159"/>
      <c r="E383" s="159"/>
      <c r="F383" s="159"/>
      <c r="G383" s="159"/>
      <c r="H383" s="159"/>
      <c r="I383" s="159"/>
      <c r="J383" s="224"/>
      <c r="K383" s="159"/>
      <c r="L383" s="159"/>
      <c r="M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row>
    <row r="384" spans="2:53" ht="17.399999999999999" customHeight="1">
      <c r="B384" s="159"/>
      <c r="C384" s="159"/>
      <c r="D384" s="159"/>
      <c r="E384" s="159"/>
      <c r="F384" s="159"/>
      <c r="G384" s="159"/>
      <c r="H384" s="159"/>
      <c r="I384" s="159"/>
      <c r="J384" s="224"/>
      <c r="K384" s="159"/>
      <c r="L384" s="159"/>
      <c r="M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c r="AT384" s="159"/>
      <c r="AU384" s="159"/>
      <c r="AV384" s="159"/>
      <c r="AW384" s="159"/>
      <c r="AX384" s="159"/>
      <c r="AY384" s="159"/>
      <c r="AZ384" s="159"/>
      <c r="BA384" s="159"/>
    </row>
    <row r="385" spans="2:53" ht="17.399999999999999" customHeight="1">
      <c r="B385" s="159"/>
      <c r="C385" s="159"/>
      <c r="D385" s="159"/>
      <c r="E385" s="159"/>
      <c r="F385" s="159"/>
      <c r="G385" s="159"/>
      <c r="H385" s="159"/>
      <c r="I385" s="159"/>
      <c r="J385" s="224"/>
      <c r="K385" s="159"/>
      <c r="L385" s="159"/>
      <c r="M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c r="AT385" s="159"/>
      <c r="AU385" s="159"/>
      <c r="AV385" s="159"/>
      <c r="AW385" s="159"/>
      <c r="AX385" s="159"/>
      <c r="AY385" s="159"/>
      <c r="AZ385" s="159"/>
      <c r="BA385" s="159"/>
    </row>
    <row r="386" spans="2:53" ht="17.399999999999999" customHeight="1">
      <c r="B386" s="159"/>
      <c r="C386" s="159"/>
      <c r="D386" s="159"/>
      <c r="E386" s="159"/>
      <c r="F386" s="159"/>
      <c r="G386" s="159"/>
      <c r="H386" s="159"/>
      <c r="I386" s="159"/>
      <c r="J386" s="224"/>
      <c r="K386" s="159"/>
      <c r="L386" s="159"/>
      <c r="M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c r="AT386" s="159"/>
      <c r="AU386" s="159"/>
      <c r="AV386" s="159"/>
      <c r="AW386" s="159"/>
      <c r="AX386" s="159"/>
      <c r="AY386" s="159"/>
      <c r="AZ386" s="159"/>
      <c r="BA386" s="159"/>
    </row>
    <row r="387" spans="2:53" ht="17.399999999999999" customHeight="1">
      <c r="B387" s="159"/>
      <c r="C387" s="159"/>
      <c r="D387" s="159"/>
      <c r="E387" s="159"/>
      <c r="F387" s="159"/>
      <c r="G387" s="159"/>
      <c r="H387" s="159"/>
      <c r="I387" s="159"/>
      <c r="J387" s="224"/>
      <c r="K387" s="159"/>
      <c r="L387" s="159"/>
      <c r="M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row>
    <row r="388" spans="2:53" ht="17.399999999999999" customHeight="1">
      <c r="B388" s="159"/>
      <c r="C388" s="159"/>
      <c r="D388" s="159"/>
      <c r="E388" s="159"/>
      <c r="F388" s="159"/>
      <c r="G388" s="159"/>
      <c r="H388" s="159"/>
      <c r="I388" s="159"/>
      <c r="J388" s="224"/>
      <c r="K388" s="159"/>
      <c r="L388" s="159"/>
      <c r="M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159"/>
      <c r="AU388" s="159"/>
      <c r="AV388" s="159"/>
      <c r="AW388" s="159"/>
      <c r="AX388" s="159"/>
      <c r="AY388" s="159"/>
      <c r="AZ388" s="159"/>
      <c r="BA388" s="159"/>
    </row>
    <row r="389" spans="2:53" ht="17.399999999999999" customHeight="1">
      <c r="B389" s="159"/>
      <c r="C389" s="159"/>
      <c r="D389" s="159"/>
      <c r="E389" s="159"/>
      <c r="F389" s="159"/>
      <c r="G389" s="159"/>
      <c r="H389" s="159"/>
      <c r="I389" s="159"/>
      <c r="J389" s="224"/>
      <c r="K389" s="159"/>
      <c r="L389" s="159"/>
      <c r="M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row>
    <row r="390" spans="2:53" ht="17.399999999999999" customHeight="1">
      <c r="B390" s="159"/>
      <c r="C390" s="159"/>
      <c r="D390" s="159"/>
      <c r="E390" s="159"/>
      <c r="F390" s="159"/>
      <c r="G390" s="159"/>
      <c r="H390" s="159"/>
      <c r="I390" s="159"/>
      <c r="J390" s="224"/>
      <c r="K390" s="159"/>
      <c r="L390" s="159"/>
      <c r="M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row>
    <row r="391" spans="2:53" ht="17.399999999999999" customHeight="1">
      <c r="B391" s="159"/>
      <c r="C391" s="159"/>
      <c r="D391" s="159"/>
      <c r="E391" s="159"/>
      <c r="F391" s="159"/>
      <c r="G391" s="159"/>
      <c r="H391" s="159"/>
      <c r="I391" s="159"/>
      <c r="J391" s="224"/>
      <c r="K391" s="159"/>
      <c r="L391" s="159"/>
      <c r="M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row>
    <row r="392" spans="2:53" ht="17.399999999999999" customHeight="1">
      <c r="B392" s="159"/>
      <c r="C392" s="159"/>
      <c r="D392" s="159"/>
      <c r="E392" s="159"/>
      <c r="F392" s="159"/>
      <c r="G392" s="159"/>
      <c r="H392" s="159"/>
      <c r="I392" s="159"/>
      <c r="J392" s="224"/>
      <c r="K392" s="159"/>
      <c r="L392" s="159"/>
      <c r="M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row>
    <row r="393" spans="2:53" ht="17.399999999999999" customHeight="1">
      <c r="B393" s="159"/>
      <c r="C393" s="159"/>
      <c r="D393" s="159"/>
      <c r="E393" s="159"/>
      <c r="F393" s="159"/>
      <c r="G393" s="159"/>
      <c r="H393" s="159"/>
      <c r="I393" s="159"/>
      <c r="J393" s="224"/>
      <c r="K393" s="159"/>
      <c r="L393" s="159"/>
      <c r="M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row>
    <row r="394" spans="2:53" ht="17.399999999999999" customHeight="1">
      <c r="B394" s="159"/>
      <c r="C394" s="159"/>
      <c r="D394" s="159"/>
      <c r="E394" s="159"/>
      <c r="F394" s="159"/>
      <c r="G394" s="159"/>
      <c r="H394" s="159"/>
      <c r="I394" s="159"/>
      <c r="J394" s="224"/>
      <c r="K394" s="159"/>
      <c r="L394" s="159"/>
      <c r="M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row>
    <row r="395" spans="2:53" ht="17.399999999999999" customHeight="1">
      <c r="B395" s="159"/>
      <c r="C395" s="159"/>
      <c r="D395" s="159"/>
      <c r="E395" s="159"/>
      <c r="F395" s="159"/>
      <c r="G395" s="159"/>
      <c r="H395" s="159"/>
      <c r="I395" s="159"/>
      <c r="J395" s="224"/>
      <c r="K395" s="159"/>
      <c r="L395" s="159"/>
      <c r="M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c r="AT395" s="159"/>
      <c r="AU395" s="159"/>
      <c r="AV395" s="159"/>
      <c r="AW395" s="159"/>
      <c r="AX395" s="159"/>
      <c r="AY395" s="159"/>
      <c r="AZ395" s="159"/>
      <c r="BA395" s="159"/>
    </row>
    <row r="396" spans="2:53" ht="17.399999999999999" customHeight="1">
      <c r="B396" s="159"/>
      <c r="C396" s="159"/>
      <c r="D396" s="159"/>
      <c r="E396" s="159"/>
      <c r="F396" s="159"/>
      <c r="G396" s="159"/>
      <c r="H396" s="159"/>
      <c r="I396" s="159"/>
      <c r="J396" s="224"/>
      <c r="K396" s="159"/>
      <c r="L396" s="159"/>
      <c r="M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c r="AT396" s="159"/>
      <c r="AU396" s="159"/>
      <c r="AV396" s="159"/>
      <c r="AW396" s="159"/>
      <c r="AX396" s="159"/>
      <c r="AY396" s="159"/>
      <c r="AZ396" s="159"/>
      <c r="BA396" s="159"/>
    </row>
    <row r="397" spans="2:53" ht="17.399999999999999" customHeight="1">
      <c r="B397" s="159"/>
      <c r="C397" s="159"/>
      <c r="D397" s="159"/>
      <c r="E397" s="159"/>
      <c r="F397" s="159"/>
      <c r="G397" s="159"/>
      <c r="H397" s="159"/>
      <c r="I397" s="159"/>
      <c r="J397" s="224"/>
      <c r="K397" s="159"/>
      <c r="L397" s="159"/>
      <c r="M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row>
    <row r="398" spans="2:53" ht="17.399999999999999" customHeight="1">
      <c r="B398" s="159"/>
      <c r="C398" s="159"/>
      <c r="D398" s="159"/>
      <c r="E398" s="159"/>
      <c r="F398" s="159"/>
      <c r="G398" s="159"/>
      <c r="H398" s="159"/>
      <c r="I398" s="159"/>
      <c r="J398" s="224"/>
      <c r="K398" s="159"/>
      <c r="L398" s="159"/>
      <c r="M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c r="AT398" s="159"/>
      <c r="AU398" s="159"/>
      <c r="AV398" s="159"/>
      <c r="AW398" s="159"/>
      <c r="AX398" s="159"/>
      <c r="AY398" s="159"/>
      <c r="AZ398" s="159"/>
      <c r="BA398" s="159"/>
    </row>
    <row r="399" spans="2:53" ht="17.399999999999999" customHeight="1">
      <c r="B399" s="159"/>
      <c r="C399" s="159"/>
      <c r="D399" s="159"/>
      <c r="E399" s="159"/>
      <c r="F399" s="159"/>
      <c r="G399" s="159"/>
      <c r="H399" s="159"/>
      <c r="I399" s="159"/>
      <c r="J399" s="224"/>
      <c r="K399" s="159"/>
      <c r="L399" s="159"/>
      <c r="M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c r="AT399" s="159"/>
      <c r="AU399" s="159"/>
      <c r="AV399" s="159"/>
      <c r="AW399" s="159"/>
      <c r="AX399" s="159"/>
      <c r="AY399" s="159"/>
      <c r="AZ399" s="159"/>
      <c r="BA399" s="159"/>
    </row>
    <row r="400" spans="2:53" ht="17.399999999999999" customHeight="1">
      <c r="B400" s="159"/>
      <c r="C400" s="159"/>
      <c r="D400" s="159"/>
      <c r="E400" s="159"/>
      <c r="F400" s="159"/>
      <c r="G400" s="159"/>
      <c r="H400" s="159"/>
      <c r="I400" s="159"/>
      <c r="J400" s="224"/>
      <c r="K400" s="159"/>
      <c r="L400" s="159"/>
      <c r="M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c r="AT400" s="159"/>
      <c r="AU400" s="159"/>
      <c r="AV400" s="159"/>
      <c r="AW400" s="159"/>
      <c r="AX400" s="159"/>
      <c r="AY400" s="159"/>
      <c r="AZ400" s="159"/>
      <c r="BA400" s="159"/>
    </row>
    <row r="401" spans="2:53" ht="17.399999999999999" customHeight="1">
      <c r="B401" s="159"/>
      <c r="C401" s="159"/>
      <c r="D401" s="159"/>
      <c r="E401" s="159"/>
      <c r="F401" s="159"/>
      <c r="G401" s="159"/>
      <c r="H401" s="159"/>
      <c r="I401" s="159"/>
      <c r="J401" s="224"/>
      <c r="K401" s="159"/>
      <c r="L401" s="159"/>
      <c r="M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c r="AT401" s="159"/>
      <c r="AU401" s="159"/>
      <c r="AV401" s="159"/>
      <c r="AW401" s="159"/>
      <c r="AX401" s="159"/>
      <c r="AY401" s="159"/>
      <c r="AZ401" s="159"/>
      <c r="BA401" s="159"/>
    </row>
    <row r="402" spans="2:53" ht="17.399999999999999" customHeight="1">
      <c r="B402" s="159"/>
      <c r="C402" s="159"/>
      <c r="D402" s="159"/>
      <c r="E402" s="159"/>
      <c r="F402" s="159"/>
      <c r="G402" s="159"/>
      <c r="H402" s="159"/>
      <c r="I402" s="159"/>
      <c r="J402" s="224"/>
      <c r="K402" s="159"/>
      <c r="L402" s="159"/>
      <c r="M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c r="AT402" s="159"/>
      <c r="AU402" s="159"/>
      <c r="AV402" s="159"/>
      <c r="AW402" s="159"/>
      <c r="AX402" s="159"/>
      <c r="AY402" s="159"/>
      <c r="AZ402" s="159"/>
      <c r="BA402" s="159"/>
    </row>
    <row r="403" spans="2:53" ht="17.399999999999999" customHeight="1">
      <c r="B403" s="159"/>
      <c r="C403" s="159"/>
      <c r="D403" s="159"/>
      <c r="E403" s="159"/>
      <c r="F403" s="159"/>
      <c r="G403" s="159"/>
      <c r="H403" s="159"/>
      <c r="I403" s="159"/>
      <c r="J403" s="224"/>
      <c r="K403" s="159"/>
      <c r="L403" s="159"/>
      <c r="M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c r="AT403" s="159"/>
      <c r="AU403" s="159"/>
      <c r="AV403" s="159"/>
      <c r="AW403" s="159"/>
      <c r="AX403" s="159"/>
      <c r="AY403" s="159"/>
      <c r="AZ403" s="159"/>
      <c r="BA403" s="159"/>
    </row>
    <row r="404" spans="2:53" ht="17.399999999999999" customHeight="1">
      <c r="B404" s="159"/>
      <c r="C404" s="159"/>
      <c r="D404" s="159"/>
      <c r="E404" s="159"/>
      <c r="F404" s="159"/>
      <c r="G404" s="159"/>
      <c r="H404" s="159"/>
      <c r="I404" s="159"/>
      <c r="J404" s="224"/>
      <c r="K404" s="159"/>
      <c r="L404" s="159"/>
      <c r="M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c r="AT404" s="159"/>
      <c r="AU404" s="159"/>
      <c r="AV404" s="159"/>
      <c r="AW404" s="159"/>
      <c r="AX404" s="159"/>
      <c r="AY404" s="159"/>
      <c r="AZ404" s="159"/>
      <c r="BA404" s="159"/>
    </row>
    <row r="405" spans="2:53" ht="17.399999999999999" customHeight="1">
      <c r="B405" s="159"/>
      <c r="C405" s="159"/>
      <c r="D405" s="159"/>
      <c r="E405" s="159"/>
      <c r="F405" s="159"/>
      <c r="G405" s="159"/>
      <c r="H405" s="159"/>
      <c r="I405" s="159"/>
      <c r="J405" s="224"/>
      <c r="K405" s="159"/>
      <c r="L405" s="159"/>
      <c r="M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c r="AT405" s="159"/>
      <c r="AU405" s="159"/>
      <c r="AV405" s="159"/>
      <c r="AW405" s="159"/>
      <c r="AX405" s="159"/>
      <c r="AY405" s="159"/>
      <c r="AZ405" s="159"/>
      <c r="BA405" s="159"/>
    </row>
    <row r="406" spans="2:53" ht="17.399999999999999" customHeight="1">
      <c r="B406" s="159"/>
      <c r="C406" s="159"/>
      <c r="D406" s="159"/>
      <c r="E406" s="159"/>
      <c r="F406" s="159"/>
      <c r="G406" s="159"/>
      <c r="H406" s="159"/>
      <c r="I406" s="159"/>
      <c r="J406" s="224"/>
      <c r="K406" s="159"/>
      <c r="L406" s="159"/>
      <c r="M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row>
    <row r="407" spans="2:53" ht="17.399999999999999" customHeight="1">
      <c r="B407" s="159"/>
      <c r="C407" s="159"/>
      <c r="D407" s="159"/>
      <c r="E407" s="159"/>
      <c r="F407" s="159"/>
      <c r="G407" s="159"/>
      <c r="H407" s="159"/>
      <c r="I407" s="159"/>
      <c r="J407" s="224"/>
      <c r="K407" s="159"/>
      <c r="L407" s="159"/>
      <c r="M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c r="AT407" s="159"/>
      <c r="AU407" s="159"/>
      <c r="AV407" s="159"/>
      <c r="AW407" s="159"/>
      <c r="AX407" s="159"/>
      <c r="AY407" s="159"/>
      <c r="AZ407" s="159"/>
      <c r="BA407" s="159"/>
    </row>
    <row r="408" spans="2:53" ht="17.399999999999999" customHeight="1">
      <c r="B408" s="159"/>
      <c r="C408" s="159"/>
      <c r="D408" s="159"/>
      <c r="E408" s="159"/>
      <c r="F408" s="159"/>
      <c r="G408" s="159"/>
      <c r="H408" s="159"/>
      <c r="I408" s="159"/>
      <c r="J408" s="224"/>
      <c r="K408" s="159"/>
      <c r="L408" s="159"/>
      <c r="M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c r="AT408" s="159"/>
      <c r="AU408" s="159"/>
      <c r="AV408" s="159"/>
      <c r="AW408" s="159"/>
      <c r="AX408" s="159"/>
      <c r="AY408" s="159"/>
      <c r="AZ408" s="159"/>
      <c r="BA408" s="159"/>
    </row>
    <row r="409" spans="2:53" ht="17.399999999999999" customHeight="1">
      <c r="B409" s="159"/>
      <c r="C409" s="159"/>
      <c r="D409" s="159"/>
      <c r="E409" s="159"/>
      <c r="F409" s="159"/>
      <c r="G409" s="159"/>
      <c r="H409" s="159"/>
      <c r="I409" s="159"/>
      <c r="J409" s="224"/>
      <c r="K409" s="159"/>
      <c r="L409" s="159"/>
      <c r="M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c r="AT409" s="159"/>
      <c r="AU409" s="159"/>
      <c r="AV409" s="159"/>
      <c r="AW409" s="159"/>
      <c r="AX409" s="159"/>
      <c r="AY409" s="159"/>
      <c r="AZ409" s="159"/>
      <c r="BA409" s="159"/>
    </row>
    <row r="410" spans="2:53" ht="17.399999999999999" customHeight="1">
      <c r="B410" s="159"/>
      <c r="C410" s="159"/>
      <c r="D410" s="159"/>
      <c r="E410" s="159"/>
      <c r="F410" s="159"/>
      <c r="G410" s="159"/>
      <c r="H410" s="159"/>
      <c r="I410" s="159"/>
      <c r="J410" s="224"/>
      <c r="K410" s="159"/>
      <c r="L410" s="159"/>
      <c r="M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c r="AT410" s="159"/>
      <c r="AU410" s="159"/>
      <c r="AV410" s="159"/>
      <c r="AW410" s="159"/>
      <c r="AX410" s="159"/>
      <c r="AY410" s="159"/>
      <c r="AZ410" s="159"/>
      <c r="BA410" s="159"/>
    </row>
    <row r="411" spans="2:53" ht="17.399999999999999" customHeight="1">
      <c r="B411" s="159"/>
      <c r="C411" s="159"/>
      <c r="D411" s="159"/>
      <c r="E411" s="159"/>
      <c r="F411" s="159"/>
      <c r="G411" s="159"/>
      <c r="H411" s="159"/>
      <c r="I411" s="159"/>
      <c r="J411" s="224"/>
      <c r="K411" s="159"/>
      <c r="L411" s="159"/>
      <c r="M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c r="AT411" s="159"/>
      <c r="AU411" s="159"/>
      <c r="AV411" s="159"/>
      <c r="AW411" s="159"/>
      <c r="AX411" s="159"/>
      <c r="AY411" s="159"/>
      <c r="AZ411" s="159"/>
      <c r="BA411" s="159"/>
    </row>
    <row r="412" spans="2:53" ht="17.399999999999999" customHeight="1">
      <c r="B412" s="159"/>
      <c r="C412" s="159"/>
      <c r="D412" s="159"/>
      <c r="E412" s="159"/>
      <c r="F412" s="159"/>
      <c r="G412" s="159"/>
      <c r="H412" s="159"/>
      <c r="I412" s="159"/>
      <c r="J412" s="224"/>
      <c r="K412" s="159"/>
      <c r="L412" s="159"/>
      <c r="M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c r="AT412" s="159"/>
      <c r="AU412" s="159"/>
      <c r="AV412" s="159"/>
      <c r="AW412" s="159"/>
      <c r="AX412" s="159"/>
      <c r="AY412" s="159"/>
      <c r="AZ412" s="159"/>
      <c r="BA412" s="159"/>
    </row>
    <row r="413" spans="2:53" ht="17.399999999999999" customHeight="1">
      <c r="B413" s="159"/>
      <c r="C413" s="159"/>
      <c r="D413" s="159"/>
      <c r="E413" s="159"/>
      <c r="F413" s="159"/>
      <c r="G413" s="159"/>
      <c r="H413" s="159"/>
      <c r="I413" s="159"/>
      <c r="J413" s="224"/>
      <c r="K413" s="159"/>
      <c r="L413" s="159"/>
      <c r="M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c r="AT413" s="159"/>
      <c r="AU413" s="159"/>
      <c r="AV413" s="159"/>
      <c r="AW413" s="159"/>
      <c r="AX413" s="159"/>
      <c r="AY413" s="159"/>
      <c r="AZ413" s="159"/>
      <c r="BA413" s="159"/>
    </row>
    <row r="414" spans="2:53" ht="17.399999999999999" customHeight="1">
      <c r="B414" s="159"/>
      <c r="C414" s="159"/>
      <c r="D414" s="159"/>
      <c r="E414" s="159"/>
      <c r="F414" s="159"/>
      <c r="G414" s="159"/>
      <c r="H414" s="159"/>
      <c r="I414" s="159"/>
      <c r="J414" s="224"/>
      <c r="K414" s="159"/>
      <c r="L414" s="159"/>
      <c r="M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c r="AT414" s="159"/>
      <c r="AU414" s="159"/>
      <c r="AV414" s="159"/>
      <c r="AW414" s="159"/>
      <c r="AX414" s="159"/>
      <c r="AY414" s="159"/>
      <c r="AZ414" s="159"/>
      <c r="BA414" s="159"/>
    </row>
    <row r="415" spans="2:53" ht="17.399999999999999" customHeight="1">
      <c r="B415" s="159"/>
      <c r="C415" s="159"/>
      <c r="D415" s="159"/>
      <c r="E415" s="159"/>
      <c r="F415" s="159"/>
      <c r="G415" s="159"/>
      <c r="H415" s="159"/>
      <c r="I415" s="159"/>
      <c r="J415" s="224"/>
      <c r="K415" s="159"/>
      <c r="L415" s="159"/>
      <c r="M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c r="AT415" s="159"/>
      <c r="AU415" s="159"/>
      <c r="AV415" s="159"/>
      <c r="AW415" s="159"/>
      <c r="AX415" s="159"/>
      <c r="AY415" s="159"/>
      <c r="AZ415" s="159"/>
      <c r="BA415" s="159"/>
    </row>
    <row r="416" spans="2:53" ht="17.399999999999999" customHeight="1">
      <c r="B416" s="159"/>
      <c r="C416" s="159"/>
      <c r="D416" s="159"/>
      <c r="E416" s="159"/>
      <c r="F416" s="159"/>
      <c r="G416" s="159"/>
      <c r="H416" s="159"/>
      <c r="I416" s="159"/>
      <c r="J416" s="224"/>
      <c r="K416" s="159"/>
      <c r="L416" s="159"/>
      <c r="M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c r="AT416" s="159"/>
      <c r="AU416" s="159"/>
      <c r="AV416" s="159"/>
      <c r="AW416" s="159"/>
      <c r="AX416" s="159"/>
      <c r="AY416" s="159"/>
      <c r="AZ416" s="159"/>
      <c r="BA416" s="159"/>
    </row>
    <row r="417" spans="2:53" ht="17.399999999999999" customHeight="1">
      <c r="B417" s="159"/>
      <c r="C417" s="159"/>
      <c r="D417" s="159"/>
      <c r="E417" s="159"/>
      <c r="F417" s="159"/>
      <c r="G417" s="159"/>
      <c r="H417" s="159"/>
      <c r="I417" s="159"/>
      <c r="J417" s="224"/>
      <c r="K417" s="159"/>
      <c r="L417" s="159"/>
      <c r="M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c r="AT417" s="159"/>
      <c r="AU417" s="159"/>
      <c r="AV417" s="159"/>
      <c r="AW417" s="159"/>
      <c r="AX417" s="159"/>
      <c r="AY417" s="159"/>
      <c r="AZ417" s="159"/>
      <c r="BA417" s="159"/>
    </row>
    <row r="418" spans="2:53" ht="17.399999999999999" customHeight="1">
      <c r="B418" s="159"/>
      <c r="C418" s="159"/>
      <c r="D418" s="159"/>
      <c r="E418" s="159"/>
      <c r="F418" s="159"/>
      <c r="G418" s="159"/>
      <c r="H418" s="159"/>
      <c r="I418" s="159"/>
      <c r="J418" s="224"/>
      <c r="K418" s="159"/>
      <c r="L418" s="159"/>
      <c r="M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c r="AT418" s="159"/>
      <c r="AU418" s="159"/>
      <c r="AV418" s="159"/>
      <c r="AW418" s="159"/>
      <c r="AX418" s="159"/>
      <c r="AY418" s="159"/>
      <c r="AZ418" s="159"/>
      <c r="BA418" s="159"/>
    </row>
    <row r="419" spans="2:53" ht="17.399999999999999" customHeight="1">
      <c r="B419" s="159"/>
      <c r="C419" s="159"/>
      <c r="D419" s="159"/>
      <c r="E419" s="159"/>
      <c r="F419" s="159"/>
      <c r="G419" s="159"/>
      <c r="H419" s="159"/>
      <c r="I419" s="159"/>
      <c r="J419" s="224"/>
      <c r="K419" s="159"/>
      <c r="L419" s="159"/>
      <c r="M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c r="AT419" s="159"/>
      <c r="AU419" s="159"/>
      <c r="AV419" s="159"/>
      <c r="AW419" s="159"/>
      <c r="AX419" s="159"/>
      <c r="AY419" s="159"/>
      <c r="AZ419" s="159"/>
      <c r="BA419" s="159"/>
    </row>
    <row r="420" spans="2:53" ht="17.399999999999999" customHeight="1">
      <c r="B420" s="159"/>
      <c r="C420" s="159"/>
      <c r="D420" s="159"/>
      <c r="E420" s="159"/>
      <c r="F420" s="159"/>
      <c r="G420" s="159"/>
      <c r="H420" s="159"/>
      <c r="I420" s="159"/>
      <c r="J420" s="224"/>
      <c r="K420" s="159"/>
      <c r="L420" s="159"/>
      <c r="M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c r="AT420" s="159"/>
      <c r="AU420" s="159"/>
      <c r="AV420" s="159"/>
      <c r="AW420" s="159"/>
      <c r="AX420" s="159"/>
      <c r="AY420" s="159"/>
      <c r="AZ420" s="159"/>
      <c r="BA420" s="159"/>
    </row>
    <row r="421" spans="2:53" ht="17.399999999999999" customHeight="1">
      <c r="B421" s="159"/>
      <c r="C421" s="159"/>
      <c r="D421" s="159"/>
      <c r="E421" s="159"/>
      <c r="F421" s="159"/>
      <c r="G421" s="159"/>
      <c r="H421" s="159"/>
      <c r="I421" s="159"/>
      <c r="J421" s="224"/>
      <c r="K421" s="159"/>
      <c r="L421" s="159"/>
      <c r="M421" s="159"/>
      <c r="O421" s="159"/>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c r="AT421" s="159"/>
      <c r="AU421" s="159"/>
      <c r="AV421" s="159"/>
      <c r="AW421" s="159"/>
      <c r="AX421" s="159"/>
      <c r="AY421" s="159"/>
      <c r="AZ421" s="159"/>
      <c r="BA421" s="159"/>
    </row>
    <row r="422" spans="2:53" ht="17.399999999999999" customHeight="1">
      <c r="B422" s="159"/>
      <c r="C422" s="159"/>
      <c r="D422" s="159"/>
      <c r="E422" s="159"/>
      <c r="F422" s="159"/>
      <c r="G422" s="159"/>
      <c r="H422" s="159"/>
      <c r="I422" s="159"/>
      <c r="J422" s="224"/>
      <c r="K422" s="159"/>
      <c r="L422" s="159"/>
      <c r="M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c r="AT422" s="159"/>
      <c r="AU422" s="159"/>
      <c r="AV422" s="159"/>
      <c r="AW422" s="159"/>
      <c r="AX422" s="159"/>
      <c r="AY422" s="159"/>
      <c r="AZ422" s="159"/>
      <c r="BA422" s="159"/>
    </row>
    <row r="423" spans="2:53" ht="17.399999999999999" customHeight="1">
      <c r="B423" s="159"/>
      <c r="C423" s="159"/>
      <c r="D423" s="159"/>
      <c r="E423" s="159"/>
      <c r="F423" s="159"/>
      <c r="G423" s="159"/>
      <c r="H423" s="159"/>
      <c r="I423" s="159"/>
      <c r="J423" s="224"/>
      <c r="K423" s="159"/>
      <c r="L423" s="159"/>
      <c r="M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c r="AT423" s="159"/>
      <c r="AU423" s="159"/>
      <c r="AV423" s="159"/>
      <c r="AW423" s="159"/>
      <c r="AX423" s="159"/>
      <c r="AY423" s="159"/>
      <c r="AZ423" s="159"/>
      <c r="BA423" s="159"/>
    </row>
    <row r="424" spans="2:53" ht="17.399999999999999" customHeight="1">
      <c r="B424" s="159"/>
      <c r="C424" s="159"/>
      <c r="D424" s="159"/>
      <c r="E424" s="159"/>
      <c r="F424" s="159"/>
      <c r="G424" s="159"/>
      <c r="H424" s="159"/>
      <c r="I424" s="159"/>
      <c r="J424" s="224"/>
      <c r="K424" s="159"/>
      <c r="L424" s="159"/>
      <c r="M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c r="AT424" s="159"/>
      <c r="AU424" s="159"/>
      <c r="AV424" s="159"/>
      <c r="AW424" s="159"/>
      <c r="AX424" s="159"/>
      <c r="AY424" s="159"/>
      <c r="AZ424" s="159"/>
      <c r="BA424" s="159"/>
    </row>
    <row r="425" spans="2:53" ht="17.399999999999999" customHeight="1">
      <c r="B425" s="159"/>
      <c r="C425" s="159"/>
      <c r="D425" s="159"/>
      <c r="E425" s="159"/>
      <c r="F425" s="159"/>
      <c r="G425" s="159"/>
      <c r="H425" s="159"/>
      <c r="I425" s="159"/>
      <c r="J425" s="224"/>
      <c r="K425" s="159"/>
      <c r="L425" s="159"/>
      <c r="M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c r="AT425" s="159"/>
      <c r="AU425" s="159"/>
      <c r="AV425" s="159"/>
      <c r="AW425" s="159"/>
      <c r="AX425" s="159"/>
      <c r="AY425" s="159"/>
      <c r="AZ425" s="159"/>
      <c r="BA425" s="159"/>
    </row>
    <row r="426" spans="2:53" ht="17.399999999999999" customHeight="1">
      <c r="B426" s="159"/>
      <c r="C426" s="159"/>
      <c r="D426" s="159"/>
      <c r="E426" s="159"/>
      <c r="F426" s="159"/>
      <c r="G426" s="159"/>
      <c r="H426" s="159"/>
      <c r="I426" s="159"/>
      <c r="J426" s="224"/>
      <c r="K426" s="159"/>
      <c r="L426" s="159"/>
      <c r="M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c r="AT426" s="159"/>
      <c r="AU426" s="159"/>
      <c r="AV426" s="159"/>
      <c r="AW426" s="159"/>
      <c r="AX426" s="159"/>
      <c r="AY426" s="159"/>
      <c r="AZ426" s="159"/>
      <c r="BA426" s="159"/>
    </row>
    <row r="427" spans="2:53" ht="17.399999999999999" customHeight="1">
      <c r="B427" s="159"/>
      <c r="C427" s="159"/>
      <c r="D427" s="159"/>
      <c r="E427" s="159"/>
      <c r="F427" s="159"/>
      <c r="G427" s="159"/>
      <c r="H427" s="159"/>
      <c r="I427" s="159"/>
      <c r="J427" s="224"/>
      <c r="K427" s="159"/>
      <c r="L427" s="159"/>
      <c r="M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c r="AT427" s="159"/>
      <c r="AU427" s="159"/>
      <c r="AV427" s="159"/>
      <c r="AW427" s="159"/>
      <c r="AX427" s="159"/>
      <c r="AY427" s="159"/>
      <c r="AZ427" s="159"/>
      <c r="BA427" s="159"/>
    </row>
    <row r="428" spans="2:53" ht="17.399999999999999" customHeight="1">
      <c r="B428" s="159"/>
      <c r="C428" s="159"/>
      <c r="D428" s="159"/>
      <c r="E428" s="159"/>
      <c r="F428" s="159"/>
      <c r="G428" s="159"/>
      <c r="H428" s="159"/>
      <c r="I428" s="159"/>
      <c r="J428" s="224"/>
      <c r="K428" s="159"/>
      <c r="L428" s="159"/>
      <c r="M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c r="AT428" s="159"/>
      <c r="AU428" s="159"/>
      <c r="AV428" s="159"/>
      <c r="AW428" s="159"/>
      <c r="AX428" s="159"/>
      <c r="AY428" s="159"/>
      <c r="AZ428" s="159"/>
      <c r="BA428" s="159"/>
    </row>
    <row r="429" spans="2:53" ht="17.399999999999999" customHeight="1">
      <c r="B429" s="159"/>
      <c r="C429" s="159"/>
      <c r="D429" s="159"/>
      <c r="E429" s="159"/>
      <c r="F429" s="159"/>
      <c r="G429" s="159"/>
      <c r="H429" s="159"/>
      <c r="I429" s="159"/>
      <c r="J429" s="224"/>
      <c r="K429" s="159"/>
      <c r="L429" s="159"/>
      <c r="M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c r="AT429" s="159"/>
      <c r="AU429" s="159"/>
      <c r="AV429" s="159"/>
      <c r="AW429" s="159"/>
      <c r="AX429" s="159"/>
      <c r="AY429" s="159"/>
      <c r="AZ429" s="159"/>
      <c r="BA429" s="159"/>
    </row>
    <row r="430" spans="2:53" ht="17.399999999999999" customHeight="1">
      <c r="B430" s="159"/>
      <c r="C430" s="159"/>
      <c r="D430" s="159"/>
      <c r="E430" s="159"/>
      <c r="F430" s="159"/>
      <c r="G430" s="159"/>
      <c r="H430" s="159"/>
      <c r="I430" s="159"/>
      <c r="J430" s="224"/>
      <c r="K430" s="159"/>
      <c r="L430" s="159"/>
      <c r="M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c r="AT430" s="159"/>
      <c r="AU430" s="159"/>
      <c r="AV430" s="159"/>
      <c r="AW430" s="159"/>
      <c r="AX430" s="159"/>
      <c r="AY430" s="159"/>
      <c r="AZ430" s="159"/>
      <c r="BA430" s="159"/>
    </row>
    <row r="431" spans="2:53" ht="17.399999999999999" customHeight="1">
      <c r="B431" s="159"/>
      <c r="C431" s="159"/>
      <c r="D431" s="159"/>
      <c r="E431" s="159"/>
      <c r="F431" s="159"/>
      <c r="G431" s="159"/>
      <c r="H431" s="159"/>
      <c r="I431" s="159"/>
      <c r="J431" s="224"/>
      <c r="K431" s="159"/>
      <c r="L431" s="159"/>
      <c r="M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c r="AT431" s="159"/>
      <c r="AU431" s="159"/>
      <c r="AV431" s="159"/>
      <c r="AW431" s="159"/>
      <c r="AX431" s="159"/>
      <c r="AY431" s="159"/>
      <c r="AZ431" s="159"/>
      <c r="BA431" s="159"/>
    </row>
    <row r="432" spans="2:53" ht="17.399999999999999" customHeight="1">
      <c r="B432" s="159"/>
      <c r="C432" s="159"/>
      <c r="D432" s="159"/>
      <c r="E432" s="159"/>
      <c r="F432" s="159"/>
      <c r="G432" s="159"/>
      <c r="H432" s="159"/>
      <c r="I432" s="159"/>
      <c r="J432" s="224"/>
      <c r="K432" s="159"/>
      <c r="L432" s="159"/>
      <c r="M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c r="AT432" s="159"/>
      <c r="AU432" s="159"/>
      <c r="AV432" s="159"/>
      <c r="AW432" s="159"/>
      <c r="AX432" s="159"/>
      <c r="AY432" s="159"/>
      <c r="AZ432" s="159"/>
      <c r="BA432" s="159"/>
    </row>
    <row r="433" spans="2:53" ht="17.399999999999999" customHeight="1">
      <c r="B433" s="159"/>
      <c r="C433" s="159"/>
      <c r="D433" s="159"/>
      <c r="E433" s="159"/>
      <c r="F433" s="159"/>
      <c r="G433" s="159"/>
      <c r="H433" s="159"/>
      <c r="I433" s="159"/>
      <c r="J433" s="224"/>
      <c r="K433" s="159"/>
      <c r="L433" s="159"/>
      <c r="M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c r="AT433" s="159"/>
      <c r="AU433" s="159"/>
      <c r="AV433" s="159"/>
      <c r="AW433" s="159"/>
      <c r="AX433" s="159"/>
      <c r="AY433" s="159"/>
      <c r="AZ433" s="159"/>
      <c r="BA433" s="159"/>
    </row>
    <row r="434" spans="2:53" ht="17.399999999999999" customHeight="1">
      <c r="B434" s="159"/>
      <c r="C434" s="159"/>
      <c r="D434" s="159"/>
      <c r="E434" s="159"/>
      <c r="F434" s="159"/>
      <c r="G434" s="159"/>
      <c r="H434" s="159"/>
      <c r="I434" s="159"/>
      <c r="J434" s="224"/>
      <c r="K434" s="159"/>
      <c r="L434" s="159"/>
      <c r="M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c r="AT434" s="159"/>
      <c r="AU434" s="159"/>
      <c r="AV434" s="159"/>
      <c r="AW434" s="159"/>
      <c r="AX434" s="159"/>
      <c r="AY434" s="159"/>
      <c r="AZ434" s="159"/>
      <c r="BA434" s="159"/>
    </row>
    <row r="435" spans="2:53" ht="17.399999999999999" customHeight="1">
      <c r="B435" s="159"/>
      <c r="C435" s="159"/>
      <c r="D435" s="159"/>
      <c r="E435" s="159"/>
      <c r="F435" s="159"/>
      <c r="G435" s="159"/>
      <c r="H435" s="159"/>
      <c r="I435" s="159"/>
      <c r="J435" s="224"/>
      <c r="K435" s="159"/>
      <c r="L435" s="159"/>
      <c r="M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c r="AT435" s="159"/>
      <c r="AU435" s="159"/>
      <c r="AV435" s="159"/>
      <c r="AW435" s="159"/>
      <c r="AX435" s="159"/>
      <c r="AY435" s="159"/>
      <c r="AZ435" s="159"/>
      <c r="BA435" s="159"/>
    </row>
    <row r="436" spans="2:53" ht="17.399999999999999" customHeight="1">
      <c r="B436" s="159"/>
      <c r="C436" s="159"/>
      <c r="D436" s="159"/>
      <c r="E436" s="159"/>
      <c r="F436" s="159"/>
      <c r="G436" s="159"/>
      <c r="H436" s="159"/>
      <c r="I436" s="159"/>
      <c r="J436" s="224"/>
      <c r="K436" s="159"/>
      <c r="L436" s="159"/>
      <c r="M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c r="AT436" s="159"/>
      <c r="AU436" s="159"/>
      <c r="AV436" s="159"/>
      <c r="AW436" s="159"/>
      <c r="AX436" s="159"/>
      <c r="AY436" s="159"/>
      <c r="AZ436" s="159"/>
      <c r="BA436" s="159"/>
    </row>
    <row r="437" spans="2:53" ht="17.399999999999999" customHeight="1">
      <c r="B437" s="159"/>
      <c r="C437" s="159"/>
      <c r="D437" s="159"/>
      <c r="E437" s="159"/>
      <c r="F437" s="159"/>
      <c r="G437" s="159"/>
      <c r="H437" s="159"/>
      <c r="I437" s="159"/>
      <c r="J437" s="224"/>
      <c r="K437" s="159"/>
      <c r="L437" s="159"/>
      <c r="M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c r="AT437" s="159"/>
      <c r="AU437" s="159"/>
      <c r="AV437" s="159"/>
      <c r="AW437" s="159"/>
      <c r="AX437" s="159"/>
      <c r="AY437" s="159"/>
      <c r="AZ437" s="159"/>
      <c r="BA437" s="159"/>
    </row>
    <row r="438" spans="2:53" ht="17.399999999999999" customHeight="1">
      <c r="B438" s="159"/>
      <c r="C438" s="159"/>
      <c r="D438" s="159"/>
      <c r="E438" s="159"/>
      <c r="F438" s="159"/>
      <c r="G438" s="159"/>
      <c r="H438" s="159"/>
      <c r="I438" s="159"/>
      <c r="J438" s="224"/>
      <c r="K438" s="159"/>
      <c r="L438" s="159"/>
      <c r="M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c r="AT438" s="159"/>
      <c r="AU438" s="159"/>
      <c r="AV438" s="159"/>
      <c r="AW438" s="159"/>
      <c r="AX438" s="159"/>
      <c r="AY438" s="159"/>
      <c r="AZ438" s="159"/>
      <c r="BA438" s="159"/>
    </row>
    <row r="439" spans="2:53" ht="17.399999999999999" customHeight="1">
      <c r="B439" s="159"/>
      <c r="C439" s="159"/>
      <c r="D439" s="159"/>
      <c r="E439" s="159"/>
      <c r="F439" s="159"/>
      <c r="G439" s="159"/>
      <c r="H439" s="159"/>
      <c r="I439" s="159"/>
      <c r="J439" s="224"/>
      <c r="K439" s="159"/>
      <c r="L439" s="159"/>
      <c r="M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c r="AT439" s="159"/>
      <c r="AU439" s="159"/>
      <c r="AV439" s="159"/>
      <c r="AW439" s="159"/>
      <c r="AX439" s="159"/>
      <c r="AY439" s="159"/>
      <c r="AZ439" s="159"/>
      <c r="BA439" s="159"/>
    </row>
    <row r="440" spans="2:53" ht="17.399999999999999" customHeight="1">
      <c r="B440" s="159"/>
      <c r="C440" s="159"/>
      <c r="D440" s="159"/>
      <c r="E440" s="159"/>
      <c r="F440" s="159"/>
      <c r="G440" s="159"/>
      <c r="H440" s="159"/>
      <c r="I440" s="159"/>
      <c r="J440" s="224"/>
      <c r="K440" s="159"/>
      <c r="L440" s="159"/>
      <c r="M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c r="AT440" s="159"/>
      <c r="AU440" s="159"/>
      <c r="AV440" s="159"/>
      <c r="AW440" s="159"/>
      <c r="AX440" s="159"/>
      <c r="AY440" s="159"/>
      <c r="AZ440" s="159"/>
      <c r="BA440" s="159"/>
    </row>
    <row r="441" spans="2:53" ht="17.399999999999999" customHeight="1">
      <c r="B441" s="159"/>
      <c r="C441" s="159"/>
      <c r="D441" s="159"/>
      <c r="E441" s="159"/>
      <c r="F441" s="159"/>
      <c r="G441" s="159"/>
      <c r="H441" s="159"/>
      <c r="I441" s="159"/>
      <c r="J441" s="224"/>
      <c r="K441" s="159"/>
      <c r="L441" s="159"/>
      <c r="M441" s="159"/>
      <c r="O441" s="159"/>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c r="AT441" s="159"/>
      <c r="AU441" s="159"/>
      <c r="AV441" s="159"/>
      <c r="AW441" s="159"/>
      <c r="AX441" s="159"/>
      <c r="AY441" s="159"/>
      <c r="AZ441" s="159"/>
      <c r="BA441" s="159"/>
    </row>
    <row r="442" spans="2:53" ht="17.399999999999999" customHeight="1">
      <c r="B442" s="159"/>
      <c r="C442" s="159"/>
      <c r="D442" s="159"/>
      <c r="E442" s="159"/>
      <c r="F442" s="159"/>
      <c r="G442" s="159"/>
      <c r="H442" s="159"/>
      <c r="I442" s="159"/>
      <c r="J442" s="224"/>
      <c r="K442" s="159"/>
      <c r="L442" s="159"/>
      <c r="M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c r="AT442" s="159"/>
      <c r="AU442" s="159"/>
      <c r="AV442" s="159"/>
      <c r="AW442" s="159"/>
      <c r="AX442" s="159"/>
      <c r="AY442" s="159"/>
      <c r="AZ442" s="159"/>
      <c r="BA442" s="159"/>
    </row>
    <row r="443" spans="2:53" ht="17.399999999999999" customHeight="1">
      <c r="B443" s="159"/>
      <c r="C443" s="159"/>
      <c r="D443" s="159"/>
      <c r="E443" s="159"/>
      <c r="F443" s="159"/>
      <c r="G443" s="159"/>
      <c r="H443" s="159"/>
      <c r="I443" s="159"/>
      <c r="J443" s="224"/>
      <c r="K443" s="159"/>
      <c r="L443" s="159"/>
      <c r="M443" s="159"/>
      <c r="O443" s="159"/>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c r="AT443" s="159"/>
      <c r="AU443" s="159"/>
      <c r="AV443" s="159"/>
      <c r="AW443" s="159"/>
      <c r="AX443" s="159"/>
      <c r="AY443" s="159"/>
      <c r="AZ443" s="159"/>
      <c r="BA443" s="159"/>
    </row>
    <row r="444" spans="2:53" ht="17.399999999999999" customHeight="1">
      <c r="B444" s="159"/>
      <c r="C444" s="159"/>
      <c r="D444" s="159"/>
      <c r="E444" s="159"/>
      <c r="F444" s="159"/>
      <c r="G444" s="159"/>
      <c r="H444" s="159"/>
      <c r="I444" s="159"/>
      <c r="J444" s="224"/>
      <c r="K444" s="159"/>
      <c r="L444" s="159"/>
      <c r="M444" s="159"/>
      <c r="O444" s="159"/>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c r="AT444" s="159"/>
      <c r="AU444" s="159"/>
      <c r="AV444" s="159"/>
      <c r="AW444" s="159"/>
      <c r="AX444" s="159"/>
      <c r="AY444" s="159"/>
      <c r="AZ444" s="159"/>
      <c r="BA444" s="159"/>
    </row>
    <row r="445" spans="2:53" ht="17.399999999999999" customHeight="1">
      <c r="B445" s="159"/>
      <c r="C445" s="159"/>
      <c r="D445" s="159"/>
      <c r="E445" s="159"/>
      <c r="F445" s="159"/>
      <c r="G445" s="159"/>
      <c r="H445" s="159"/>
      <c r="I445" s="159"/>
      <c r="J445" s="224"/>
      <c r="K445" s="159"/>
      <c r="L445" s="159"/>
      <c r="M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c r="AT445" s="159"/>
      <c r="AU445" s="159"/>
      <c r="AV445" s="159"/>
      <c r="AW445" s="159"/>
      <c r="AX445" s="159"/>
      <c r="AY445" s="159"/>
      <c r="AZ445" s="159"/>
      <c r="BA445" s="159"/>
    </row>
    <row r="446" spans="2:53" ht="17.399999999999999" customHeight="1">
      <c r="B446" s="159"/>
      <c r="C446" s="159"/>
      <c r="D446" s="159"/>
      <c r="E446" s="159"/>
      <c r="F446" s="159"/>
      <c r="G446" s="159"/>
      <c r="H446" s="159"/>
      <c r="I446" s="159"/>
      <c r="J446" s="224"/>
      <c r="K446" s="159"/>
      <c r="L446" s="159"/>
      <c r="M446" s="159"/>
      <c r="O446" s="159"/>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c r="AT446" s="159"/>
      <c r="AU446" s="159"/>
      <c r="AV446" s="159"/>
      <c r="AW446" s="159"/>
      <c r="AX446" s="159"/>
      <c r="AY446" s="159"/>
      <c r="AZ446" s="159"/>
      <c r="BA446" s="159"/>
    </row>
    <row r="447" spans="2:53" ht="17.399999999999999" customHeight="1">
      <c r="B447" s="159"/>
      <c r="C447" s="159"/>
      <c r="D447" s="159"/>
      <c r="E447" s="159"/>
      <c r="F447" s="159"/>
      <c r="G447" s="159"/>
      <c r="H447" s="159"/>
      <c r="I447" s="159"/>
      <c r="J447" s="224"/>
      <c r="K447" s="159"/>
      <c r="L447" s="159"/>
      <c r="M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c r="AT447" s="159"/>
      <c r="AU447" s="159"/>
      <c r="AV447" s="159"/>
      <c r="AW447" s="159"/>
      <c r="AX447" s="159"/>
      <c r="AY447" s="159"/>
      <c r="AZ447" s="159"/>
      <c r="BA447" s="159"/>
    </row>
    <row r="448" spans="2:53" ht="17.399999999999999" customHeight="1">
      <c r="B448" s="159"/>
      <c r="C448" s="159"/>
      <c r="D448" s="159"/>
      <c r="E448" s="159"/>
      <c r="F448" s="159"/>
      <c r="G448" s="159"/>
      <c r="H448" s="159"/>
      <c r="I448" s="159"/>
      <c r="J448" s="224"/>
      <c r="K448" s="159"/>
      <c r="L448" s="159"/>
      <c r="M448" s="159"/>
      <c r="O448" s="159"/>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c r="AT448" s="159"/>
      <c r="AU448" s="159"/>
      <c r="AV448" s="159"/>
      <c r="AW448" s="159"/>
      <c r="AX448" s="159"/>
      <c r="AY448" s="159"/>
      <c r="AZ448" s="159"/>
      <c r="BA448" s="159"/>
    </row>
    <row r="449" spans="2:53" ht="17.399999999999999" customHeight="1">
      <c r="B449" s="159"/>
      <c r="C449" s="159"/>
      <c r="D449" s="159"/>
      <c r="E449" s="159"/>
      <c r="F449" s="159"/>
      <c r="G449" s="159"/>
      <c r="H449" s="159"/>
      <c r="I449" s="159"/>
      <c r="J449" s="224"/>
      <c r="K449" s="159"/>
      <c r="L449" s="159"/>
      <c r="M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c r="AT449" s="159"/>
      <c r="AU449" s="159"/>
      <c r="AV449" s="159"/>
      <c r="AW449" s="159"/>
      <c r="AX449" s="159"/>
      <c r="AY449" s="159"/>
      <c r="AZ449" s="159"/>
      <c r="BA449" s="159"/>
    </row>
    <row r="450" spans="2:53" ht="17.399999999999999" customHeight="1">
      <c r="B450" s="159"/>
      <c r="C450" s="159"/>
      <c r="D450" s="159"/>
      <c r="E450" s="159"/>
      <c r="F450" s="159"/>
      <c r="G450" s="159"/>
      <c r="H450" s="159"/>
      <c r="I450" s="159"/>
      <c r="J450" s="224"/>
      <c r="K450" s="159"/>
      <c r="L450" s="159"/>
      <c r="M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c r="AT450" s="159"/>
      <c r="AU450" s="159"/>
      <c r="AV450" s="159"/>
      <c r="AW450" s="159"/>
      <c r="AX450" s="159"/>
      <c r="AY450" s="159"/>
      <c r="AZ450" s="159"/>
      <c r="BA450" s="159"/>
    </row>
    <row r="451" spans="2:53" ht="17.399999999999999" customHeight="1">
      <c r="B451" s="159"/>
      <c r="C451" s="159"/>
      <c r="D451" s="159"/>
      <c r="E451" s="159"/>
      <c r="F451" s="159"/>
      <c r="G451" s="159"/>
      <c r="H451" s="159"/>
      <c r="I451" s="159"/>
      <c r="J451" s="224"/>
      <c r="K451" s="159"/>
      <c r="L451" s="159"/>
      <c r="M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c r="AT451" s="159"/>
      <c r="AU451" s="159"/>
      <c r="AV451" s="159"/>
      <c r="AW451" s="159"/>
      <c r="AX451" s="159"/>
      <c r="AY451" s="159"/>
      <c r="AZ451" s="159"/>
      <c r="BA451" s="159"/>
    </row>
    <row r="452" spans="2:53" ht="17.399999999999999" customHeight="1">
      <c r="B452" s="159"/>
      <c r="C452" s="159"/>
      <c r="D452" s="159"/>
      <c r="E452" s="159"/>
      <c r="F452" s="159"/>
      <c r="G452" s="159"/>
      <c r="H452" s="159"/>
      <c r="I452" s="159"/>
      <c r="J452" s="224"/>
      <c r="K452" s="159"/>
      <c r="L452" s="159"/>
      <c r="M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c r="AT452" s="159"/>
      <c r="AU452" s="159"/>
      <c r="AV452" s="159"/>
      <c r="AW452" s="159"/>
      <c r="AX452" s="159"/>
      <c r="AY452" s="159"/>
      <c r="AZ452" s="159"/>
      <c r="BA452" s="159"/>
    </row>
    <row r="453" spans="2:53" s="159" customFormat="1" ht="17.399999999999999" customHeight="1">
      <c r="J453" s="224"/>
    </row>
    <row r="454" spans="2:53" ht="14.4"/>
    <row r="455" spans="2:53" ht="14.4"/>
    <row r="456" spans="2:53" ht="14.4"/>
    <row r="457" spans="2:53" ht="14.4"/>
    <row r="458" spans="2:53" ht="14.4"/>
    <row r="459" spans="2:53" ht="14.4"/>
    <row r="460" spans="2:53" ht="14.4"/>
    <row r="461" spans="2:53" ht="14.4"/>
    <row r="462" spans="2:53" ht="14.4"/>
    <row r="463" spans="2:53" ht="14.4"/>
    <row r="464" spans="2:53" s="156" customFormat="1" ht="14.4">
      <c r="B464" s="157"/>
      <c r="C464" s="157"/>
      <c r="D464" s="157"/>
      <c r="E464" s="157"/>
      <c r="F464" s="157"/>
      <c r="G464" s="157"/>
      <c r="H464" s="157"/>
      <c r="I464" s="157"/>
      <c r="J464" s="158"/>
      <c r="K464" s="157"/>
      <c r="L464" s="157"/>
      <c r="M464" s="157"/>
      <c r="O464" s="157"/>
      <c r="P464" s="157"/>
      <c r="Q464" s="157"/>
      <c r="R464" s="157"/>
      <c r="S464" s="157"/>
      <c r="T464" s="157"/>
      <c r="U464" s="157"/>
      <c r="V464" s="157"/>
      <c r="W464" s="157"/>
      <c r="X464" s="157"/>
      <c r="Y464" s="157"/>
      <c r="Z464" s="157"/>
      <c r="AA464" s="157"/>
      <c r="AB464" s="157"/>
      <c r="AC464" s="157"/>
      <c r="AD464" s="157"/>
      <c r="AE464" s="157"/>
      <c r="AF464" s="157"/>
      <c r="AG464" s="157"/>
      <c r="AH464" s="157"/>
      <c r="AI464" s="157"/>
      <c r="AJ464" s="157"/>
      <c r="AK464" s="157"/>
      <c r="AL464" s="157"/>
      <c r="AM464" s="157"/>
      <c r="AN464" s="157"/>
      <c r="AO464" s="157"/>
      <c r="AP464" s="157"/>
      <c r="AQ464" s="157"/>
      <c r="AR464" s="157"/>
      <c r="AS464" s="157"/>
      <c r="AT464" s="157"/>
      <c r="AU464" s="157"/>
      <c r="AV464" s="157"/>
      <c r="AW464" s="157"/>
      <c r="AX464" s="157"/>
      <c r="AY464" s="157"/>
      <c r="AZ464" s="157"/>
      <c r="BA464" s="157"/>
    </row>
    <row r="465" spans="2:53" s="156" customFormat="1" ht="14.4">
      <c r="B465" s="157"/>
      <c r="C465" s="157"/>
      <c r="D465" s="157"/>
      <c r="E465" s="157"/>
      <c r="F465" s="157"/>
      <c r="G465" s="157"/>
      <c r="H465" s="157"/>
      <c r="I465" s="157"/>
      <c r="J465" s="158"/>
      <c r="K465" s="157"/>
      <c r="L465" s="157"/>
      <c r="M465" s="157"/>
      <c r="O465" s="157"/>
      <c r="P465" s="157"/>
      <c r="Q465" s="157"/>
      <c r="R465" s="157"/>
      <c r="S465" s="157"/>
      <c r="T465" s="157"/>
      <c r="U465" s="157"/>
      <c r="V465" s="157"/>
      <c r="W465" s="157"/>
      <c r="X465" s="157"/>
      <c r="Y465" s="157"/>
      <c r="Z465" s="157"/>
      <c r="AA465" s="157"/>
      <c r="AB465" s="157"/>
      <c r="AC465" s="157"/>
      <c r="AD465" s="157"/>
      <c r="AE465" s="157"/>
      <c r="AF465" s="157"/>
      <c r="AG465" s="157"/>
      <c r="AH465" s="157"/>
      <c r="AI465" s="157"/>
      <c r="AJ465" s="157"/>
      <c r="AK465" s="157"/>
      <c r="AL465" s="157"/>
      <c r="AM465" s="157"/>
      <c r="AN465" s="157"/>
      <c r="AO465" s="157"/>
      <c r="AP465" s="157"/>
      <c r="AQ465" s="157"/>
      <c r="AR465" s="157"/>
      <c r="AS465" s="157"/>
      <c r="AT465" s="157"/>
      <c r="AU465" s="157"/>
      <c r="AV465" s="157"/>
      <c r="AW465" s="157"/>
      <c r="AX465" s="157"/>
      <c r="AY465" s="157"/>
      <c r="AZ465" s="157"/>
      <c r="BA465" s="157"/>
    </row>
    <row r="466" spans="2:53" s="156" customFormat="1" ht="14.4">
      <c r="B466" s="157"/>
      <c r="C466" s="157"/>
      <c r="D466" s="157"/>
      <c r="E466" s="157"/>
      <c r="F466" s="157"/>
      <c r="G466" s="157"/>
      <c r="H466" s="157"/>
      <c r="I466" s="157"/>
      <c r="J466" s="158"/>
      <c r="K466" s="157"/>
      <c r="L466" s="157"/>
      <c r="M466" s="157"/>
      <c r="O466" s="157"/>
      <c r="P466" s="157"/>
      <c r="Q466" s="157"/>
      <c r="R466" s="157"/>
      <c r="S466" s="157"/>
      <c r="T466" s="157"/>
      <c r="U466" s="157"/>
      <c r="V466" s="157"/>
      <c r="W466" s="157"/>
      <c r="X466" s="157"/>
      <c r="Y466" s="157"/>
      <c r="Z466" s="157"/>
      <c r="AA466" s="157"/>
      <c r="AB466" s="157"/>
      <c r="AC466" s="157"/>
      <c r="AD466" s="157"/>
      <c r="AE466" s="157"/>
      <c r="AF466" s="157"/>
      <c r="AG466" s="157"/>
      <c r="AH466" s="157"/>
      <c r="AI466" s="157"/>
      <c r="AJ466" s="157"/>
      <c r="AK466" s="157"/>
      <c r="AL466" s="157"/>
      <c r="AM466" s="157"/>
      <c r="AN466" s="157"/>
      <c r="AO466" s="157"/>
      <c r="AP466" s="157"/>
      <c r="AQ466" s="157"/>
      <c r="AR466" s="157"/>
      <c r="AS466" s="157"/>
      <c r="AT466" s="157"/>
      <c r="AU466" s="157"/>
      <c r="AV466" s="157"/>
      <c r="AW466" s="157"/>
      <c r="AX466" s="157"/>
      <c r="AY466" s="157"/>
      <c r="AZ466" s="157"/>
      <c r="BA466" s="157"/>
    </row>
    <row r="467" spans="2:53" s="156" customFormat="1" ht="14.4">
      <c r="B467" s="157"/>
      <c r="C467" s="157"/>
      <c r="D467" s="157"/>
      <c r="E467" s="157"/>
      <c r="F467" s="157"/>
      <c r="G467" s="157"/>
      <c r="H467" s="157"/>
      <c r="I467" s="157"/>
      <c r="J467" s="158"/>
      <c r="K467" s="157"/>
      <c r="L467" s="157"/>
      <c r="M467" s="157"/>
      <c r="O467" s="157"/>
      <c r="P467" s="157"/>
      <c r="Q467" s="157"/>
      <c r="R467" s="157"/>
      <c r="S467" s="157"/>
      <c r="T467" s="157"/>
      <c r="U467" s="157"/>
      <c r="V467" s="157"/>
      <c r="W467" s="157"/>
      <c r="X467" s="157"/>
      <c r="Y467" s="157"/>
      <c r="Z467" s="157"/>
      <c r="AA467" s="157"/>
      <c r="AB467" s="157"/>
      <c r="AC467" s="157"/>
      <c r="AD467" s="157"/>
      <c r="AE467" s="157"/>
      <c r="AF467" s="157"/>
      <c r="AG467" s="157"/>
      <c r="AH467" s="157"/>
      <c r="AI467" s="157"/>
      <c r="AJ467" s="157"/>
      <c r="AK467" s="157"/>
      <c r="AL467" s="157"/>
      <c r="AM467" s="157"/>
      <c r="AN467" s="157"/>
      <c r="AO467" s="157"/>
      <c r="AP467" s="157"/>
      <c r="AQ467" s="157"/>
      <c r="AR467" s="157"/>
      <c r="AS467" s="157"/>
      <c r="AT467" s="157"/>
      <c r="AU467" s="157"/>
      <c r="AV467" s="157"/>
      <c r="AW467" s="157"/>
      <c r="AX467" s="157"/>
      <c r="AY467" s="157"/>
      <c r="AZ467" s="157"/>
      <c r="BA467" s="157"/>
    </row>
    <row r="468" spans="2:53" s="156" customFormat="1" ht="14.4">
      <c r="B468" s="157"/>
      <c r="C468" s="157"/>
      <c r="D468" s="157"/>
      <c r="E468" s="157"/>
      <c r="F468" s="157"/>
      <c r="G468" s="157"/>
      <c r="H468" s="157"/>
      <c r="I468" s="157"/>
      <c r="J468" s="158"/>
      <c r="K468" s="157"/>
      <c r="L468" s="157"/>
      <c r="M468" s="157"/>
      <c r="O468" s="157"/>
      <c r="P468" s="157"/>
      <c r="Q468" s="157"/>
      <c r="R468" s="157"/>
      <c r="S468" s="157"/>
      <c r="T468" s="157"/>
      <c r="U468" s="157"/>
      <c r="V468" s="157"/>
      <c r="W468" s="157"/>
      <c r="X468" s="157"/>
      <c r="Y468" s="157"/>
      <c r="Z468" s="157"/>
      <c r="AA468" s="157"/>
      <c r="AB468" s="157"/>
      <c r="AC468" s="157"/>
      <c r="AD468" s="157"/>
      <c r="AE468" s="157"/>
      <c r="AF468" s="157"/>
      <c r="AG468" s="157"/>
      <c r="AH468" s="157"/>
      <c r="AI468" s="157"/>
      <c r="AJ468" s="157"/>
      <c r="AK468" s="157"/>
      <c r="AL468" s="157"/>
      <c r="AM468" s="157"/>
      <c r="AN468" s="157"/>
      <c r="AO468" s="157"/>
      <c r="AP468" s="157"/>
      <c r="AQ468" s="157"/>
      <c r="AR468" s="157"/>
      <c r="AS468" s="157"/>
      <c r="AT468" s="157"/>
      <c r="AU468" s="157"/>
      <c r="AV468" s="157"/>
      <c r="AW468" s="157"/>
      <c r="AX468" s="157"/>
      <c r="AY468" s="157"/>
      <c r="AZ468" s="157"/>
      <c r="BA468" s="157"/>
    </row>
    <row r="469" spans="2:53" s="156" customFormat="1" ht="14.4">
      <c r="B469" s="157"/>
      <c r="C469" s="157"/>
      <c r="D469" s="157"/>
      <c r="E469" s="157"/>
      <c r="F469" s="157"/>
      <c r="G469" s="157"/>
      <c r="H469" s="157"/>
      <c r="I469" s="157"/>
      <c r="J469" s="158"/>
      <c r="K469" s="157"/>
      <c r="L469" s="157"/>
      <c r="M469" s="157"/>
      <c r="O469" s="157"/>
      <c r="P469" s="157"/>
      <c r="Q469" s="157"/>
      <c r="R469" s="157"/>
      <c r="S469" s="157"/>
      <c r="T469" s="157"/>
      <c r="U469" s="157"/>
      <c r="V469" s="157"/>
      <c r="W469" s="157"/>
      <c r="X469" s="157"/>
      <c r="Y469" s="157"/>
      <c r="Z469" s="157"/>
      <c r="AA469" s="157"/>
      <c r="AB469" s="157"/>
      <c r="AC469" s="157"/>
      <c r="AD469" s="157"/>
      <c r="AE469" s="157"/>
      <c r="AF469" s="157"/>
      <c r="AG469" s="157"/>
      <c r="AH469" s="157"/>
      <c r="AI469" s="157"/>
      <c r="AJ469" s="157"/>
      <c r="AK469" s="157"/>
      <c r="AL469" s="157"/>
      <c r="AM469" s="157"/>
      <c r="AN469" s="157"/>
      <c r="AO469" s="157"/>
      <c r="AP469" s="157"/>
      <c r="AQ469" s="157"/>
      <c r="AR469" s="157"/>
      <c r="AS469" s="157"/>
      <c r="AT469" s="157"/>
      <c r="AU469" s="157"/>
      <c r="AV469" s="157"/>
      <c r="AW469" s="157"/>
      <c r="AX469" s="157"/>
      <c r="AY469" s="157"/>
      <c r="AZ469" s="157"/>
      <c r="BA469" s="157"/>
    </row>
    <row r="470" spans="2:53" s="156" customFormat="1" ht="14.4">
      <c r="B470" s="157"/>
      <c r="C470" s="157"/>
      <c r="D470" s="157"/>
      <c r="E470" s="157"/>
      <c r="F470" s="157"/>
      <c r="G470" s="157"/>
      <c r="H470" s="157"/>
      <c r="I470" s="157"/>
      <c r="J470" s="158"/>
      <c r="K470" s="157"/>
      <c r="L470" s="157"/>
      <c r="M470" s="157"/>
      <c r="O470" s="157"/>
      <c r="P470" s="157"/>
      <c r="Q470" s="157"/>
      <c r="R470" s="157"/>
      <c r="S470" s="157"/>
      <c r="T470" s="157"/>
      <c r="U470" s="157"/>
      <c r="V470" s="157"/>
      <c r="W470" s="157"/>
      <c r="X470" s="157"/>
      <c r="Y470" s="157"/>
      <c r="Z470" s="157"/>
      <c r="AA470" s="157"/>
      <c r="AB470" s="157"/>
      <c r="AC470" s="157"/>
      <c r="AD470" s="157"/>
      <c r="AE470" s="157"/>
      <c r="AF470" s="157"/>
      <c r="AG470" s="157"/>
      <c r="AH470" s="157"/>
      <c r="AI470" s="157"/>
      <c r="AJ470" s="157"/>
      <c r="AK470" s="157"/>
      <c r="AL470" s="157"/>
      <c r="AM470" s="157"/>
      <c r="AN470" s="157"/>
      <c r="AO470" s="157"/>
      <c r="AP470" s="157"/>
      <c r="AQ470" s="157"/>
      <c r="AR470" s="157"/>
      <c r="AS470" s="157"/>
      <c r="AT470" s="157"/>
      <c r="AU470" s="157"/>
      <c r="AV470" s="157"/>
      <c r="AW470" s="157"/>
      <c r="AX470" s="157"/>
      <c r="AY470" s="157"/>
      <c r="AZ470" s="157"/>
      <c r="BA470" s="157"/>
    </row>
    <row r="471" spans="2:53" ht="15" customHeight="1"/>
    <row r="472" spans="2:53" ht="15" customHeight="1"/>
    <row r="473" spans="2:53" ht="15" customHeight="1"/>
    <row r="474" spans="2:53" ht="15" customHeight="1"/>
    <row r="475" spans="2:53" ht="15" customHeight="1"/>
    <row r="476" spans="2:53" ht="15" customHeight="1"/>
    <row r="477" spans="2:53" ht="15" customHeight="1"/>
    <row r="478" spans="2:53" ht="15" customHeight="1"/>
    <row r="479" spans="2:53" ht="15" customHeight="1"/>
    <row r="480" spans="2:53"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sheetData>
  <sheetProtection algorithmName="SHA-512" hashValue="6zn1neG4kMqc1ddigLXSlpT/o1hJ5v9Eif9fYs6+QI/PBFH9Ikj1UM78i9sIFFqXRm5CBvLwJnzwh2CuU5TUQg==" saltValue="bDVvAplWg+uaLZZ6XX8qfg==" spinCount="100000" sheet="1" selectLockedCells="1"/>
  <mergeCells count="5">
    <mergeCell ref="F5:K5"/>
    <mergeCell ref="F7:K7"/>
    <mergeCell ref="F21:K21"/>
    <mergeCell ref="F22:K22"/>
    <mergeCell ref="F23:G23"/>
  </mergeCells>
  <conditionalFormatting sqref="C58">
    <cfRule type="containsText" dxfId="2" priority="2" operator="containsText" text="nie">
      <formula>NOT(ISERROR(SEARCH("nie",C58)))</formula>
    </cfRule>
  </conditionalFormatting>
  <conditionalFormatting sqref="C78">
    <cfRule type="containsText" dxfId="1" priority="1" operator="containsText" text="nie">
      <formula>NOT(ISERROR(SEARCH("nie",C78)))</formula>
    </cfRule>
  </conditionalFormatting>
  <dataValidations count="2">
    <dataValidation type="list" allowBlank="1" showInputMessage="1" showErrorMessage="1" sqref="Q38" xr:uid="{00000000-0002-0000-0600-000000000000}">
      <formula1>$O$44:$O$45</formula1>
    </dataValidation>
    <dataValidation operator="lessThanOrEqual" allowBlank="1" showInputMessage="1" showErrorMessage="1" sqref="F5:K5" xr:uid="{00000000-0002-0000-0600-000001000000}"/>
  </dataValidations>
  <hyperlinks>
    <hyperlink ref="R63" r:id="rId1" xr:uid="{00000000-0004-0000-0600-000000000000}"/>
    <hyperlink ref="R62" r:id="rId2" xr:uid="{00000000-0004-0000-0600-000001000000}"/>
  </hyperlinks>
  <pageMargins left="0.59055118110236227" right="0.59055118110236227" top="0.78740157480314965" bottom="0.19685039370078741" header="0.19685039370078741" footer="0.19685039370078741"/>
  <pageSetup paperSize="9" scale="94" fitToHeight="0" orientation="portrait" r:id="rId3"/>
  <headerFooter>
    <oddHeader>&amp;R
&amp;G</oddHeader>
    <oddFooter>&amp;C &amp;"-,Standardowy"&amp;9&amp;K00-033Wydruk wygenerowany z arkusza doboru układów utrzymania ciśnienia firmy IMI HYDRONIC ENGINEERING.</oddFooter>
  </headerFooter>
  <rowBreaks count="1" manualBreakCount="1">
    <brk id="64" min="1" max="12" man="1"/>
  </rowBreaks>
  <drawing r:id="rId4"/>
  <legacyDrawing r:id="rId5"/>
  <legacyDrawingHF r:id="rId6"/>
  <oleObjects>
    <mc:AlternateContent xmlns:mc="http://schemas.openxmlformats.org/markup-compatibility/2006">
      <mc:Choice Requires="x14">
        <oleObject progId="Equation.3" shapeId="19472" r:id="rId7">
          <objectPr defaultSize="0" autoPict="0" r:id="rId8">
            <anchor moveWithCells="1">
              <from>
                <xdr:col>3</xdr:col>
                <xdr:colOff>22860</xdr:colOff>
                <xdr:row>65</xdr:row>
                <xdr:rowOff>106680</xdr:rowOff>
              </from>
              <to>
                <xdr:col>5</xdr:col>
                <xdr:colOff>457200</xdr:colOff>
                <xdr:row>66</xdr:row>
                <xdr:rowOff>175260</xdr:rowOff>
              </to>
            </anchor>
          </objectPr>
        </oleObject>
      </mc:Choice>
      <mc:Fallback>
        <oleObject progId="Equation.3" shapeId="19472" r:id="rId7"/>
      </mc:Fallback>
    </mc:AlternateContent>
    <mc:AlternateContent xmlns:mc="http://schemas.openxmlformats.org/markup-compatibility/2006">
      <mc:Choice Requires="x14">
        <oleObject progId="Equation.3" shapeId="19494" r:id="rId9">
          <objectPr defaultSize="0" autoPict="0" r:id="rId10">
            <anchor moveWithCells="1">
              <from>
                <xdr:col>3</xdr:col>
                <xdr:colOff>60960</xdr:colOff>
                <xdr:row>33</xdr:row>
                <xdr:rowOff>106680</xdr:rowOff>
              </from>
              <to>
                <xdr:col>8</xdr:col>
                <xdr:colOff>137160</xdr:colOff>
                <xdr:row>36</xdr:row>
                <xdr:rowOff>0</xdr:rowOff>
              </to>
            </anchor>
          </objectPr>
        </oleObject>
      </mc:Choice>
      <mc:Fallback>
        <oleObject progId="Equation.3" shapeId="19494" r:id="rId9"/>
      </mc:Fallback>
    </mc:AlternateContent>
  </oleObjects>
  <mc:AlternateContent xmlns:mc="http://schemas.openxmlformats.org/markup-compatibility/2006">
    <mc:Choice Requires="x14">
      <controls>
        <mc:AlternateContent xmlns:mc="http://schemas.openxmlformats.org/markup-compatibility/2006">
          <mc:Choice Requires="x14">
            <control shapeId="19458" r:id="rId11" name="Spinner 2">
              <controlPr defaultSize="0" autoPict="0">
                <anchor moveWithCells="1" sizeWithCells="1">
                  <from>
                    <xdr:col>11</xdr:col>
                    <xdr:colOff>487680</xdr:colOff>
                    <xdr:row>7</xdr:row>
                    <xdr:rowOff>68580</xdr:rowOff>
                  </from>
                  <to>
                    <xdr:col>12</xdr:col>
                    <xdr:colOff>152400</xdr:colOff>
                    <xdr:row>9</xdr:row>
                    <xdr:rowOff>22860</xdr:rowOff>
                  </to>
                </anchor>
              </controlPr>
            </control>
          </mc:Choice>
        </mc:AlternateContent>
        <mc:AlternateContent xmlns:mc="http://schemas.openxmlformats.org/markup-compatibility/2006">
          <mc:Choice Requires="x14">
            <control shapeId="19459" r:id="rId12" name="Spinner 3">
              <controlPr defaultSize="0" autoPict="0">
                <anchor moveWithCells="1" sizeWithCells="1">
                  <from>
                    <xdr:col>11</xdr:col>
                    <xdr:colOff>480060</xdr:colOff>
                    <xdr:row>9</xdr:row>
                    <xdr:rowOff>114300</xdr:rowOff>
                  </from>
                  <to>
                    <xdr:col>12</xdr:col>
                    <xdr:colOff>144780</xdr:colOff>
                    <xdr:row>11</xdr:row>
                    <xdr:rowOff>68580</xdr:rowOff>
                  </to>
                </anchor>
              </controlPr>
            </control>
          </mc:Choice>
        </mc:AlternateContent>
        <mc:AlternateContent xmlns:mc="http://schemas.openxmlformats.org/markup-compatibility/2006">
          <mc:Choice Requires="x14">
            <control shapeId="19470" r:id="rId13" name="Drop Down 14">
              <controlPr defaultSize="0" autoLine="0" autoPict="0">
                <anchor moveWithCells="1">
                  <from>
                    <xdr:col>2</xdr:col>
                    <xdr:colOff>30480</xdr:colOff>
                    <xdr:row>55</xdr:row>
                    <xdr:rowOff>175260</xdr:rowOff>
                  </from>
                  <to>
                    <xdr:col>4</xdr:col>
                    <xdr:colOff>342900</xdr:colOff>
                    <xdr:row>56</xdr:row>
                    <xdr:rowOff>175260</xdr:rowOff>
                  </to>
                </anchor>
              </controlPr>
            </control>
          </mc:Choice>
        </mc:AlternateContent>
        <mc:AlternateContent xmlns:mc="http://schemas.openxmlformats.org/markup-compatibility/2006">
          <mc:Choice Requires="x14">
            <control shapeId="19471" r:id="rId14" name="Spinner 15">
              <controlPr defaultSize="0" autoPict="0">
                <anchor moveWithCells="1" sizeWithCells="1">
                  <from>
                    <xdr:col>7</xdr:col>
                    <xdr:colOff>289560</xdr:colOff>
                    <xdr:row>55</xdr:row>
                    <xdr:rowOff>60960</xdr:rowOff>
                  </from>
                  <to>
                    <xdr:col>8</xdr:col>
                    <xdr:colOff>114300</xdr:colOff>
                    <xdr:row>57</xdr:row>
                    <xdr:rowOff>7620</xdr:rowOff>
                  </to>
                </anchor>
              </controlPr>
            </control>
          </mc:Choice>
        </mc:AlternateContent>
        <mc:AlternateContent xmlns:mc="http://schemas.openxmlformats.org/markup-compatibility/2006">
          <mc:Choice Requires="x14">
            <control shapeId="19489" r:id="rId15" name="Spinner 33">
              <controlPr defaultSize="0" autoPict="0">
                <anchor moveWithCells="1" sizeWithCells="1">
                  <from>
                    <xdr:col>11</xdr:col>
                    <xdr:colOff>480060</xdr:colOff>
                    <xdr:row>12</xdr:row>
                    <xdr:rowOff>83820</xdr:rowOff>
                  </from>
                  <to>
                    <xdr:col>12</xdr:col>
                    <xdr:colOff>137160</xdr:colOff>
                    <xdr:row>14</xdr:row>
                    <xdr:rowOff>38100</xdr:rowOff>
                  </to>
                </anchor>
              </controlPr>
            </control>
          </mc:Choice>
        </mc:AlternateContent>
        <mc:AlternateContent xmlns:mc="http://schemas.openxmlformats.org/markup-compatibility/2006">
          <mc:Choice Requires="x14">
            <control shapeId="19492" r:id="rId16" name="Spinner 36">
              <controlPr defaultSize="0" autoPict="0">
                <anchor moveWithCells="1" sizeWithCells="1">
                  <from>
                    <xdr:col>11</xdr:col>
                    <xdr:colOff>480060</xdr:colOff>
                    <xdr:row>14</xdr:row>
                    <xdr:rowOff>121920</xdr:rowOff>
                  </from>
                  <to>
                    <xdr:col>12</xdr:col>
                    <xdr:colOff>137160</xdr:colOff>
                    <xdr:row>16</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pageSetUpPr fitToPage="1"/>
  </sheetPr>
  <dimension ref="A1:BA699"/>
  <sheetViews>
    <sheetView showGridLines="0" zoomScaleNormal="100" zoomScaleSheetLayoutView="100" workbookViewId="0">
      <selection activeCell="K15" activeCellId="5" sqref="F5:K5 F7:K7 K9 K11 K13 K15"/>
    </sheetView>
  </sheetViews>
  <sheetFormatPr defaultColWidth="0" defaultRowHeight="15" customHeight="1" zeroHeight="1"/>
  <cols>
    <col min="1" max="1" width="8.5" style="156" customWidth="1"/>
    <col min="2" max="2" width="3.09765625" style="157" customWidth="1"/>
    <col min="3" max="3" width="7.19921875" style="157" customWidth="1"/>
    <col min="4" max="4" width="6.69921875" style="157" customWidth="1"/>
    <col min="5" max="5" width="7.5" style="157" customWidth="1"/>
    <col min="6" max="6" width="7.8984375" style="157" customWidth="1"/>
    <col min="7" max="7" width="6.69921875" style="157" customWidth="1"/>
    <col min="8" max="8" width="6.5" style="157" customWidth="1"/>
    <col min="9" max="9" width="6.8984375" style="157" customWidth="1"/>
    <col min="10" max="10" width="7.59765625" style="158" customWidth="1"/>
    <col min="11" max="11" width="12.59765625" style="157" customWidth="1"/>
    <col min="12" max="13" width="9.19921875" style="157" customWidth="1"/>
    <col min="14" max="14" width="5.69921875" style="156" customWidth="1"/>
    <col min="15" max="21" width="9" style="157" customWidth="1"/>
    <col min="22" max="22" width="10.19921875" style="157" customWidth="1"/>
    <col min="23" max="23" width="10.3984375" style="157" customWidth="1"/>
    <col min="24" max="24" width="10.59765625" style="157" customWidth="1"/>
    <col min="25" max="25" width="10.8984375" style="157" customWidth="1"/>
    <col min="26" max="26" width="9" style="157" customWidth="1"/>
    <col min="27" max="53" width="0" style="157" hidden="1" customWidth="1"/>
    <col min="54" max="16384" width="9" style="157" hidden="1"/>
  </cols>
  <sheetData>
    <row r="1" spans="2:53" ht="52.5" customHeight="1">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row>
    <row r="2" spans="2:53" ht="17.399999999999999" customHeight="1">
      <c r="B2" s="160"/>
      <c r="C2" s="161"/>
      <c r="D2" s="162"/>
      <c r="E2" s="162"/>
      <c r="F2" s="162"/>
      <c r="G2" s="162"/>
      <c r="H2" s="162"/>
      <c r="I2" s="162"/>
      <c r="J2" s="161"/>
      <c r="K2" s="160"/>
      <c r="L2" s="160"/>
      <c r="M2" s="160"/>
      <c r="O2" s="163"/>
      <c r="P2" s="164"/>
      <c r="Q2" s="164"/>
      <c r="R2" s="164"/>
      <c r="S2" s="164"/>
      <c r="T2" s="164"/>
      <c r="U2" s="164"/>
      <c r="V2" s="164"/>
      <c r="W2" s="164"/>
      <c r="X2" s="164"/>
      <c r="Y2" s="164"/>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row>
    <row r="3" spans="2:53" ht="17.399999999999999" customHeight="1">
      <c r="B3" s="160"/>
      <c r="C3" s="328" t="s">
        <v>2</v>
      </c>
      <c r="D3" s="162"/>
      <c r="E3" s="162"/>
      <c r="F3" s="162"/>
      <c r="G3" s="162"/>
      <c r="H3" s="162"/>
      <c r="I3" s="162"/>
      <c r="J3" s="161"/>
      <c r="K3" s="160"/>
      <c r="L3" s="160"/>
      <c r="M3" s="160"/>
      <c r="O3" s="164"/>
      <c r="P3" s="166"/>
      <c r="Q3" s="166"/>
      <c r="R3" s="166"/>
      <c r="S3" s="166"/>
      <c r="T3" s="166"/>
      <c r="U3" s="166"/>
      <c r="V3" s="166"/>
      <c r="W3" s="166"/>
      <c r="X3" s="166"/>
      <c r="Y3" s="166"/>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row>
    <row r="4" spans="2:53" ht="17.399999999999999" customHeight="1">
      <c r="B4" s="160"/>
      <c r="C4" s="165"/>
      <c r="D4" s="162"/>
      <c r="E4" s="162"/>
      <c r="F4" s="162"/>
      <c r="G4" s="162"/>
      <c r="H4" s="162"/>
      <c r="I4" s="162"/>
      <c r="J4" s="161"/>
      <c r="K4" s="160"/>
      <c r="L4" s="160"/>
      <c r="M4" s="160"/>
      <c r="O4" s="164"/>
      <c r="P4" s="166"/>
      <c r="Q4" s="166"/>
      <c r="R4" s="166"/>
      <c r="S4" s="166"/>
      <c r="T4" s="166"/>
      <c r="U4" s="166"/>
      <c r="V4" s="166"/>
      <c r="W4" s="166"/>
      <c r="X4" s="166"/>
      <c r="Y4" s="166"/>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row>
    <row r="5" spans="2:53" ht="17.399999999999999" customHeight="1">
      <c r="B5" s="160"/>
      <c r="C5" s="165" t="s">
        <v>766</v>
      </c>
      <c r="D5" s="162"/>
      <c r="E5" s="162"/>
      <c r="F5" s="481"/>
      <c r="G5" s="482"/>
      <c r="H5" s="482"/>
      <c r="I5" s="482"/>
      <c r="J5" s="482"/>
      <c r="K5" s="483"/>
      <c r="L5" s="160"/>
      <c r="M5" s="160"/>
      <c r="O5" s="164"/>
      <c r="P5" s="166"/>
      <c r="Q5" s="166"/>
      <c r="R5" s="166"/>
      <c r="S5" s="166"/>
      <c r="T5" s="166"/>
      <c r="U5" s="166"/>
      <c r="V5" s="166"/>
      <c r="W5" s="166"/>
      <c r="X5" s="166"/>
      <c r="Y5" s="166"/>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row>
    <row r="6" spans="2:53" ht="17.399999999999999" customHeight="1">
      <c r="B6" s="160"/>
      <c r="C6" s="165"/>
      <c r="D6" s="162"/>
      <c r="E6" s="162"/>
      <c r="F6" s="162"/>
      <c r="G6" s="162"/>
      <c r="H6" s="162"/>
      <c r="I6" s="162"/>
      <c r="J6" s="161"/>
      <c r="K6" s="160"/>
      <c r="L6" s="160"/>
      <c r="M6" s="160"/>
      <c r="O6" s="164"/>
      <c r="P6" s="166"/>
      <c r="Q6" s="166"/>
      <c r="R6" s="166"/>
      <c r="S6" s="166"/>
      <c r="T6" s="166"/>
      <c r="U6" s="166"/>
      <c r="V6" s="166"/>
      <c r="W6" s="166"/>
      <c r="X6" s="166"/>
      <c r="Y6" s="166"/>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row>
    <row r="7" spans="2:53" ht="17.399999999999999" customHeight="1">
      <c r="B7" s="160"/>
      <c r="C7" s="165" t="s">
        <v>767</v>
      </c>
      <c r="D7" s="162"/>
      <c r="E7" s="162"/>
      <c r="F7" s="484" t="s">
        <v>994</v>
      </c>
      <c r="G7" s="482"/>
      <c r="H7" s="482"/>
      <c r="I7" s="482"/>
      <c r="J7" s="482"/>
      <c r="K7" s="483"/>
      <c r="L7" s="160"/>
      <c r="M7" s="160"/>
      <c r="O7" s="164"/>
      <c r="P7" s="166"/>
      <c r="Q7" s="166"/>
      <c r="R7" s="166"/>
      <c r="S7" s="166"/>
      <c r="T7" s="166"/>
      <c r="U7" s="166"/>
      <c r="V7" s="166"/>
      <c r="W7" s="166"/>
      <c r="X7" s="166"/>
      <c r="Y7" s="166"/>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row>
    <row r="8" spans="2:53" ht="17.399999999999999" customHeight="1">
      <c r="B8" s="160"/>
      <c r="C8" s="162"/>
      <c r="D8" s="162"/>
      <c r="E8" s="162"/>
      <c r="F8" s="162"/>
      <c r="G8" s="162"/>
      <c r="H8" s="162"/>
      <c r="I8" s="162"/>
      <c r="J8" s="161"/>
      <c r="K8" s="160"/>
      <c r="L8" s="160"/>
      <c r="M8" s="162"/>
      <c r="N8" s="167"/>
      <c r="O8" s="168"/>
      <c r="P8" s="164"/>
      <c r="Q8" s="164"/>
      <c r="R8" s="164"/>
      <c r="S8" s="164"/>
      <c r="T8" s="164"/>
      <c r="U8" s="164"/>
      <c r="V8" s="169"/>
      <c r="W8" s="169"/>
      <c r="X8" s="169"/>
      <c r="Y8" s="16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row>
    <row r="9" spans="2:53" ht="17.399999999999999" customHeight="1">
      <c r="B9" s="160"/>
      <c r="C9" s="162" t="s">
        <v>537</v>
      </c>
      <c r="D9" s="162"/>
      <c r="E9" s="162"/>
      <c r="F9" s="162"/>
      <c r="G9" s="162"/>
      <c r="H9" s="162"/>
      <c r="I9" s="162"/>
      <c r="J9" s="170"/>
      <c r="K9" s="2">
        <v>3</v>
      </c>
      <c r="L9" s="182" t="s">
        <v>529</v>
      </c>
      <c r="M9" s="162"/>
      <c r="N9" s="167"/>
      <c r="O9" s="168"/>
      <c r="P9" s="169"/>
      <c r="Q9" s="169"/>
      <c r="R9" s="169"/>
      <c r="S9" s="169"/>
      <c r="T9" s="169"/>
      <c r="U9" s="169"/>
      <c r="V9" s="169"/>
      <c r="W9" s="169"/>
      <c r="X9" s="169"/>
      <c r="Y9" s="16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row>
    <row r="10" spans="2:53" ht="17.399999999999999" customHeight="1">
      <c r="B10" s="160"/>
      <c r="C10" s="173"/>
      <c r="D10" s="162"/>
      <c r="E10" s="162"/>
      <c r="F10" s="162"/>
      <c r="G10" s="162"/>
      <c r="H10" s="162"/>
      <c r="I10" s="162"/>
      <c r="J10" s="170"/>
      <c r="K10" s="162"/>
      <c r="L10" s="162"/>
      <c r="M10" s="162"/>
      <c r="N10" s="167"/>
      <c r="O10" s="168"/>
      <c r="P10" s="169"/>
      <c r="Q10" s="169"/>
      <c r="R10" s="169"/>
      <c r="S10" s="169"/>
      <c r="T10" s="169"/>
      <c r="U10" s="169"/>
      <c r="V10" s="169"/>
      <c r="W10" s="169"/>
      <c r="X10" s="169"/>
      <c r="Y10" s="16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row>
    <row r="11" spans="2:53" ht="17.399999999999999" customHeight="1">
      <c r="B11" s="160"/>
      <c r="C11" s="162" t="s">
        <v>530</v>
      </c>
      <c r="D11" s="162"/>
      <c r="E11" s="162"/>
      <c r="F11" s="162"/>
      <c r="G11" s="162"/>
      <c r="H11" s="162"/>
      <c r="I11" s="162"/>
      <c r="J11" s="174"/>
      <c r="K11" s="179">
        <f>'7'!C4/10</f>
        <v>1.5</v>
      </c>
      <c r="L11" s="178" t="s">
        <v>3</v>
      </c>
      <c r="M11" s="162"/>
      <c r="N11" s="167"/>
      <c r="O11" s="168"/>
      <c r="P11" s="164"/>
      <c r="Q11" s="164"/>
      <c r="R11" s="164"/>
      <c r="S11" s="164"/>
      <c r="T11" s="164"/>
      <c r="U11" s="164"/>
      <c r="V11" s="169"/>
      <c r="W11" s="169"/>
      <c r="X11" s="169"/>
      <c r="Y11" s="16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row>
    <row r="12" spans="2:53" ht="17.399999999999999" customHeight="1">
      <c r="B12" s="160"/>
      <c r="C12" s="162"/>
      <c r="D12" s="162"/>
      <c r="E12" s="162"/>
      <c r="F12" s="162"/>
      <c r="G12" s="162"/>
      <c r="H12" s="162"/>
      <c r="I12" s="162"/>
      <c r="J12" s="170"/>
      <c r="K12" s="162"/>
      <c r="L12" s="162"/>
      <c r="M12" s="162"/>
      <c r="N12" s="167"/>
      <c r="O12" s="168"/>
      <c r="P12" s="164"/>
      <c r="Q12" s="164"/>
      <c r="R12" s="164"/>
      <c r="S12" s="164"/>
      <c r="T12" s="164"/>
      <c r="U12" s="164"/>
      <c r="V12" s="169"/>
      <c r="W12" s="169"/>
      <c r="X12" s="169"/>
      <c r="Y12" s="16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row>
    <row r="13" spans="2:53" ht="17.399999999999999" customHeight="1">
      <c r="B13" s="160"/>
      <c r="C13" s="162" t="s">
        <v>531</v>
      </c>
      <c r="D13" s="162"/>
      <c r="E13" s="162"/>
      <c r="F13" s="162"/>
      <c r="G13" s="162"/>
      <c r="H13" s="162"/>
      <c r="I13" s="162"/>
      <c r="J13" s="170"/>
      <c r="K13" s="179">
        <f>'7'!D4/10</f>
        <v>3</v>
      </c>
      <c r="L13" s="178" t="s">
        <v>3</v>
      </c>
      <c r="M13" s="162"/>
      <c r="N13" s="167"/>
      <c r="O13" s="168"/>
      <c r="P13" s="164"/>
      <c r="Q13" s="164"/>
      <c r="R13" s="164"/>
      <c r="S13" s="169"/>
      <c r="T13" s="169"/>
      <c r="U13" s="169"/>
      <c r="V13" s="169"/>
      <c r="W13" s="169"/>
      <c r="X13" s="169"/>
      <c r="Y13" s="16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row>
    <row r="14" spans="2:53" ht="17.399999999999999" customHeight="1">
      <c r="B14" s="160"/>
      <c r="C14" s="173"/>
      <c r="D14" s="162"/>
      <c r="E14" s="162"/>
      <c r="F14" s="162"/>
      <c r="G14" s="162"/>
      <c r="H14" s="162"/>
      <c r="I14" s="162"/>
      <c r="J14" s="170"/>
      <c r="K14" s="162"/>
      <c r="L14" s="162"/>
      <c r="M14" s="162"/>
      <c r="N14" s="167"/>
      <c r="O14" s="168"/>
      <c r="P14" s="164"/>
      <c r="Q14" s="164"/>
      <c r="R14" s="164"/>
      <c r="S14" s="164"/>
      <c r="T14" s="164"/>
      <c r="U14" s="164"/>
      <c r="V14" s="169"/>
      <c r="W14" s="169"/>
      <c r="X14" s="169"/>
      <c r="Y14" s="16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row>
    <row r="15" spans="2:53" ht="17.399999999999999" customHeight="1">
      <c r="B15" s="160"/>
      <c r="C15" s="162" t="s">
        <v>532</v>
      </c>
      <c r="D15" s="162"/>
      <c r="E15" s="162"/>
      <c r="F15" s="162"/>
      <c r="G15" s="162"/>
      <c r="H15" s="162"/>
      <c r="I15" s="162"/>
      <c r="J15" s="174"/>
      <c r="K15" s="2">
        <v>70</v>
      </c>
      <c r="L15" s="172" t="s">
        <v>12</v>
      </c>
      <c r="M15" s="162"/>
      <c r="N15" s="167"/>
      <c r="O15" s="168"/>
      <c r="P15" s="164"/>
      <c r="Q15" s="164"/>
      <c r="R15" s="164"/>
      <c r="S15" s="164"/>
      <c r="T15" s="164"/>
      <c r="U15" s="164"/>
      <c r="V15" s="169"/>
      <c r="W15" s="169"/>
      <c r="X15" s="169"/>
      <c r="Y15" s="16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row>
    <row r="16" spans="2:53" ht="17.399999999999999" customHeight="1">
      <c r="B16" s="160"/>
      <c r="C16" s="162"/>
      <c r="D16" s="162"/>
      <c r="E16" s="162"/>
      <c r="F16" s="162"/>
      <c r="G16" s="162"/>
      <c r="H16" s="162"/>
      <c r="I16" s="162"/>
      <c r="J16" s="176"/>
      <c r="K16" s="177"/>
      <c r="L16" s="162"/>
      <c r="M16" s="162"/>
      <c r="O16" s="168"/>
      <c r="P16" s="164"/>
      <c r="Q16" s="164"/>
      <c r="R16" s="164"/>
      <c r="S16" s="164"/>
      <c r="T16" s="164"/>
      <c r="U16" s="164"/>
      <c r="V16" s="169"/>
      <c r="W16" s="169"/>
      <c r="X16" s="169"/>
      <c r="Y16" s="16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row>
    <row r="17" spans="2:53" ht="17.399999999999999" customHeight="1">
      <c r="B17" s="160"/>
      <c r="C17" s="162"/>
      <c r="D17" s="162"/>
      <c r="E17" s="162"/>
      <c r="F17" s="162"/>
      <c r="G17" s="162"/>
      <c r="H17" s="162"/>
      <c r="I17" s="162"/>
      <c r="J17" s="176"/>
      <c r="K17" s="171"/>
      <c r="L17" s="178"/>
      <c r="M17" s="162"/>
      <c r="O17" s="168"/>
      <c r="P17" s="164"/>
      <c r="Q17" s="164"/>
      <c r="R17" s="164"/>
      <c r="S17" s="164"/>
      <c r="T17" s="164"/>
      <c r="U17" s="164"/>
      <c r="V17" s="169"/>
      <c r="W17" s="169"/>
      <c r="X17" s="169"/>
      <c r="Y17" s="16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row>
    <row r="18" spans="2:53" ht="17.399999999999999" customHeight="1">
      <c r="C18" s="183" t="s">
        <v>535</v>
      </c>
      <c r="O18" s="168"/>
      <c r="P18" s="164"/>
      <c r="Q18" s="164"/>
      <c r="R18" s="164"/>
      <c r="S18" s="164"/>
      <c r="T18" s="164"/>
      <c r="U18" s="164"/>
      <c r="V18" s="169"/>
      <c r="W18" s="169"/>
      <c r="X18" s="169"/>
      <c r="Y18" s="16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row>
    <row r="19" spans="2:53" ht="17.399999999999999" customHeight="1">
      <c r="C19" s="183"/>
      <c r="O19" s="168"/>
      <c r="P19" s="164"/>
      <c r="Q19" s="164"/>
      <c r="R19" s="164"/>
      <c r="S19" s="164"/>
      <c r="T19" s="164"/>
      <c r="U19" s="164"/>
      <c r="V19" s="169"/>
      <c r="W19" s="169"/>
      <c r="X19" s="169"/>
      <c r="Y19" s="16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row>
    <row r="20" spans="2:53" ht="17.399999999999999" customHeight="1">
      <c r="C20" s="183" t="s">
        <v>766</v>
      </c>
      <c r="F20" s="489" t="str">
        <f>IF(F5="","",F5)</f>
        <v/>
      </c>
      <c r="G20" s="490"/>
      <c r="H20" s="490"/>
      <c r="I20" s="490"/>
      <c r="J20" s="490"/>
      <c r="K20" s="490"/>
      <c r="O20" s="168"/>
      <c r="P20" s="164"/>
      <c r="Q20" s="164"/>
      <c r="R20" s="164"/>
      <c r="S20" s="164"/>
      <c r="T20" s="164"/>
      <c r="U20" s="164"/>
      <c r="V20" s="169"/>
      <c r="W20" s="169"/>
      <c r="X20" s="169"/>
      <c r="Y20" s="16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row>
    <row r="21" spans="2:53" ht="17.399999999999999" customHeight="1">
      <c r="C21" s="183" t="s">
        <v>767</v>
      </c>
      <c r="F21" s="491" t="str">
        <f>IF(F7="","",F7)</f>
        <v>IMI Hydronic Engineering</v>
      </c>
      <c r="G21" s="490"/>
      <c r="H21" s="490"/>
      <c r="I21" s="490"/>
      <c r="J21" s="490"/>
      <c r="K21" s="490"/>
      <c r="O21" s="168"/>
      <c r="P21" s="164"/>
      <c r="Q21" s="164"/>
      <c r="R21" s="164"/>
      <c r="S21" s="164"/>
      <c r="T21" s="164"/>
      <c r="U21" s="164"/>
      <c r="V21" s="169"/>
      <c r="W21" s="169"/>
      <c r="X21" s="169"/>
      <c r="Y21" s="16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row>
    <row r="22" spans="2:53" ht="17.399999999999999" customHeight="1">
      <c r="C22" s="332" t="s">
        <v>768</v>
      </c>
      <c r="D22" s="331"/>
      <c r="E22" s="330"/>
      <c r="F22" s="492">
        <f ca="1">NOW()</f>
        <v>44656.337238425927</v>
      </c>
      <c r="G22" s="492"/>
      <c r="J22" s="329"/>
      <c r="O22" s="168"/>
      <c r="P22" s="164"/>
      <c r="Q22" s="164"/>
      <c r="R22" s="164"/>
      <c r="S22" s="164"/>
      <c r="T22" s="164"/>
      <c r="U22" s="164"/>
      <c r="V22" s="169"/>
      <c r="W22" s="169"/>
      <c r="X22" s="169"/>
      <c r="Y22" s="16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row>
    <row r="23" spans="2:53" ht="17.399999999999999" customHeight="1">
      <c r="C23" s="183"/>
      <c r="J23" s="329"/>
      <c r="O23" s="168"/>
      <c r="P23" s="164"/>
      <c r="Q23" s="164"/>
      <c r="R23" s="164"/>
      <c r="S23" s="164"/>
      <c r="T23" s="164"/>
      <c r="U23" s="164"/>
      <c r="V23" s="169"/>
      <c r="W23" s="169"/>
      <c r="X23" s="169"/>
      <c r="Y23" s="16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row>
    <row r="24" spans="2:53" ht="17.399999999999999" customHeight="1">
      <c r="C24" s="183" t="s">
        <v>536</v>
      </c>
      <c r="M24" s="184"/>
      <c r="O24" s="164"/>
      <c r="P24" s="164"/>
      <c r="Q24" s="164"/>
      <c r="R24" s="164"/>
      <c r="S24" s="164"/>
      <c r="T24" s="164"/>
      <c r="U24" s="164"/>
      <c r="V24" s="169"/>
      <c r="W24" s="169"/>
      <c r="X24" s="169"/>
      <c r="Y24" s="16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row>
    <row r="25" spans="2:53" ht="17.399999999999999" customHeight="1">
      <c r="L25" s="185"/>
      <c r="O25" s="164"/>
      <c r="P25" s="164"/>
      <c r="Q25" s="164"/>
      <c r="R25" s="164"/>
      <c r="S25" s="164"/>
      <c r="T25" s="164"/>
      <c r="U25" s="164"/>
      <c r="V25" s="169"/>
      <c r="W25" s="169"/>
      <c r="X25" s="169"/>
      <c r="Y25" s="16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row>
    <row r="26" spans="2:53" ht="17.399999999999999" customHeight="1">
      <c r="D26" s="157" t="s">
        <v>538</v>
      </c>
      <c r="J26" s="1">
        <f>K9</f>
        <v>3</v>
      </c>
      <c r="K26" s="157" t="s">
        <v>542</v>
      </c>
      <c r="L26"/>
      <c r="O26" s="164"/>
      <c r="P26" s="164"/>
      <c r="Q26" s="164"/>
      <c r="R26" s="164"/>
      <c r="S26" s="164"/>
      <c r="T26" s="164"/>
      <c r="U26" s="164"/>
      <c r="V26" s="169"/>
      <c r="W26" s="169"/>
      <c r="X26" s="169"/>
      <c r="Y26" s="16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row>
    <row r="27" spans="2:53" ht="17.399999999999999" customHeight="1">
      <c r="D27" s="157" t="s">
        <v>539</v>
      </c>
      <c r="J27" s="187">
        <f>K11</f>
        <v>1.5</v>
      </c>
      <c r="K27" s="157" t="s">
        <v>3</v>
      </c>
      <c r="L27"/>
      <c r="O27" s="164"/>
      <c r="P27" s="164"/>
      <c r="Q27" s="164"/>
      <c r="R27" s="164"/>
      <c r="S27" s="164"/>
      <c r="T27" s="164"/>
      <c r="U27" s="164"/>
      <c r="V27" s="169"/>
      <c r="W27" s="169"/>
      <c r="X27" s="169"/>
      <c r="Y27" s="16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row>
    <row r="28" spans="2:53" ht="17.399999999999999" customHeight="1">
      <c r="D28" s="157" t="s">
        <v>540</v>
      </c>
      <c r="J28" s="187">
        <f>K13</f>
        <v>3</v>
      </c>
      <c r="K28" s="157" t="s">
        <v>3</v>
      </c>
      <c r="L28" s="185"/>
      <c r="O28" s="164"/>
      <c r="P28" s="164"/>
      <c r="Q28" s="164"/>
      <c r="R28" s="164"/>
      <c r="S28" s="164"/>
      <c r="T28" s="164"/>
      <c r="U28" s="164"/>
      <c r="V28" s="169"/>
      <c r="W28" s="169"/>
      <c r="X28" s="169"/>
      <c r="Y28" s="16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row>
    <row r="29" spans="2:53" ht="17.399999999999999" customHeight="1">
      <c r="D29" s="157" t="s">
        <v>541</v>
      </c>
      <c r="J29" s="1">
        <f>K15</f>
        <v>70</v>
      </c>
      <c r="K29" s="220" t="s">
        <v>33</v>
      </c>
      <c r="L29" s="185"/>
      <c r="O29" s="164"/>
      <c r="P29" s="164"/>
      <c r="Q29" s="164"/>
      <c r="R29" s="164"/>
      <c r="S29" s="164"/>
      <c r="T29" s="164"/>
      <c r="U29" s="164"/>
      <c r="V29" s="169"/>
      <c r="W29" s="169"/>
      <c r="X29" s="169"/>
      <c r="Y29" s="16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row>
    <row r="30" spans="2:53" ht="17.399999999999999" customHeight="1">
      <c r="L30" s="185"/>
      <c r="O30" s="164"/>
      <c r="P30" s="164"/>
      <c r="Q30" s="164"/>
      <c r="R30" s="164"/>
      <c r="S30" s="164"/>
      <c r="T30" s="164"/>
      <c r="U30" s="164"/>
      <c r="V30" s="169"/>
      <c r="W30" s="169"/>
      <c r="X30" s="169"/>
      <c r="Y30" s="16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row>
    <row r="31" spans="2:53" ht="17.399999999999999" customHeight="1">
      <c r="C31" s="157" t="s">
        <v>553</v>
      </c>
      <c r="L31" s="185"/>
      <c r="O31" s="164"/>
      <c r="P31" s="164"/>
      <c r="Q31" s="164"/>
      <c r="R31" s="164"/>
      <c r="S31" s="164"/>
      <c r="T31" s="164"/>
      <c r="U31" s="164"/>
      <c r="V31" s="169"/>
      <c r="W31" s="169"/>
      <c r="X31" s="169"/>
      <c r="Y31" s="16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row>
    <row r="32" spans="2:53" ht="17.399999999999999" customHeight="1">
      <c r="L32" s="185"/>
      <c r="O32" s="164"/>
      <c r="P32" s="164"/>
      <c r="Q32" s="164"/>
      <c r="R32" s="164"/>
      <c r="S32" s="164"/>
      <c r="T32" s="164"/>
      <c r="U32" s="164"/>
      <c r="V32" s="169"/>
      <c r="W32" s="169"/>
      <c r="X32" s="169"/>
      <c r="Y32" s="16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row>
    <row r="33" spans="2:53" ht="17.399999999999999" customHeight="1">
      <c r="B33" s="210"/>
      <c r="C33" s="217" t="str">
        <f>'7'!C20</f>
        <v>Vento …6.1…</v>
      </c>
      <c r="D33" s="210"/>
      <c r="E33" s="210"/>
      <c r="F33" s="210"/>
      <c r="G33" s="210"/>
      <c r="H33" s="210" t="str">
        <f>IF('7'!D20="","","lub")</f>
        <v>lub</v>
      </c>
      <c r="I33" s="210"/>
      <c r="J33" s="234" t="str">
        <f>IF('7'!D20="","",'7'!D20)</f>
        <v>Vento …4.1…</v>
      </c>
      <c r="K33" s="210"/>
      <c r="L33" s="228"/>
      <c r="M33" s="210"/>
      <c r="O33" s="164"/>
      <c r="P33" s="164"/>
      <c r="Q33" s="164"/>
      <c r="R33" s="164"/>
      <c r="S33" s="164"/>
      <c r="T33" s="164"/>
      <c r="U33" s="164"/>
      <c r="V33" s="169"/>
      <c r="W33" s="169"/>
      <c r="X33" s="169"/>
      <c r="Y33" s="16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row>
    <row r="34" spans="2:53" ht="17.399999999999999" customHeight="1">
      <c r="L34" s="185"/>
      <c r="O34" s="164"/>
      <c r="P34" s="164"/>
      <c r="Q34" s="164"/>
      <c r="R34" s="164"/>
      <c r="S34" s="164"/>
      <c r="T34" s="164"/>
      <c r="U34" s="164"/>
      <c r="V34" s="169"/>
      <c r="W34" s="169"/>
      <c r="X34" s="169"/>
      <c r="Y34" s="16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row>
    <row r="35" spans="2:53" ht="17.399999999999999" customHeight="1">
      <c r="C35" s="157" t="s">
        <v>548</v>
      </c>
      <c r="L35" s="185"/>
      <c r="O35" s="164"/>
      <c r="P35" s="164"/>
      <c r="Q35" s="164"/>
      <c r="R35" s="164"/>
      <c r="S35" s="164"/>
      <c r="T35" s="164"/>
      <c r="U35" s="164"/>
      <c r="V35" s="169"/>
      <c r="W35" s="169"/>
      <c r="X35" s="169"/>
      <c r="Y35" s="16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row>
    <row r="36" spans="2:53" ht="17.399999999999999" customHeight="1">
      <c r="L36" s="185"/>
      <c r="O36" s="164"/>
      <c r="P36" s="164"/>
      <c r="Q36" s="164"/>
      <c r="R36" s="164"/>
      <c r="S36" s="164"/>
      <c r="T36" s="164"/>
      <c r="U36" s="164"/>
      <c r="V36" s="169"/>
      <c r="W36" s="169"/>
      <c r="X36" s="169"/>
      <c r="Y36" s="16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row>
    <row r="37" spans="2:53" ht="17.399999999999999" customHeight="1">
      <c r="C37" s="157" t="s">
        <v>549</v>
      </c>
      <c r="L37" s="185"/>
      <c r="O37" s="164"/>
      <c r="P37" s="164"/>
      <c r="Q37" s="164"/>
      <c r="R37" s="164"/>
      <c r="S37" s="164"/>
      <c r="T37" s="164"/>
      <c r="U37" s="164"/>
      <c r="V37" s="169"/>
      <c r="W37" s="169"/>
      <c r="X37" s="169"/>
      <c r="Y37" s="16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row>
    <row r="38" spans="2:53" ht="17.399999999999999" customHeight="1">
      <c r="C38" s="157" t="s">
        <v>550</v>
      </c>
      <c r="L38" s="185"/>
      <c r="O38" s="164"/>
      <c r="P38" s="164"/>
      <c r="Q38" s="164"/>
      <c r="R38" s="164"/>
      <c r="S38" s="164"/>
      <c r="T38" s="164"/>
      <c r="U38" s="164"/>
      <c r="V38" s="169"/>
      <c r="W38" s="169"/>
      <c r="X38" s="169"/>
      <c r="Y38" s="16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row>
    <row r="39" spans="2:53" ht="17.399999999999999" customHeight="1">
      <c r="C39" s="157" t="s">
        <v>551</v>
      </c>
      <c r="L39" s="185"/>
      <c r="O39" s="164"/>
      <c r="P39" s="164"/>
      <c r="Q39" s="164"/>
      <c r="R39" s="164"/>
      <c r="S39" s="164"/>
      <c r="T39" s="164"/>
      <c r="U39" s="164"/>
      <c r="V39" s="169"/>
      <c r="W39" s="169"/>
      <c r="X39" s="169"/>
      <c r="Y39" s="16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row>
    <row r="40" spans="2:53" ht="17.399999999999999" customHeight="1">
      <c r="C40" s="157" t="s">
        <v>552</v>
      </c>
      <c r="L40" s="185"/>
      <c r="O40" s="164"/>
      <c r="P40" s="164"/>
      <c r="Q40" s="164"/>
      <c r="R40" s="164"/>
      <c r="S40" s="164"/>
      <c r="T40" s="164"/>
      <c r="U40" s="164"/>
      <c r="V40" s="169"/>
      <c r="W40" s="169"/>
      <c r="X40" s="169"/>
      <c r="Y40" s="16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row>
    <row r="41" spans="2:53" ht="17.399999999999999" customHeight="1">
      <c r="L41" s="185"/>
      <c r="O41" s="164"/>
      <c r="P41" s="164"/>
      <c r="Q41" s="164"/>
      <c r="R41" s="164"/>
      <c r="S41" s="164"/>
      <c r="T41" s="164"/>
      <c r="U41" s="164"/>
      <c r="V41" s="169"/>
      <c r="W41" s="169"/>
      <c r="X41" s="169"/>
      <c r="Y41" s="16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row>
    <row r="42" spans="2:53" ht="17.399999999999999" customHeight="1">
      <c r="B42" s="160"/>
      <c r="C42" s="160"/>
      <c r="D42" s="160"/>
      <c r="E42" s="160"/>
      <c r="F42" s="160"/>
      <c r="G42" s="160"/>
      <c r="H42" s="160"/>
      <c r="I42" s="160"/>
      <c r="J42" s="298"/>
      <c r="K42" s="160"/>
      <c r="L42" s="313"/>
      <c r="M42" s="160"/>
      <c r="O42" s="164"/>
      <c r="P42" s="164"/>
      <c r="Q42" s="164"/>
      <c r="R42" s="164"/>
      <c r="S42" s="164"/>
      <c r="T42" s="164"/>
      <c r="U42" s="164"/>
      <c r="V42" s="169"/>
      <c r="W42" s="169"/>
      <c r="X42" s="169"/>
      <c r="Y42" s="16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row>
    <row r="43" spans="2:53" ht="17.399999999999999" customHeight="1">
      <c r="B43" s="160"/>
      <c r="C43" s="160"/>
      <c r="D43" s="160"/>
      <c r="E43" s="160"/>
      <c r="F43" s="160"/>
      <c r="G43" s="160"/>
      <c r="H43" s="160"/>
      <c r="I43" s="160"/>
      <c r="J43" s="298"/>
      <c r="K43" s="160"/>
      <c r="L43" s="313"/>
      <c r="M43" s="160"/>
      <c r="O43" s="164"/>
      <c r="P43" s="164"/>
      <c r="Q43" s="164"/>
      <c r="R43" s="164"/>
      <c r="S43" s="164"/>
      <c r="T43" s="164"/>
      <c r="U43" s="164"/>
      <c r="V43" s="169"/>
      <c r="W43" s="169"/>
      <c r="X43" s="169"/>
      <c r="Y43" s="16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row>
    <row r="44" spans="2:53" ht="17.399999999999999" customHeight="1">
      <c r="L44" s="185"/>
      <c r="O44" s="164"/>
      <c r="P44" s="164"/>
      <c r="Q44" s="164"/>
      <c r="R44" s="164"/>
      <c r="S44" s="164"/>
      <c r="T44" s="164"/>
      <c r="U44" s="164"/>
      <c r="V44" s="169"/>
      <c r="W44" s="169"/>
      <c r="X44" s="169"/>
      <c r="Y44" s="16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row>
    <row r="45" spans="2:53" ht="17.399999999999999" customHeight="1">
      <c r="C45" s="157" t="s">
        <v>635</v>
      </c>
      <c r="L45" s="185"/>
      <c r="O45" s="164"/>
      <c r="P45" s="164"/>
      <c r="Q45" s="164"/>
      <c r="R45" s="164"/>
      <c r="S45" s="164"/>
      <c r="T45" s="164"/>
      <c r="U45" s="164"/>
      <c r="V45" s="169"/>
      <c r="W45" s="169"/>
      <c r="X45" s="169"/>
      <c r="Y45" s="16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row>
    <row r="46" spans="2:53" ht="17.399999999999999" customHeight="1">
      <c r="L46" s="185"/>
      <c r="O46" s="164"/>
      <c r="P46" s="164"/>
      <c r="Q46" s="164"/>
      <c r="R46" s="164"/>
      <c r="S46" s="164"/>
      <c r="T46" s="164"/>
      <c r="U46" s="164"/>
      <c r="V46" s="169"/>
      <c r="W46" s="169"/>
      <c r="X46" s="169"/>
      <c r="Y46" s="16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row>
    <row r="47" spans="2:53" ht="17.399999999999999" customHeight="1">
      <c r="L47" s="185"/>
      <c r="O47" s="164"/>
      <c r="P47" s="164"/>
      <c r="Q47" s="164"/>
      <c r="R47" s="164"/>
      <c r="S47" s="164"/>
      <c r="T47" s="164"/>
      <c r="U47" s="164"/>
      <c r="V47" s="169"/>
      <c r="W47" s="169"/>
      <c r="X47" s="169"/>
      <c r="Y47" s="16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row>
    <row r="48" spans="2:53" ht="17.399999999999999" customHeight="1">
      <c r="L48" s="185"/>
      <c r="N48" s="164"/>
      <c r="O48" s="164"/>
      <c r="P48" s="164"/>
      <c r="Q48" s="164"/>
      <c r="R48" s="164"/>
      <c r="S48" s="164"/>
      <c r="T48" s="164"/>
      <c r="U48" s="164"/>
      <c r="V48" s="169"/>
      <c r="W48" s="169"/>
      <c r="X48" s="169"/>
      <c r="Y48" s="16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row>
    <row r="49" spans="3:53" ht="17.399999999999999" customHeight="1">
      <c r="L49" s="185"/>
      <c r="N49" s="164"/>
      <c r="O49" s="164"/>
      <c r="P49" s="164"/>
      <c r="Q49" s="164"/>
      <c r="R49" s="164"/>
      <c r="S49" s="164"/>
      <c r="T49" s="164"/>
      <c r="U49" s="164"/>
      <c r="V49" s="169"/>
      <c r="W49" s="169"/>
      <c r="X49" s="169"/>
      <c r="Y49" s="16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row>
    <row r="50" spans="3:53" ht="17.399999999999999" customHeight="1">
      <c r="L50" s="185"/>
      <c r="N50" s="164"/>
      <c r="O50" s="164"/>
      <c r="P50" s="164"/>
      <c r="Q50" s="164"/>
      <c r="R50" s="164"/>
      <c r="S50" s="164"/>
      <c r="T50" s="164"/>
      <c r="U50" s="164"/>
      <c r="V50" s="169"/>
      <c r="W50" s="169"/>
      <c r="X50" s="169"/>
      <c r="Y50" s="16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row>
    <row r="51" spans="3:53" ht="17.399999999999999" customHeight="1">
      <c r="L51" s="185"/>
      <c r="N51" s="164"/>
      <c r="O51" s="164"/>
      <c r="P51" s="164"/>
      <c r="Q51" s="164"/>
      <c r="R51" s="164"/>
      <c r="S51" s="164"/>
      <c r="T51" s="164"/>
      <c r="U51" s="164"/>
      <c r="V51" s="169"/>
      <c r="W51" s="169"/>
      <c r="X51" s="169"/>
      <c r="Y51" s="16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row>
    <row r="52" spans="3:53" ht="17.399999999999999" customHeight="1">
      <c r="L52" s="185"/>
      <c r="N52" s="164"/>
      <c r="O52" s="164"/>
      <c r="P52" s="164"/>
      <c r="Q52" s="164"/>
      <c r="R52" s="164"/>
      <c r="S52" s="164"/>
      <c r="T52" s="164"/>
      <c r="U52" s="164"/>
      <c r="V52" s="169"/>
      <c r="W52" s="169"/>
      <c r="X52" s="169"/>
      <c r="Y52" s="16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row>
    <row r="53" spans="3:53" ht="17.399999999999999" customHeight="1">
      <c r="L53" s="185"/>
      <c r="N53" s="164"/>
      <c r="O53" s="164"/>
      <c r="P53" s="164"/>
      <c r="Q53" s="164"/>
      <c r="R53" s="164"/>
      <c r="S53" s="164"/>
      <c r="T53" s="164"/>
      <c r="U53" s="164"/>
      <c r="V53" s="169"/>
      <c r="W53" s="169"/>
      <c r="X53" s="169"/>
      <c r="Y53" s="16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row>
    <row r="54" spans="3:53" ht="17.399999999999999" customHeight="1">
      <c r="L54" s="185"/>
      <c r="O54" s="164"/>
      <c r="P54" s="164"/>
      <c r="Q54" s="164"/>
      <c r="R54" s="164"/>
      <c r="S54" s="164"/>
      <c r="T54" s="164"/>
      <c r="U54" s="164"/>
      <c r="V54" s="169"/>
      <c r="W54" s="169"/>
      <c r="X54" s="169"/>
      <c r="Y54" s="16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row>
    <row r="55" spans="3:53" ht="17.399999999999999" customHeight="1">
      <c r="L55" s="185"/>
      <c r="O55" s="164"/>
      <c r="P55" s="164"/>
      <c r="Q55" s="164"/>
      <c r="R55" s="164"/>
      <c r="S55" s="164"/>
      <c r="T55" s="164"/>
      <c r="U55" s="164"/>
      <c r="V55" s="169"/>
      <c r="W55" s="169"/>
      <c r="X55" s="169"/>
      <c r="Y55" s="16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row>
    <row r="56" spans="3:53" ht="17.399999999999999" customHeight="1">
      <c r="L56" s="185"/>
      <c r="O56" s="164"/>
      <c r="P56" s="164"/>
      <c r="Q56" s="164"/>
      <c r="R56" s="164"/>
      <c r="S56" s="164"/>
      <c r="T56" s="164"/>
      <c r="U56" s="164"/>
      <c r="V56" s="169"/>
      <c r="W56" s="169"/>
      <c r="X56" s="169"/>
      <c r="Y56" s="16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row>
    <row r="57" spans="3:53" ht="17.399999999999999" customHeight="1">
      <c r="L57" s="185"/>
      <c r="O57" s="164"/>
      <c r="P57" s="164"/>
      <c r="Q57" s="164"/>
      <c r="R57" s="164"/>
      <c r="S57" s="164"/>
      <c r="T57" s="164"/>
      <c r="U57" s="164"/>
      <c r="V57" s="169"/>
      <c r="W57" s="169"/>
      <c r="X57" s="169"/>
      <c r="Y57" s="16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row>
    <row r="58" spans="3:53" ht="17.399999999999999" customHeight="1">
      <c r="L58" s="185"/>
      <c r="O58" s="164"/>
      <c r="P58" s="164"/>
      <c r="Q58" s="164"/>
      <c r="R58" s="164"/>
      <c r="S58" s="164"/>
      <c r="T58" s="164"/>
      <c r="U58" s="164"/>
      <c r="V58" s="169"/>
      <c r="W58" s="169"/>
      <c r="X58" s="169"/>
      <c r="Y58" s="16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row>
    <row r="59" spans="3:53" ht="17.399999999999999" customHeight="1">
      <c r="L59" s="185"/>
      <c r="O59" s="164"/>
      <c r="P59" s="164"/>
      <c r="Q59" s="164"/>
      <c r="R59" s="164"/>
      <c r="S59" s="164"/>
      <c r="T59" s="164"/>
      <c r="U59" s="164"/>
      <c r="V59" s="169"/>
      <c r="W59" s="169"/>
      <c r="X59" s="169"/>
      <c r="Y59" s="16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row>
    <row r="60" spans="3:53" ht="17.399999999999999" customHeight="1">
      <c r="C60" s="157" t="s">
        <v>555</v>
      </c>
      <c r="L60" s="185"/>
      <c r="O60" s="164"/>
      <c r="P60" s="164"/>
      <c r="Q60" s="164"/>
      <c r="R60" s="164"/>
      <c r="S60" s="164"/>
      <c r="T60" s="164"/>
      <c r="U60" s="164"/>
      <c r="V60" s="169"/>
      <c r="W60" s="169"/>
      <c r="X60" s="169"/>
      <c r="Y60" s="16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row>
    <row r="61" spans="3:53" ht="17.399999999999999" customHeight="1">
      <c r="F61" s="1"/>
      <c r="H61" s="206" t="str">
        <f>'7'!D25</f>
        <v>Vento V 4.1 E Connect</v>
      </c>
      <c r="I61" s="157" t="s">
        <v>142</v>
      </c>
      <c r="K61" s="200">
        <f>'7'!C25</f>
        <v>8121101</v>
      </c>
      <c r="L61" s="185"/>
      <c r="O61" s="164"/>
      <c r="P61" s="164"/>
      <c r="Q61" s="164"/>
      <c r="R61" s="164"/>
      <c r="S61" s="164"/>
      <c r="T61" s="164"/>
      <c r="U61" s="164"/>
      <c r="V61" s="169"/>
      <c r="W61" s="169"/>
      <c r="X61" s="169"/>
      <c r="Y61" s="16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row>
    <row r="62" spans="3:53" ht="17.399999999999999" customHeight="1">
      <c r="G62" s="206"/>
      <c r="H62" s="206"/>
      <c r="K62" s="473"/>
      <c r="L62" s="185"/>
      <c r="O62" s="164"/>
      <c r="P62" s="164"/>
      <c r="Q62" s="164"/>
      <c r="R62" s="164"/>
      <c r="S62" s="164"/>
      <c r="T62" s="164"/>
      <c r="U62" s="164"/>
      <c r="V62" s="169"/>
      <c r="W62" s="169"/>
      <c r="X62" s="169"/>
      <c r="Y62" s="16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row>
    <row r="63" spans="3:53" ht="17.399999999999999" customHeight="1">
      <c r="G63" s="158"/>
      <c r="L63" s="185"/>
      <c r="O63" s="164"/>
      <c r="P63" s="164"/>
      <c r="Q63" s="164"/>
      <c r="R63" s="164"/>
      <c r="S63" s="164"/>
      <c r="T63" s="164"/>
      <c r="U63" s="164"/>
      <c r="V63" s="169"/>
      <c r="W63" s="169"/>
      <c r="X63" s="169"/>
      <c r="Y63" s="16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row>
    <row r="64" spans="3:53" ht="17.399999999999999" customHeight="1">
      <c r="C64" s="210" t="s">
        <v>8</v>
      </c>
      <c r="D64" s="210"/>
      <c r="E64" s="210"/>
      <c r="F64" s="210"/>
      <c r="G64" s="210"/>
      <c r="H64" s="210"/>
      <c r="M64" s="222"/>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row>
    <row r="65" spans="2:53" ht="17.399999999999999" customHeight="1">
      <c r="B65" s="156"/>
      <c r="C65" s="156"/>
      <c r="D65" s="156"/>
      <c r="E65" s="156"/>
      <c r="F65" s="156"/>
      <c r="G65" s="156"/>
      <c r="H65" s="156"/>
      <c r="I65" s="156"/>
      <c r="J65" s="223"/>
      <c r="K65" s="156"/>
      <c r="L65" s="156"/>
      <c r="M65" s="156"/>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row>
    <row r="66" spans="2:53" ht="17.399999999999999" customHeight="1">
      <c r="B66" s="156"/>
      <c r="C66" s="156"/>
      <c r="D66" s="156"/>
      <c r="E66" s="156"/>
      <c r="F66" s="156"/>
      <c r="G66" s="156"/>
      <c r="H66" s="156"/>
      <c r="I66" s="156"/>
      <c r="J66" s="223"/>
      <c r="K66" s="156"/>
      <c r="L66" s="156"/>
      <c r="M66" s="156"/>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row>
    <row r="67" spans="2:53" ht="17.399999999999999" customHeight="1">
      <c r="B67" s="156"/>
      <c r="C67" s="156"/>
      <c r="D67" s="156"/>
      <c r="E67" s="156"/>
      <c r="F67" s="156"/>
      <c r="G67" s="156"/>
      <c r="H67" s="156"/>
      <c r="I67" s="156"/>
      <c r="J67" s="223"/>
      <c r="K67" s="156"/>
      <c r="L67" s="156"/>
      <c r="M67" s="156"/>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row>
    <row r="68" spans="2:53" ht="17.399999999999999" customHeight="1">
      <c r="B68" s="156"/>
      <c r="C68" s="156"/>
      <c r="D68" s="156"/>
      <c r="E68" s="156"/>
      <c r="F68" s="156"/>
      <c r="G68" s="156"/>
      <c r="H68" s="156"/>
      <c r="I68" s="156"/>
      <c r="J68" s="223"/>
      <c r="K68" s="156"/>
      <c r="L68" s="156"/>
      <c r="M68" s="156"/>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row>
    <row r="69" spans="2:53" ht="17.399999999999999" customHeight="1">
      <c r="B69" s="156"/>
      <c r="C69" s="156"/>
      <c r="D69" s="156"/>
      <c r="E69" s="156"/>
      <c r="F69" s="156"/>
      <c r="G69" s="156"/>
      <c r="H69" s="156"/>
      <c r="I69" s="156"/>
      <c r="J69" s="223"/>
      <c r="K69" s="156"/>
      <c r="L69" s="156"/>
      <c r="M69" s="156"/>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row>
    <row r="70" spans="2:53" ht="17.399999999999999" customHeight="1">
      <c r="B70" s="159"/>
      <c r="C70" s="156"/>
      <c r="D70" s="156"/>
      <c r="E70" s="156"/>
      <c r="F70" s="156"/>
      <c r="G70" s="156"/>
      <c r="H70" s="156"/>
      <c r="I70" s="156"/>
      <c r="J70" s="223"/>
      <c r="K70" s="156"/>
      <c r="L70" s="156"/>
      <c r="M70" s="156"/>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row>
    <row r="71" spans="2:53" ht="17.399999999999999" customHeight="1">
      <c r="B71" s="159"/>
      <c r="C71" s="159"/>
      <c r="D71" s="159"/>
      <c r="E71" s="159"/>
      <c r="F71" s="159"/>
      <c r="G71" s="159"/>
      <c r="H71" s="159"/>
      <c r="I71" s="159"/>
      <c r="J71" s="224"/>
      <c r="K71" s="159"/>
      <c r="L71" s="159"/>
      <c r="M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row>
    <row r="72" spans="2:53" ht="17.399999999999999" customHeight="1">
      <c r="B72" s="159"/>
      <c r="C72" s="159"/>
      <c r="D72" s="159"/>
      <c r="E72" s="159"/>
      <c r="F72" s="159"/>
      <c r="G72" s="159"/>
      <c r="H72" s="159"/>
      <c r="I72" s="159"/>
      <c r="J72" s="224"/>
      <c r="K72" s="159"/>
      <c r="L72" s="159"/>
      <c r="M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row>
    <row r="73" spans="2:53" ht="17.399999999999999" customHeight="1">
      <c r="B73" s="159"/>
      <c r="C73" s="159"/>
      <c r="D73" s="159"/>
      <c r="E73" s="159"/>
      <c r="F73" s="159"/>
      <c r="G73" s="159"/>
      <c r="H73" s="159"/>
      <c r="I73" s="159"/>
      <c r="J73" s="224"/>
      <c r="K73" s="159"/>
      <c r="L73" s="159"/>
      <c r="M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row>
    <row r="74" spans="2:53" ht="17.399999999999999" customHeight="1">
      <c r="B74" s="159"/>
      <c r="C74" s="159"/>
      <c r="D74" s="159"/>
      <c r="E74" s="159"/>
      <c r="F74" s="159"/>
      <c r="G74" s="159"/>
      <c r="H74" s="159"/>
      <c r="I74" s="159"/>
      <c r="J74" s="224"/>
      <c r="K74" s="159"/>
      <c r="L74" s="159"/>
      <c r="M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row>
    <row r="75" spans="2:53" ht="17.399999999999999" customHeight="1">
      <c r="B75" s="159"/>
      <c r="C75" s="159"/>
      <c r="D75" s="159"/>
      <c r="E75" s="159"/>
      <c r="F75" s="159"/>
      <c r="G75" s="159"/>
      <c r="H75" s="159"/>
      <c r="I75" s="159"/>
      <c r="J75" s="224"/>
      <c r="K75" s="159"/>
      <c r="L75" s="159"/>
      <c r="M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row>
    <row r="76" spans="2:53" ht="17.399999999999999" customHeight="1">
      <c r="B76" s="159"/>
      <c r="C76" s="159"/>
      <c r="D76" s="159"/>
      <c r="E76" s="159"/>
      <c r="F76" s="159"/>
      <c r="G76" s="159"/>
      <c r="H76" s="159"/>
      <c r="I76" s="159"/>
      <c r="J76" s="224"/>
      <c r="K76" s="159"/>
      <c r="L76" s="159"/>
      <c r="M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row>
    <row r="77" spans="2:53" ht="17.399999999999999" customHeight="1">
      <c r="B77" s="159"/>
      <c r="C77" s="159"/>
      <c r="D77" s="159"/>
      <c r="E77" s="159"/>
      <c r="F77" s="159"/>
      <c r="G77" s="159"/>
      <c r="H77" s="159"/>
      <c r="I77" s="159"/>
      <c r="J77" s="224"/>
      <c r="K77" s="159"/>
      <c r="L77" s="159"/>
      <c r="M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row>
    <row r="78" spans="2:53" ht="17.399999999999999" customHeight="1">
      <c r="B78" s="159"/>
      <c r="C78" s="159"/>
      <c r="D78" s="159"/>
      <c r="E78" s="159"/>
      <c r="F78" s="159"/>
      <c r="G78" s="159"/>
      <c r="H78" s="159"/>
      <c r="I78" s="159"/>
      <c r="J78" s="224"/>
      <c r="K78" s="159"/>
      <c r="L78" s="159"/>
      <c r="M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row>
    <row r="79" spans="2:53" ht="17.399999999999999" customHeight="1">
      <c r="B79" s="159"/>
      <c r="C79" s="159"/>
      <c r="D79" s="159"/>
      <c r="E79" s="159"/>
      <c r="F79" s="159"/>
      <c r="G79" s="159"/>
      <c r="H79" s="159"/>
      <c r="I79" s="159"/>
      <c r="J79" s="224"/>
      <c r="K79" s="159"/>
      <c r="L79" s="159"/>
      <c r="M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row>
    <row r="80" spans="2:53" ht="17.399999999999999" customHeight="1">
      <c r="B80" s="159"/>
      <c r="C80" s="159"/>
      <c r="D80" s="159"/>
      <c r="E80" s="159"/>
      <c r="F80" s="159"/>
      <c r="G80" s="159"/>
      <c r="H80" s="159"/>
      <c r="I80" s="159"/>
      <c r="J80" s="224"/>
      <c r="K80" s="159"/>
      <c r="L80" s="159"/>
      <c r="M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row>
    <row r="81" spans="2:53" ht="17.399999999999999" customHeight="1">
      <c r="B81" s="159"/>
      <c r="C81" s="159"/>
      <c r="D81" s="159"/>
      <c r="E81" s="159"/>
      <c r="F81" s="159"/>
      <c r="G81" s="159"/>
      <c r="H81" s="159"/>
      <c r="I81" s="159"/>
      <c r="J81" s="224"/>
      <c r="K81" s="159"/>
      <c r="L81" s="159"/>
      <c r="M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row>
    <row r="82" spans="2:53" ht="17.399999999999999" customHeight="1">
      <c r="B82" s="159"/>
      <c r="C82" s="159"/>
      <c r="D82" s="159"/>
      <c r="E82" s="159"/>
      <c r="F82" s="159"/>
      <c r="G82" s="159"/>
      <c r="H82" s="159"/>
      <c r="I82" s="159"/>
      <c r="J82" s="224"/>
      <c r="K82" s="159"/>
      <c r="L82" s="159"/>
      <c r="M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row>
    <row r="83" spans="2:53" ht="17.399999999999999" customHeight="1">
      <c r="B83" s="159"/>
      <c r="C83" s="159"/>
      <c r="D83" s="159"/>
      <c r="E83" s="159"/>
      <c r="F83" s="159"/>
      <c r="G83" s="159"/>
      <c r="H83" s="159"/>
      <c r="I83" s="159"/>
      <c r="J83" s="224"/>
      <c r="K83" s="159"/>
      <c r="L83" s="159"/>
      <c r="M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row>
    <row r="84" spans="2:53" ht="17.399999999999999" customHeight="1">
      <c r="B84" s="159"/>
      <c r="C84" s="159"/>
      <c r="D84" s="159"/>
      <c r="E84" s="159"/>
      <c r="F84" s="159"/>
      <c r="G84" s="159"/>
      <c r="H84" s="159"/>
      <c r="I84" s="159"/>
      <c r="J84" s="224"/>
      <c r="K84" s="159"/>
      <c r="L84" s="159"/>
      <c r="M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row>
    <row r="85" spans="2:53" ht="17.399999999999999" customHeight="1">
      <c r="B85" s="159"/>
      <c r="C85" s="159"/>
      <c r="D85" s="159"/>
      <c r="E85" s="159"/>
      <c r="F85" s="159"/>
      <c r="G85" s="159"/>
      <c r="H85" s="159"/>
      <c r="I85" s="159"/>
      <c r="J85" s="224"/>
      <c r="K85" s="159"/>
      <c r="L85" s="159"/>
      <c r="M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row>
    <row r="86" spans="2:53" ht="17.399999999999999" customHeight="1">
      <c r="B86" s="159"/>
      <c r="C86" s="159"/>
      <c r="D86" s="159"/>
      <c r="E86" s="159"/>
      <c r="F86" s="159"/>
      <c r="G86" s="159"/>
      <c r="H86" s="159"/>
      <c r="I86" s="159"/>
      <c r="J86" s="224"/>
      <c r="K86" s="159"/>
      <c r="L86" s="159"/>
      <c r="M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row>
    <row r="87" spans="2:53" ht="17.399999999999999" customHeight="1">
      <c r="B87" s="159"/>
      <c r="C87" s="159"/>
      <c r="D87" s="159"/>
      <c r="E87" s="159"/>
      <c r="F87" s="159"/>
      <c r="G87" s="159"/>
      <c r="H87" s="159"/>
      <c r="I87" s="159"/>
      <c r="J87" s="224"/>
      <c r="K87" s="159"/>
      <c r="L87" s="159"/>
      <c r="M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row>
    <row r="88" spans="2:53" ht="17.399999999999999" customHeight="1">
      <c r="B88" s="159"/>
      <c r="C88" s="159"/>
      <c r="D88" s="159"/>
      <c r="E88" s="159"/>
      <c r="F88" s="159"/>
      <c r="G88" s="159"/>
      <c r="H88" s="159"/>
      <c r="I88" s="159"/>
      <c r="J88" s="224"/>
      <c r="K88" s="159"/>
      <c r="L88" s="159"/>
      <c r="M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row>
    <row r="89" spans="2:53" ht="17.399999999999999" customHeight="1">
      <c r="B89" s="159"/>
      <c r="C89" s="159"/>
      <c r="D89" s="159"/>
      <c r="E89" s="159"/>
      <c r="F89" s="159"/>
      <c r="G89" s="159"/>
      <c r="H89" s="159"/>
      <c r="I89" s="159"/>
      <c r="J89" s="224"/>
      <c r="K89" s="159"/>
      <c r="L89" s="159"/>
      <c r="M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row>
    <row r="90" spans="2:53" ht="17.399999999999999" customHeight="1">
      <c r="B90" s="159"/>
      <c r="C90" s="159"/>
      <c r="D90" s="159"/>
      <c r="E90" s="159"/>
      <c r="F90" s="159"/>
      <c r="G90" s="159"/>
      <c r="H90" s="159"/>
      <c r="I90" s="159"/>
      <c r="J90" s="224"/>
      <c r="K90" s="159"/>
      <c r="L90" s="159"/>
      <c r="M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row>
    <row r="91" spans="2:53" ht="17.399999999999999" customHeight="1">
      <c r="B91" s="159"/>
      <c r="C91" s="159"/>
      <c r="D91" s="159"/>
      <c r="E91" s="159"/>
      <c r="F91" s="159"/>
      <c r="G91" s="159"/>
      <c r="H91" s="159"/>
      <c r="I91" s="159"/>
      <c r="J91" s="224"/>
      <c r="K91" s="159"/>
      <c r="L91" s="159"/>
      <c r="M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row>
    <row r="92" spans="2:53" ht="17.399999999999999" customHeight="1">
      <c r="B92" s="159"/>
      <c r="C92" s="159"/>
      <c r="D92" s="159"/>
      <c r="E92" s="159"/>
      <c r="F92" s="159"/>
      <c r="G92" s="159"/>
      <c r="H92" s="159"/>
      <c r="I92" s="159"/>
      <c r="J92" s="224"/>
      <c r="K92" s="159"/>
      <c r="L92" s="159"/>
      <c r="M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row>
    <row r="93" spans="2:53" ht="17.399999999999999" customHeight="1">
      <c r="B93" s="159"/>
      <c r="C93" s="159"/>
      <c r="D93" s="159"/>
      <c r="E93" s="159"/>
      <c r="F93" s="159"/>
      <c r="G93" s="159"/>
      <c r="H93" s="159"/>
      <c r="I93" s="159"/>
      <c r="J93" s="224"/>
      <c r="K93" s="159"/>
      <c r="L93" s="159"/>
      <c r="M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row>
    <row r="94" spans="2:53" ht="17.399999999999999" customHeight="1">
      <c r="B94" s="159"/>
      <c r="C94" s="159"/>
      <c r="D94" s="159"/>
      <c r="E94" s="159"/>
      <c r="F94" s="159"/>
      <c r="G94" s="159"/>
      <c r="H94" s="159"/>
      <c r="I94" s="159"/>
      <c r="J94" s="224"/>
      <c r="K94" s="159"/>
      <c r="L94" s="159"/>
      <c r="M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row>
    <row r="95" spans="2:53" ht="17.399999999999999" customHeight="1">
      <c r="B95" s="159"/>
      <c r="C95" s="159"/>
      <c r="D95" s="159"/>
      <c r="E95" s="159"/>
      <c r="F95" s="159"/>
      <c r="G95" s="159"/>
      <c r="H95" s="159"/>
      <c r="I95" s="159"/>
      <c r="J95" s="224"/>
      <c r="K95" s="159"/>
      <c r="L95" s="159"/>
      <c r="M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row>
    <row r="96" spans="2:53" ht="17.399999999999999" customHeight="1">
      <c r="B96" s="159"/>
      <c r="C96" s="159"/>
      <c r="D96" s="159"/>
      <c r="E96" s="159"/>
      <c r="F96" s="159"/>
      <c r="G96" s="159"/>
      <c r="H96" s="159"/>
      <c r="I96" s="159"/>
      <c r="J96" s="224"/>
      <c r="K96" s="159"/>
      <c r="L96" s="159"/>
      <c r="M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row>
    <row r="97" spans="2:53" ht="17.399999999999999" customHeight="1">
      <c r="B97" s="159"/>
      <c r="C97" s="159"/>
      <c r="D97" s="159"/>
      <c r="E97" s="159"/>
      <c r="F97" s="159"/>
      <c r="G97" s="159"/>
      <c r="H97" s="159"/>
      <c r="I97" s="159"/>
      <c r="J97" s="224"/>
      <c r="K97" s="159"/>
      <c r="L97" s="159"/>
      <c r="M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row>
    <row r="98" spans="2:53" ht="17.399999999999999" customHeight="1">
      <c r="B98" s="159"/>
      <c r="C98" s="159"/>
      <c r="D98" s="159"/>
      <c r="E98" s="159"/>
      <c r="F98" s="159"/>
      <c r="G98" s="159"/>
      <c r="H98" s="159"/>
      <c r="I98" s="159"/>
      <c r="J98" s="224"/>
      <c r="K98" s="159"/>
      <c r="L98" s="159"/>
      <c r="M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row>
    <row r="99" spans="2:53" ht="17.399999999999999" customHeight="1">
      <c r="B99" s="159"/>
      <c r="C99" s="159"/>
      <c r="D99" s="159"/>
      <c r="E99" s="159"/>
      <c r="F99" s="159"/>
      <c r="G99" s="159"/>
      <c r="H99" s="159"/>
      <c r="I99" s="159"/>
      <c r="J99" s="224"/>
      <c r="K99" s="159"/>
      <c r="L99" s="159"/>
      <c r="M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row>
    <row r="100" spans="2:53" ht="17.399999999999999" customHeight="1">
      <c r="B100" s="159"/>
      <c r="C100" s="159"/>
      <c r="D100" s="159"/>
      <c r="E100" s="159"/>
      <c r="F100" s="159"/>
      <c r="G100" s="159"/>
      <c r="H100" s="159"/>
      <c r="I100" s="159"/>
      <c r="J100" s="224"/>
      <c r="K100" s="159"/>
      <c r="L100" s="159"/>
      <c r="M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row>
    <row r="101" spans="2:53" ht="17.399999999999999" customHeight="1">
      <c r="B101" s="159"/>
      <c r="C101" s="159"/>
      <c r="D101" s="159"/>
      <c r="E101" s="159"/>
      <c r="F101" s="159"/>
      <c r="G101" s="159"/>
      <c r="H101" s="159"/>
      <c r="I101" s="159"/>
      <c r="J101" s="224"/>
      <c r="K101" s="159"/>
      <c r="L101" s="159"/>
      <c r="M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row>
    <row r="102" spans="2:53" ht="17.399999999999999" customHeight="1">
      <c r="B102" s="159"/>
      <c r="C102" s="159"/>
      <c r="D102" s="159"/>
      <c r="E102" s="159"/>
      <c r="F102" s="159"/>
      <c r="G102" s="159"/>
      <c r="H102" s="159"/>
      <c r="I102" s="159"/>
      <c r="J102" s="224"/>
      <c r="K102" s="159"/>
      <c r="L102" s="159"/>
      <c r="M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row>
    <row r="103" spans="2:53" ht="17.399999999999999" customHeight="1">
      <c r="B103" s="159"/>
      <c r="C103" s="159"/>
      <c r="D103" s="159"/>
      <c r="E103" s="159"/>
      <c r="F103" s="159"/>
      <c r="G103" s="159"/>
      <c r="H103" s="159"/>
      <c r="I103" s="159"/>
      <c r="J103" s="224"/>
      <c r="K103" s="159"/>
      <c r="L103" s="159"/>
      <c r="M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row>
    <row r="104" spans="2:53" ht="17.399999999999999" customHeight="1">
      <c r="B104" s="159"/>
      <c r="C104" s="159"/>
      <c r="D104" s="159"/>
      <c r="E104" s="159"/>
      <c r="F104" s="159"/>
      <c r="G104" s="159"/>
      <c r="H104" s="159"/>
      <c r="I104" s="159"/>
      <c r="J104" s="224"/>
      <c r="K104" s="159"/>
      <c r="L104" s="159"/>
      <c r="M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row>
    <row r="105" spans="2:53" ht="17.399999999999999" customHeight="1">
      <c r="B105" s="159"/>
      <c r="C105" s="159"/>
      <c r="D105" s="159"/>
      <c r="E105" s="159"/>
      <c r="F105" s="159"/>
      <c r="G105" s="159"/>
      <c r="H105" s="159"/>
      <c r="I105" s="159"/>
      <c r="J105" s="224"/>
      <c r="K105" s="159"/>
      <c r="L105" s="159"/>
      <c r="M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row>
    <row r="106" spans="2:53" ht="17.399999999999999" customHeight="1">
      <c r="B106" s="159"/>
      <c r="C106" s="159"/>
      <c r="D106" s="159"/>
      <c r="E106" s="159"/>
      <c r="F106" s="159"/>
      <c r="G106" s="159"/>
      <c r="H106" s="159"/>
      <c r="I106" s="159"/>
      <c r="J106" s="224"/>
      <c r="K106" s="159"/>
      <c r="L106" s="159"/>
      <c r="M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row>
    <row r="107" spans="2:53" ht="17.399999999999999" customHeight="1">
      <c r="B107" s="159"/>
      <c r="C107" s="159"/>
      <c r="D107" s="159"/>
      <c r="E107" s="159"/>
      <c r="F107" s="159"/>
      <c r="G107" s="159"/>
      <c r="H107" s="159"/>
      <c r="I107" s="159"/>
      <c r="J107" s="224"/>
      <c r="K107" s="159"/>
      <c r="L107" s="159"/>
      <c r="M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row>
    <row r="108" spans="2:53" ht="17.399999999999999" customHeight="1">
      <c r="B108" s="159"/>
      <c r="C108" s="159"/>
      <c r="D108" s="159"/>
      <c r="E108" s="159"/>
      <c r="F108" s="159"/>
      <c r="G108" s="159"/>
      <c r="H108" s="159"/>
      <c r="I108" s="159"/>
      <c r="J108" s="224"/>
      <c r="K108" s="159"/>
      <c r="L108" s="159"/>
      <c r="M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row>
    <row r="109" spans="2:53" ht="17.399999999999999" customHeight="1">
      <c r="B109" s="159"/>
      <c r="C109" s="159"/>
      <c r="D109" s="159"/>
      <c r="E109" s="159"/>
      <c r="F109" s="159"/>
      <c r="G109" s="159"/>
      <c r="H109" s="159"/>
      <c r="I109" s="159"/>
      <c r="J109" s="224"/>
      <c r="K109" s="159"/>
      <c r="L109" s="159"/>
      <c r="M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row>
    <row r="110" spans="2:53" ht="17.399999999999999" customHeight="1">
      <c r="B110" s="159"/>
      <c r="C110" s="159"/>
      <c r="D110" s="159"/>
      <c r="E110" s="159"/>
      <c r="F110" s="159"/>
      <c r="G110" s="159"/>
      <c r="H110" s="159"/>
      <c r="I110" s="159"/>
      <c r="J110" s="224"/>
      <c r="K110" s="159"/>
      <c r="L110" s="159"/>
      <c r="M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row>
    <row r="111" spans="2:53" ht="17.399999999999999" customHeight="1">
      <c r="B111" s="159"/>
      <c r="C111" s="159"/>
      <c r="D111" s="159"/>
      <c r="E111" s="159"/>
      <c r="F111" s="159"/>
      <c r="G111" s="159"/>
      <c r="H111" s="159"/>
      <c r="I111" s="159"/>
      <c r="J111" s="224"/>
      <c r="K111" s="159"/>
      <c r="L111" s="159"/>
      <c r="M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row>
    <row r="112" spans="2:53" ht="17.399999999999999" customHeight="1">
      <c r="B112" s="159"/>
      <c r="C112" s="159"/>
      <c r="D112" s="159"/>
      <c r="E112" s="159"/>
      <c r="F112" s="159"/>
      <c r="G112" s="159"/>
      <c r="H112" s="159"/>
      <c r="I112" s="159"/>
      <c r="J112" s="224"/>
      <c r="K112" s="159"/>
      <c r="L112" s="159"/>
      <c r="M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row>
    <row r="113" spans="2:53" ht="17.399999999999999" customHeight="1">
      <c r="B113" s="159"/>
      <c r="C113" s="159"/>
      <c r="D113" s="159"/>
      <c r="E113" s="159"/>
      <c r="F113" s="159"/>
      <c r="G113" s="159"/>
      <c r="H113" s="159"/>
      <c r="I113" s="159"/>
      <c r="J113" s="224"/>
      <c r="K113" s="159"/>
      <c r="L113" s="159"/>
      <c r="M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row>
    <row r="114" spans="2:53" ht="17.399999999999999" customHeight="1">
      <c r="B114" s="159"/>
      <c r="C114" s="159"/>
      <c r="D114" s="159"/>
      <c r="E114" s="159"/>
      <c r="F114" s="159"/>
      <c r="G114" s="159"/>
      <c r="H114" s="159"/>
      <c r="I114" s="159"/>
      <c r="J114" s="224"/>
      <c r="K114" s="159"/>
      <c r="L114" s="159"/>
      <c r="M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row>
    <row r="115" spans="2:53" ht="17.399999999999999" customHeight="1">
      <c r="B115" s="159"/>
      <c r="C115" s="159"/>
      <c r="D115" s="159"/>
      <c r="E115" s="159"/>
      <c r="F115" s="159"/>
      <c r="G115" s="159"/>
      <c r="H115" s="159"/>
      <c r="I115" s="159"/>
      <c r="J115" s="224"/>
      <c r="K115" s="159"/>
      <c r="L115" s="159"/>
      <c r="M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row>
    <row r="116" spans="2:53" ht="17.399999999999999" customHeight="1">
      <c r="B116" s="159"/>
      <c r="C116" s="159"/>
      <c r="D116" s="159"/>
      <c r="E116" s="159"/>
      <c r="F116" s="159"/>
      <c r="G116" s="159"/>
      <c r="H116" s="159"/>
      <c r="I116" s="159"/>
      <c r="J116" s="224"/>
      <c r="K116" s="159"/>
      <c r="L116" s="159"/>
      <c r="M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row>
    <row r="117" spans="2:53" ht="17.399999999999999" customHeight="1">
      <c r="B117" s="159"/>
      <c r="C117" s="159"/>
      <c r="D117" s="159"/>
      <c r="E117" s="159"/>
      <c r="F117" s="159"/>
      <c r="G117" s="159"/>
      <c r="H117" s="159"/>
      <c r="I117" s="159"/>
      <c r="J117" s="224"/>
      <c r="K117" s="159"/>
      <c r="L117" s="159"/>
      <c r="M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row>
    <row r="118" spans="2:53" ht="17.399999999999999" customHeight="1">
      <c r="B118" s="159"/>
      <c r="C118" s="159"/>
      <c r="D118" s="159"/>
      <c r="E118" s="159"/>
      <c r="F118" s="159"/>
      <c r="G118" s="159"/>
      <c r="H118" s="159"/>
      <c r="I118" s="159"/>
      <c r="J118" s="224"/>
      <c r="K118" s="159"/>
      <c r="L118" s="159"/>
      <c r="M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row>
    <row r="119" spans="2:53" ht="17.399999999999999" customHeight="1">
      <c r="B119" s="159"/>
      <c r="C119" s="159"/>
      <c r="D119" s="159"/>
      <c r="E119" s="159"/>
      <c r="F119" s="159"/>
      <c r="G119" s="159"/>
      <c r="H119" s="159"/>
      <c r="I119" s="159"/>
      <c r="J119" s="224"/>
      <c r="K119" s="159"/>
      <c r="L119" s="159"/>
      <c r="M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row>
    <row r="120" spans="2:53" ht="17.399999999999999" customHeight="1">
      <c r="B120" s="159"/>
      <c r="C120" s="159"/>
      <c r="D120" s="159"/>
      <c r="E120" s="159"/>
      <c r="F120" s="159"/>
      <c r="G120" s="159"/>
      <c r="H120" s="159"/>
      <c r="I120" s="159"/>
      <c r="J120" s="224"/>
      <c r="K120" s="159"/>
      <c r="L120" s="159"/>
      <c r="M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row>
    <row r="121" spans="2:53" ht="17.399999999999999" customHeight="1">
      <c r="B121" s="159"/>
      <c r="C121" s="159"/>
      <c r="D121" s="159"/>
      <c r="E121" s="159"/>
      <c r="F121" s="159"/>
      <c r="G121" s="159"/>
      <c r="H121" s="159"/>
      <c r="I121" s="159"/>
      <c r="J121" s="224"/>
      <c r="K121" s="159"/>
      <c r="L121" s="159"/>
      <c r="M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row>
    <row r="122" spans="2:53" ht="17.399999999999999" customHeight="1">
      <c r="B122" s="159"/>
      <c r="C122" s="159"/>
      <c r="D122" s="159"/>
      <c r="E122" s="159"/>
      <c r="F122" s="159"/>
      <c r="G122" s="159"/>
      <c r="H122" s="159"/>
      <c r="I122" s="159"/>
      <c r="J122" s="224"/>
      <c r="K122" s="159"/>
      <c r="L122" s="159"/>
      <c r="M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row>
    <row r="123" spans="2:53" ht="17.399999999999999" customHeight="1">
      <c r="B123" s="159"/>
      <c r="C123" s="159"/>
      <c r="D123" s="159"/>
      <c r="E123" s="159"/>
      <c r="F123" s="159"/>
      <c r="G123" s="159"/>
      <c r="H123" s="159"/>
      <c r="I123" s="159"/>
      <c r="J123" s="224"/>
      <c r="K123" s="159"/>
      <c r="L123" s="159"/>
      <c r="M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row>
    <row r="124" spans="2:53" ht="17.399999999999999" customHeight="1">
      <c r="B124" s="159"/>
      <c r="C124" s="159"/>
      <c r="D124" s="159"/>
      <c r="E124" s="159"/>
      <c r="F124" s="159"/>
      <c r="G124" s="159"/>
      <c r="H124" s="159"/>
      <c r="I124" s="159"/>
      <c r="J124" s="224"/>
      <c r="K124" s="159"/>
      <c r="L124" s="159"/>
      <c r="M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row>
    <row r="125" spans="2:53" ht="17.399999999999999" customHeight="1">
      <c r="B125" s="159"/>
      <c r="C125" s="159"/>
      <c r="D125" s="159"/>
      <c r="E125" s="159"/>
      <c r="F125" s="159"/>
      <c r="G125" s="159"/>
      <c r="H125" s="159"/>
      <c r="I125" s="159"/>
      <c r="J125" s="224"/>
      <c r="K125" s="159"/>
      <c r="L125" s="159"/>
      <c r="M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row>
    <row r="126" spans="2:53" ht="17.399999999999999" customHeight="1">
      <c r="B126" s="159"/>
      <c r="C126" s="159"/>
      <c r="D126" s="159"/>
      <c r="E126" s="159"/>
      <c r="F126" s="159"/>
      <c r="G126" s="159"/>
      <c r="H126" s="159"/>
      <c r="I126" s="159"/>
      <c r="J126" s="224"/>
      <c r="K126" s="159"/>
      <c r="L126" s="159"/>
      <c r="M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row>
    <row r="127" spans="2:53" ht="17.399999999999999" customHeight="1">
      <c r="B127" s="159"/>
      <c r="C127" s="159"/>
      <c r="D127" s="159"/>
      <c r="E127" s="159"/>
      <c r="F127" s="159"/>
      <c r="G127" s="159"/>
      <c r="H127" s="159"/>
      <c r="I127" s="159"/>
      <c r="J127" s="224"/>
      <c r="K127" s="159"/>
      <c r="L127" s="159"/>
      <c r="M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row>
    <row r="128" spans="2:53" ht="17.399999999999999" customHeight="1">
      <c r="B128" s="159"/>
      <c r="C128" s="159"/>
      <c r="D128" s="159"/>
      <c r="E128" s="159"/>
      <c r="F128" s="159"/>
      <c r="G128" s="159"/>
      <c r="H128" s="159"/>
      <c r="I128" s="159"/>
      <c r="J128" s="224"/>
      <c r="K128" s="159"/>
      <c r="L128" s="159"/>
      <c r="M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row>
    <row r="129" spans="2:53" ht="17.399999999999999" customHeight="1">
      <c r="B129" s="159"/>
      <c r="C129" s="159"/>
      <c r="D129" s="159"/>
      <c r="E129" s="159"/>
      <c r="F129" s="159"/>
      <c r="G129" s="159"/>
      <c r="H129" s="159"/>
      <c r="I129" s="159"/>
      <c r="J129" s="224"/>
      <c r="K129" s="159"/>
      <c r="L129" s="159"/>
      <c r="M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row>
    <row r="130" spans="2:53" ht="17.399999999999999" customHeight="1">
      <c r="B130" s="159"/>
      <c r="C130" s="159"/>
      <c r="D130" s="159"/>
      <c r="E130" s="159"/>
      <c r="F130" s="159"/>
      <c r="G130" s="159"/>
      <c r="H130" s="159"/>
      <c r="I130" s="159"/>
      <c r="J130" s="224"/>
      <c r="K130" s="159"/>
      <c r="L130" s="159"/>
      <c r="M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row>
    <row r="131" spans="2:53" ht="17.399999999999999" customHeight="1">
      <c r="B131" s="159"/>
      <c r="C131" s="159"/>
      <c r="D131" s="159"/>
      <c r="E131" s="159"/>
      <c r="F131" s="159"/>
      <c r="G131" s="159"/>
      <c r="H131" s="159"/>
      <c r="I131" s="159"/>
      <c r="J131" s="224"/>
      <c r="K131" s="159"/>
      <c r="L131" s="159"/>
      <c r="M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row>
    <row r="132" spans="2:53" ht="17.399999999999999" customHeight="1">
      <c r="B132" s="159"/>
      <c r="C132" s="159"/>
      <c r="D132" s="159"/>
      <c r="E132" s="159"/>
      <c r="F132" s="159"/>
      <c r="G132" s="159"/>
      <c r="H132" s="159"/>
      <c r="I132" s="159"/>
      <c r="J132" s="224"/>
      <c r="K132" s="159"/>
      <c r="L132" s="159"/>
      <c r="M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row>
    <row r="133" spans="2:53" ht="17.399999999999999" customHeight="1">
      <c r="B133" s="159"/>
      <c r="C133" s="159"/>
      <c r="D133" s="159"/>
      <c r="E133" s="159"/>
      <c r="F133" s="159"/>
      <c r="G133" s="159"/>
      <c r="H133" s="159"/>
      <c r="I133" s="159"/>
      <c r="J133" s="224"/>
      <c r="K133" s="159"/>
      <c r="L133" s="159"/>
      <c r="M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row>
    <row r="134" spans="2:53" ht="17.399999999999999" customHeight="1">
      <c r="B134" s="159"/>
      <c r="C134" s="159"/>
      <c r="D134" s="159"/>
      <c r="E134" s="159"/>
      <c r="F134" s="159"/>
      <c r="G134" s="159"/>
      <c r="H134" s="159"/>
      <c r="I134" s="159"/>
      <c r="J134" s="224"/>
      <c r="K134" s="159"/>
      <c r="L134" s="159"/>
      <c r="M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row>
    <row r="135" spans="2:53" ht="17.399999999999999" customHeight="1">
      <c r="B135" s="159"/>
      <c r="C135" s="159"/>
      <c r="D135" s="159"/>
      <c r="E135" s="159"/>
      <c r="F135" s="159"/>
      <c r="G135" s="159"/>
      <c r="H135" s="159"/>
      <c r="I135" s="159"/>
      <c r="J135" s="224"/>
      <c r="K135" s="159"/>
      <c r="L135" s="159"/>
      <c r="M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row>
    <row r="136" spans="2:53" ht="17.399999999999999" customHeight="1">
      <c r="B136" s="159"/>
      <c r="C136" s="159"/>
      <c r="D136" s="159"/>
      <c r="E136" s="159"/>
      <c r="F136" s="159"/>
      <c r="G136" s="159"/>
      <c r="H136" s="159"/>
      <c r="I136" s="159"/>
      <c r="J136" s="224"/>
      <c r="K136" s="159"/>
      <c r="L136" s="159"/>
      <c r="M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row>
    <row r="137" spans="2:53" ht="17.399999999999999" customHeight="1">
      <c r="B137" s="159"/>
      <c r="C137" s="159"/>
      <c r="D137" s="159"/>
      <c r="E137" s="159"/>
      <c r="F137" s="159"/>
      <c r="G137" s="159"/>
      <c r="H137" s="159"/>
      <c r="I137" s="159"/>
      <c r="J137" s="224"/>
      <c r="K137" s="159"/>
      <c r="L137" s="159"/>
      <c r="M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row>
    <row r="138" spans="2:53" ht="17.399999999999999" customHeight="1">
      <c r="B138" s="159"/>
      <c r="C138" s="159"/>
      <c r="D138" s="159"/>
      <c r="E138" s="159"/>
      <c r="F138" s="159"/>
      <c r="G138" s="159"/>
      <c r="H138" s="159"/>
      <c r="I138" s="159"/>
      <c r="J138" s="224"/>
      <c r="K138" s="159"/>
      <c r="L138" s="159"/>
      <c r="M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row>
    <row r="139" spans="2:53" ht="17.399999999999999" customHeight="1">
      <c r="B139" s="159"/>
      <c r="C139" s="159"/>
      <c r="D139" s="159"/>
      <c r="E139" s="159"/>
      <c r="F139" s="159"/>
      <c r="G139" s="159"/>
      <c r="H139" s="159"/>
      <c r="I139" s="159"/>
      <c r="J139" s="224"/>
      <c r="K139" s="159"/>
      <c r="L139" s="159"/>
      <c r="M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row>
    <row r="140" spans="2:53" ht="17.399999999999999" customHeight="1">
      <c r="B140" s="159"/>
      <c r="C140" s="159"/>
      <c r="D140" s="159"/>
      <c r="E140" s="159"/>
      <c r="F140" s="159"/>
      <c r="G140" s="159"/>
      <c r="H140" s="159"/>
      <c r="I140" s="159"/>
      <c r="J140" s="224"/>
      <c r="K140" s="159"/>
      <c r="L140" s="159"/>
      <c r="M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row>
    <row r="141" spans="2:53" ht="17.399999999999999" customHeight="1">
      <c r="B141" s="159"/>
      <c r="C141" s="159"/>
      <c r="D141" s="159"/>
      <c r="E141" s="159"/>
      <c r="F141" s="159"/>
      <c r="G141" s="159"/>
      <c r="H141" s="159"/>
      <c r="I141" s="159"/>
      <c r="J141" s="224"/>
      <c r="K141" s="159"/>
      <c r="L141" s="159"/>
      <c r="M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row>
    <row r="142" spans="2:53" ht="17.399999999999999" customHeight="1">
      <c r="B142" s="159"/>
      <c r="C142" s="159"/>
      <c r="D142" s="159"/>
      <c r="E142" s="159"/>
      <c r="F142" s="159"/>
      <c r="G142" s="159"/>
      <c r="H142" s="159"/>
      <c r="I142" s="159"/>
      <c r="J142" s="224"/>
      <c r="K142" s="159"/>
      <c r="L142" s="159"/>
      <c r="M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row>
    <row r="143" spans="2:53" ht="17.399999999999999" customHeight="1">
      <c r="B143" s="159"/>
      <c r="C143" s="159"/>
      <c r="D143" s="159"/>
      <c r="E143" s="159"/>
      <c r="F143" s="159"/>
      <c r="G143" s="159"/>
      <c r="H143" s="159"/>
      <c r="I143" s="159"/>
      <c r="J143" s="224"/>
      <c r="K143" s="159"/>
      <c r="L143" s="159"/>
      <c r="M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row>
    <row r="144" spans="2:53" ht="17.399999999999999" customHeight="1">
      <c r="B144" s="159"/>
      <c r="C144" s="159"/>
      <c r="D144" s="159"/>
      <c r="E144" s="159"/>
      <c r="F144" s="159"/>
      <c r="G144" s="159"/>
      <c r="H144" s="159"/>
      <c r="I144" s="159"/>
      <c r="J144" s="224"/>
      <c r="K144" s="159"/>
      <c r="L144" s="159"/>
      <c r="M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row>
    <row r="145" spans="2:53" ht="17.399999999999999" customHeight="1">
      <c r="B145" s="159"/>
      <c r="C145" s="159"/>
      <c r="D145" s="159"/>
      <c r="E145" s="159"/>
      <c r="F145" s="159"/>
      <c r="G145" s="159"/>
      <c r="H145" s="159"/>
      <c r="I145" s="159"/>
      <c r="J145" s="224"/>
      <c r="K145" s="159"/>
      <c r="L145" s="159"/>
      <c r="M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row>
    <row r="146" spans="2:53" ht="17.399999999999999" customHeight="1">
      <c r="B146" s="159"/>
      <c r="C146" s="159"/>
      <c r="D146" s="159"/>
      <c r="E146" s="159"/>
      <c r="F146" s="159"/>
      <c r="G146" s="159"/>
      <c r="H146" s="159"/>
      <c r="I146" s="159"/>
      <c r="J146" s="224"/>
      <c r="K146" s="159"/>
      <c r="L146" s="159"/>
      <c r="M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row>
    <row r="147" spans="2:53" ht="17.399999999999999" customHeight="1">
      <c r="B147" s="159"/>
      <c r="C147" s="159"/>
      <c r="D147" s="159"/>
      <c r="E147" s="159"/>
      <c r="F147" s="159"/>
      <c r="G147" s="159"/>
      <c r="H147" s="159"/>
      <c r="I147" s="159"/>
      <c r="J147" s="224"/>
      <c r="K147" s="159"/>
      <c r="L147" s="159"/>
      <c r="M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row>
    <row r="148" spans="2:53" ht="17.399999999999999" customHeight="1">
      <c r="B148" s="159"/>
      <c r="C148" s="159"/>
      <c r="D148" s="159"/>
      <c r="E148" s="159"/>
      <c r="F148" s="159"/>
      <c r="G148" s="159"/>
      <c r="H148" s="159"/>
      <c r="I148" s="159"/>
      <c r="J148" s="224"/>
      <c r="K148" s="159"/>
      <c r="L148" s="159"/>
      <c r="M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row>
    <row r="149" spans="2:53" ht="17.399999999999999" customHeight="1">
      <c r="B149" s="159"/>
      <c r="C149" s="159"/>
      <c r="D149" s="159"/>
      <c r="E149" s="159"/>
      <c r="F149" s="159"/>
      <c r="G149" s="159"/>
      <c r="H149" s="159"/>
      <c r="I149" s="159"/>
      <c r="J149" s="224"/>
      <c r="K149" s="159"/>
      <c r="L149" s="159"/>
      <c r="M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row>
    <row r="150" spans="2:53" ht="17.399999999999999" customHeight="1">
      <c r="B150" s="159"/>
      <c r="C150" s="159"/>
      <c r="D150" s="159"/>
      <c r="E150" s="159"/>
      <c r="F150" s="159"/>
      <c r="G150" s="159"/>
      <c r="H150" s="159"/>
      <c r="I150" s="159"/>
      <c r="J150" s="224"/>
      <c r="K150" s="159"/>
      <c r="L150" s="159"/>
      <c r="M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row>
    <row r="151" spans="2:53" ht="17.399999999999999" customHeight="1">
      <c r="B151" s="159"/>
      <c r="C151" s="159"/>
      <c r="D151" s="159"/>
      <c r="E151" s="159"/>
      <c r="F151" s="159"/>
      <c r="G151" s="159"/>
      <c r="H151" s="159"/>
      <c r="I151" s="159"/>
      <c r="J151" s="224"/>
      <c r="K151" s="159"/>
      <c r="L151" s="159"/>
      <c r="M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row>
    <row r="152" spans="2:53" ht="17.399999999999999" customHeight="1">
      <c r="B152" s="159"/>
      <c r="C152" s="159"/>
      <c r="D152" s="159"/>
      <c r="E152" s="159"/>
      <c r="F152" s="159"/>
      <c r="G152" s="159"/>
      <c r="H152" s="159"/>
      <c r="I152" s="159"/>
      <c r="J152" s="224"/>
      <c r="K152" s="159"/>
      <c r="L152" s="159"/>
      <c r="M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row>
    <row r="153" spans="2:53" ht="17.399999999999999" customHeight="1">
      <c r="B153" s="159"/>
      <c r="C153" s="159"/>
      <c r="D153" s="159"/>
      <c r="E153" s="159"/>
      <c r="F153" s="159"/>
      <c r="G153" s="159"/>
      <c r="H153" s="159"/>
      <c r="I153" s="159"/>
      <c r="J153" s="224"/>
      <c r="K153" s="159"/>
      <c r="L153" s="159"/>
      <c r="M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row>
    <row r="154" spans="2:53" ht="17.399999999999999" customHeight="1">
      <c r="B154" s="159"/>
      <c r="C154" s="159"/>
      <c r="D154" s="159"/>
      <c r="E154" s="159"/>
      <c r="F154" s="159"/>
      <c r="G154" s="159"/>
      <c r="H154" s="159"/>
      <c r="I154" s="159"/>
      <c r="J154" s="224"/>
      <c r="K154" s="159"/>
      <c r="L154" s="159"/>
      <c r="M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row>
    <row r="155" spans="2:53" ht="17.399999999999999" customHeight="1">
      <c r="B155" s="159"/>
      <c r="C155" s="159"/>
      <c r="D155" s="159"/>
      <c r="E155" s="159"/>
      <c r="F155" s="159"/>
      <c r="G155" s="159"/>
      <c r="H155" s="159"/>
      <c r="I155" s="159"/>
      <c r="J155" s="224"/>
      <c r="K155" s="159"/>
      <c r="L155" s="159"/>
      <c r="M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row>
    <row r="156" spans="2:53" ht="17.399999999999999" customHeight="1">
      <c r="B156" s="159"/>
      <c r="C156" s="159"/>
      <c r="D156" s="159"/>
      <c r="E156" s="159"/>
      <c r="F156" s="159"/>
      <c r="G156" s="159"/>
      <c r="H156" s="159"/>
      <c r="I156" s="159"/>
      <c r="J156" s="224"/>
      <c r="K156" s="159"/>
      <c r="L156" s="159"/>
      <c r="M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row>
    <row r="157" spans="2:53" ht="17.399999999999999" customHeight="1">
      <c r="B157" s="159"/>
      <c r="C157" s="159"/>
      <c r="D157" s="159"/>
      <c r="E157" s="159"/>
      <c r="F157" s="159"/>
      <c r="G157" s="159"/>
      <c r="H157" s="159"/>
      <c r="I157" s="159"/>
      <c r="J157" s="224"/>
      <c r="K157" s="159"/>
      <c r="L157" s="159"/>
      <c r="M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row>
    <row r="158" spans="2:53" ht="17.399999999999999" customHeight="1">
      <c r="B158" s="159"/>
      <c r="C158" s="159"/>
      <c r="D158" s="159"/>
      <c r="E158" s="159"/>
      <c r="F158" s="159"/>
      <c r="G158" s="159"/>
      <c r="H158" s="159"/>
      <c r="I158" s="159"/>
      <c r="J158" s="224"/>
      <c r="K158" s="159"/>
      <c r="L158" s="159"/>
      <c r="M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row>
    <row r="159" spans="2:53" ht="17.399999999999999" customHeight="1">
      <c r="B159" s="159"/>
      <c r="C159" s="159"/>
      <c r="D159" s="159"/>
      <c r="E159" s="159"/>
      <c r="F159" s="159"/>
      <c r="G159" s="159"/>
      <c r="H159" s="159"/>
      <c r="I159" s="159"/>
      <c r="J159" s="224"/>
      <c r="K159" s="159"/>
      <c r="L159" s="159"/>
      <c r="M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row>
    <row r="160" spans="2:53" ht="17.399999999999999" customHeight="1">
      <c r="B160" s="159"/>
      <c r="C160" s="159"/>
      <c r="D160" s="159"/>
      <c r="E160" s="159"/>
      <c r="F160" s="159"/>
      <c r="G160" s="159"/>
      <c r="H160" s="159"/>
      <c r="I160" s="159"/>
      <c r="J160" s="224"/>
      <c r="K160" s="159"/>
      <c r="L160" s="159"/>
      <c r="M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row>
    <row r="161" spans="2:53" ht="17.399999999999999" customHeight="1">
      <c r="B161" s="159"/>
      <c r="C161" s="159"/>
      <c r="D161" s="159"/>
      <c r="E161" s="159"/>
      <c r="F161" s="159"/>
      <c r="G161" s="159"/>
      <c r="H161" s="159"/>
      <c r="I161" s="159"/>
      <c r="J161" s="224"/>
      <c r="K161" s="159"/>
      <c r="L161" s="159"/>
      <c r="M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row>
    <row r="162" spans="2:53" ht="17.399999999999999" customHeight="1">
      <c r="B162" s="159"/>
      <c r="C162" s="159"/>
      <c r="D162" s="159"/>
      <c r="E162" s="159"/>
      <c r="F162" s="159"/>
      <c r="G162" s="159"/>
      <c r="H162" s="159"/>
      <c r="I162" s="159"/>
      <c r="J162" s="224"/>
      <c r="K162" s="159"/>
      <c r="L162" s="159"/>
      <c r="M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row>
    <row r="163" spans="2:53" ht="17.399999999999999" customHeight="1">
      <c r="B163" s="159"/>
      <c r="C163" s="159"/>
      <c r="D163" s="159"/>
      <c r="E163" s="159"/>
      <c r="F163" s="159"/>
      <c r="G163" s="159"/>
      <c r="H163" s="159"/>
      <c r="I163" s="159"/>
      <c r="J163" s="224"/>
      <c r="K163" s="159"/>
      <c r="L163" s="159"/>
      <c r="M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row>
    <row r="164" spans="2:53" ht="17.399999999999999" customHeight="1">
      <c r="B164" s="159"/>
      <c r="C164" s="159"/>
      <c r="D164" s="159"/>
      <c r="E164" s="159"/>
      <c r="F164" s="159"/>
      <c r="G164" s="159"/>
      <c r="H164" s="159"/>
      <c r="I164" s="159"/>
      <c r="J164" s="224"/>
      <c r="K164" s="159"/>
      <c r="L164" s="159"/>
      <c r="M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row>
    <row r="165" spans="2:53" ht="17.399999999999999" customHeight="1">
      <c r="B165" s="159"/>
      <c r="C165" s="159"/>
      <c r="D165" s="159"/>
      <c r="E165" s="159"/>
      <c r="F165" s="159"/>
      <c r="G165" s="159"/>
      <c r="H165" s="159"/>
      <c r="I165" s="159"/>
      <c r="J165" s="224"/>
      <c r="K165" s="159"/>
      <c r="L165" s="159"/>
      <c r="M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row>
    <row r="166" spans="2:53" ht="17.399999999999999" customHeight="1">
      <c r="B166" s="159"/>
      <c r="C166" s="159"/>
      <c r="D166" s="159"/>
      <c r="E166" s="159"/>
      <c r="F166" s="159"/>
      <c r="G166" s="159"/>
      <c r="H166" s="159"/>
      <c r="I166" s="159"/>
      <c r="J166" s="224"/>
      <c r="K166" s="159"/>
      <c r="L166" s="159"/>
      <c r="M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row>
    <row r="167" spans="2:53" ht="17.399999999999999" customHeight="1">
      <c r="B167" s="159"/>
      <c r="C167" s="159"/>
      <c r="D167" s="159"/>
      <c r="E167" s="159"/>
      <c r="F167" s="159"/>
      <c r="G167" s="159"/>
      <c r="H167" s="159"/>
      <c r="I167" s="159"/>
      <c r="J167" s="224"/>
      <c r="K167" s="159"/>
      <c r="L167" s="159"/>
      <c r="M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row>
    <row r="168" spans="2:53" ht="17.399999999999999" customHeight="1">
      <c r="B168" s="159"/>
      <c r="C168" s="159"/>
      <c r="D168" s="159"/>
      <c r="E168" s="159"/>
      <c r="F168" s="159"/>
      <c r="G168" s="159"/>
      <c r="H168" s="159"/>
      <c r="I168" s="159"/>
      <c r="J168" s="224"/>
      <c r="K168" s="159"/>
      <c r="L168" s="159"/>
      <c r="M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row>
    <row r="169" spans="2:53" ht="17.399999999999999" customHeight="1">
      <c r="B169" s="159"/>
      <c r="C169" s="159"/>
      <c r="D169" s="159"/>
      <c r="E169" s="159"/>
      <c r="F169" s="159"/>
      <c r="G169" s="159"/>
      <c r="H169" s="159"/>
      <c r="I169" s="159"/>
      <c r="J169" s="224"/>
      <c r="K169" s="159"/>
      <c r="L169" s="159"/>
      <c r="M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row>
    <row r="170" spans="2:53" ht="17.399999999999999" customHeight="1">
      <c r="B170" s="159"/>
      <c r="C170" s="159"/>
      <c r="D170" s="159"/>
      <c r="E170" s="159"/>
      <c r="F170" s="159"/>
      <c r="G170" s="159"/>
      <c r="H170" s="159"/>
      <c r="I170" s="159"/>
      <c r="J170" s="224"/>
      <c r="K170" s="159"/>
      <c r="L170" s="159"/>
      <c r="M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row>
    <row r="171" spans="2:53" ht="17.399999999999999" customHeight="1">
      <c r="B171" s="159"/>
      <c r="C171" s="159"/>
      <c r="D171" s="159"/>
      <c r="E171" s="159"/>
      <c r="F171" s="159"/>
      <c r="G171" s="159"/>
      <c r="H171" s="159"/>
      <c r="I171" s="159"/>
      <c r="J171" s="224"/>
      <c r="K171" s="159"/>
      <c r="L171" s="159"/>
      <c r="M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row>
    <row r="172" spans="2:53" ht="17.399999999999999" customHeight="1">
      <c r="B172" s="159"/>
      <c r="C172" s="159"/>
      <c r="D172" s="159"/>
      <c r="E172" s="159"/>
      <c r="F172" s="159"/>
      <c r="G172" s="159"/>
      <c r="H172" s="159"/>
      <c r="I172" s="159"/>
      <c r="J172" s="224"/>
      <c r="K172" s="159"/>
      <c r="L172" s="159"/>
      <c r="M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row>
    <row r="173" spans="2:53" ht="17.399999999999999" customHeight="1">
      <c r="B173" s="159"/>
      <c r="C173" s="159"/>
      <c r="D173" s="159"/>
      <c r="E173" s="159"/>
      <c r="F173" s="159"/>
      <c r="G173" s="159"/>
      <c r="H173" s="159"/>
      <c r="I173" s="159"/>
      <c r="J173" s="224"/>
      <c r="K173" s="159"/>
      <c r="L173" s="159"/>
      <c r="M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row>
    <row r="174" spans="2:53" ht="17.399999999999999" customHeight="1">
      <c r="B174" s="159"/>
      <c r="C174" s="159"/>
      <c r="D174" s="159"/>
      <c r="E174" s="159"/>
      <c r="F174" s="159"/>
      <c r="G174" s="159"/>
      <c r="H174" s="159"/>
      <c r="I174" s="159"/>
      <c r="J174" s="224"/>
      <c r="K174" s="159"/>
      <c r="L174" s="159"/>
      <c r="M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row>
    <row r="175" spans="2:53" ht="17.399999999999999" customHeight="1">
      <c r="B175" s="159"/>
      <c r="C175" s="159"/>
      <c r="D175" s="159"/>
      <c r="E175" s="159"/>
      <c r="F175" s="159"/>
      <c r="G175" s="159"/>
      <c r="H175" s="159"/>
      <c r="I175" s="159"/>
      <c r="J175" s="224"/>
      <c r="K175" s="159"/>
      <c r="L175" s="159"/>
      <c r="M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row>
    <row r="176" spans="2:53" ht="17.399999999999999" customHeight="1">
      <c r="B176" s="159"/>
      <c r="C176" s="159"/>
      <c r="D176" s="159"/>
      <c r="E176" s="159"/>
      <c r="F176" s="159"/>
      <c r="G176" s="159"/>
      <c r="H176" s="159"/>
      <c r="I176" s="159"/>
      <c r="J176" s="224"/>
      <c r="K176" s="159"/>
      <c r="L176" s="159"/>
      <c r="M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row>
    <row r="177" spans="2:53" ht="17.399999999999999" customHeight="1">
      <c r="B177" s="159"/>
      <c r="C177" s="159"/>
      <c r="D177" s="159"/>
      <c r="E177" s="159"/>
      <c r="F177" s="159"/>
      <c r="G177" s="159"/>
      <c r="H177" s="159"/>
      <c r="I177" s="159"/>
      <c r="J177" s="224"/>
      <c r="K177" s="159"/>
      <c r="L177" s="159"/>
      <c r="M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row>
    <row r="178" spans="2:53" ht="17.399999999999999" customHeight="1">
      <c r="B178" s="159"/>
      <c r="C178" s="159"/>
      <c r="D178" s="159"/>
      <c r="E178" s="159"/>
      <c r="F178" s="159"/>
      <c r="G178" s="159"/>
      <c r="H178" s="159"/>
      <c r="I178" s="159"/>
      <c r="J178" s="224"/>
      <c r="K178" s="159"/>
      <c r="L178" s="159"/>
      <c r="M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row>
    <row r="179" spans="2:53" ht="17.399999999999999" customHeight="1">
      <c r="B179" s="159"/>
      <c r="C179" s="159"/>
      <c r="D179" s="159"/>
      <c r="E179" s="159"/>
      <c r="F179" s="159"/>
      <c r="G179" s="159"/>
      <c r="H179" s="159"/>
      <c r="I179" s="159"/>
      <c r="J179" s="224"/>
      <c r="K179" s="159"/>
      <c r="L179" s="159"/>
      <c r="M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row>
    <row r="180" spans="2:53" ht="17.399999999999999" customHeight="1">
      <c r="B180" s="159"/>
      <c r="C180" s="159"/>
      <c r="D180" s="159"/>
      <c r="E180" s="159"/>
      <c r="F180" s="159"/>
      <c r="G180" s="159"/>
      <c r="H180" s="159"/>
      <c r="I180" s="159"/>
      <c r="J180" s="224"/>
      <c r="K180" s="159"/>
      <c r="L180" s="159"/>
      <c r="M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row>
    <row r="181" spans="2:53" ht="17.399999999999999" customHeight="1">
      <c r="B181" s="159"/>
      <c r="C181" s="159"/>
      <c r="D181" s="159"/>
      <c r="E181" s="159"/>
      <c r="F181" s="159"/>
      <c r="G181" s="159"/>
      <c r="H181" s="159"/>
      <c r="I181" s="159"/>
      <c r="J181" s="224"/>
      <c r="K181" s="159"/>
      <c r="L181" s="159"/>
      <c r="M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row>
    <row r="182" spans="2:53" ht="17.399999999999999" customHeight="1">
      <c r="B182" s="159"/>
      <c r="C182" s="159"/>
      <c r="D182" s="159"/>
      <c r="E182" s="159"/>
      <c r="F182" s="159"/>
      <c r="G182" s="159"/>
      <c r="H182" s="159"/>
      <c r="I182" s="159"/>
      <c r="J182" s="224"/>
      <c r="K182" s="159"/>
      <c r="L182" s="159"/>
      <c r="M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row>
    <row r="183" spans="2:53" ht="17.399999999999999" customHeight="1">
      <c r="B183" s="159"/>
      <c r="C183" s="159"/>
      <c r="D183" s="159"/>
      <c r="E183" s="159"/>
      <c r="F183" s="159"/>
      <c r="G183" s="159"/>
      <c r="H183" s="159"/>
      <c r="I183" s="159"/>
      <c r="J183" s="224"/>
      <c r="K183" s="159"/>
      <c r="L183" s="159"/>
      <c r="M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row>
    <row r="184" spans="2:53" ht="17.399999999999999" customHeight="1">
      <c r="B184" s="159"/>
      <c r="C184" s="159"/>
      <c r="D184" s="159"/>
      <c r="E184" s="159"/>
      <c r="F184" s="159"/>
      <c r="G184" s="159"/>
      <c r="H184" s="159"/>
      <c r="I184" s="159"/>
      <c r="J184" s="224"/>
      <c r="K184" s="159"/>
      <c r="L184" s="159"/>
      <c r="M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row>
    <row r="185" spans="2:53" ht="17.399999999999999" customHeight="1">
      <c r="B185" s="159"/>
      <c r="C185" s="159"/>
      <c r="D185" s="159"/>
      <c r="E185" s="159"/>
      <c r="F185" s="159"/>
      <c r="G185" s="159"/>
      <c r="H185" s="159"/>
      <c r="I185" s="159"/>
      <c r="J185" s="224"/>
      <c r="K185" s="159"/>
      <c r="L185" s="159"/>
      <c r="M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row>
    <row r="186" spans="2:53" ht="17.399999999999999" customHeight="1">
      <c r="B186" s="159"/>
      <c r="C186" s="159"/>
      <c r="D186" s="159"/>
      <c r="E186" s="159"/>
      <c r="F186" s="159"/>
      <c r="G186" s="159"/>
      <c r="H186" s="159"/>
      <c r="I186" s="159"/>
      <c r="J186" s="224"/>
      <c r="K186" s="159"/>
      <c r="L186" s="159"/>
      <c r="M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row>
    <row r="187" spans="2:53" ht="17.399999999999999" customHeight="1">
      <c r="B187" s="159"/>
      <c r="C187" s="159"/>
      <c r="D187" s="159"/>
      <c r="E187" s="159"/>
      <c r="F187" s="159"/>
      <c r="G187" s="159"/>
      <c r="H187" s="159"/>
      <c r="I187" s="159"/>
      <c r="J187" s="224"/>
      <c r="K187" s="159"/>
      <c r="L187" s="159"/>
      <c r="M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row>
    <row r="188" spans="2:53" ht="17.399999999999999" customHeight="1">
      <c r="B188" s="159"/>
      <c r="C188" s="159"/>
      <c r="D188" s="159"/>
      <c r="E188" s="159"/>
      <c r="F188" s="159"/>
      <c r="G188" s="159"/>
      <c r="H188" s="159"/>
      <c r="I188" s="159"/>
      <c r="J188" s="224"/>
      <c r="K188" s="159"/>
      <c r="L188" s="159"/>
      <c r="M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row>
    <row r="189" spans="2:53" ht="17.399999999999999" customHeight="1">
      <c r="B189" s="159"/>
      <c r="C189" s="159"/>
      <c r="D189" s="159"/>
      <c r="E189" s="159"/>
      <c r="F189" s="159"/>
      <c r="G189" s="159"/>
      <c r="H189" s="159"/>
      <c r="I189" s="159"/>
      <c r="J189" s="224"/>
      <c r="K189" s="159"/>
      <c r="L189" s="159"/>
      <c r="M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row>
    <row r="190" spans="2:53" ht="17.399999999999999" customHeight="1">
      <c r="B190" s="159"/>
      <c r="C190" s="159"/>
      <c r="D190" s="159"/>
      <c r="E190" s="159"/>
      <c r="F190" s="159"/>
      <c r="G190" s="159"/>
      <c r="H190" s="159"/>
      <c r="I190" s="159"/>
      <c r="J190" s="224"/>
      <c r="K190" s="159"/>
      <c r="L190" s="159"/>
      <c r="M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row>
    <row r="191" spans="2:53" ht="17.399999999999999" customHeight="1">
      <c r="B191" s="159"/>
      <c r="C191" s="159"/>
      <c r="D191" s="159"/>
      <c r="E191" s="159"/>
      <c r="F191" s="159"/>
      <c r="G191" s="159"/>
      <c r="H191" s="159"/>
      <c r="I191" s="159"/>
      <c r="J191" s="224"/>
      <c r="K191" s="159"/>
      <c r="L191" s="159"/>
      <c r="M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row>
    <row r="192" spans="2:53" ht="17.399999999999999" customHeight="1">
      <c r="B192" s="159"/>
      <c r="C192" s="159"/>
      <c r="D192" s="159"/>
      <c r="E192" s="159"/>
      <c r="F192" s="159"/>
      <c r="G192" s="159"/>
      <c r="H192" s="159"/>
      <c r="I192" s="159"/>
      <c r="J192" s="224"/>
      <c r="K192" s="159"/>
      <c r="L192" s="159"/>
      <c r="M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row>
    <row r="193" spans="2:53" ht="17.399999999999999" customHeight="1">
      <c r="B193" s="159"/>
      <c r="C193" s="159"/>
      <c r="D193" s="159"/>
      <c r="E193" s="159"/>
      <c r="F193" s="159"/>
      <c r="G193" s="159"/>
      <c r="H193" s="159"/>
      <c r="I193" s="159"/>
      <c r="J193" s="224"/>
      <c r="K193" s="159"/>
      <c r="L193" s="159"/>
      <c r="M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row>
    <row r="194" spans="2:53" ht="17.399999999999999" customHeight="1">
      <c r="B194" s="159"/>
      <c r="C194" s="159"/>
      <c r="D194" s="159"/>
      <c r="E194" s="159"/>
      <c r="F194" s="159"/>
      <c r="G194" s="159"/>
      <c r="H194" s="159"/>
      <c r="I194" s="159"/>
      <c r="J194" s="224"/>
      <c r="K194" s="159"/>
      <c r="L194" s="159"/>
      <c r="M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row>
    <row r="195" spans="2:53" ht="17.399999999999999" customHeight="1">
      <c r="B195" s="159"/>
      <c r="C195" s="159"/>
      <c r="D195" s="159"/>
      <c r="E195" s="159"/>
      <c r="F195" s="159"/>
      <c r="G195" s="159"/>
      <c r="H195" s="159"/>
      <c r="I195" s="159"/>
      <c r="J195" s="224"/>
      <c r="K195" s="159"/>
      <c r="L195" s="159"/>
      <c r="M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row>
    <row r="196" spans="2:53" ht="17.399999999999999" customHeight="1">
      <c r="B196" s="159"/>
      <c r="C196" s="159"/>
      <c r="D196" s="159"/>
      <c r="E196" s="159"/>
      <c r="F196" s="159"/>
      <c r="G196" s="159"/>
      <c r="H196" s="159"/>
      <c r="I196" s="159"/>
      <c r="J196" s="224"/>
      <c r="K196" s="159"/>
      <c r="L196" s="159"/>
      <c r="M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row>
    <row r="197" spans="2:53" ht="17.399999999999999" customHeight="1">
      <c r="B197" s="159"/>
      <c r="C197" s="159"/>
      <c r="D197" s="159"/>
      <c r="E197" s="159"/>
      <c r="F197" s="159"/>
      <c r="G197" s="159"/>
      <c r="H197" s="159"/>
      <c r="I197" s="159"/>
      <c r="J197" s="224"/>
      <c r="K197" s="159"/>
      <c r="L197" s="159"/>
      <c r="M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row>
    <row r="198" spans="2:53" ht="17.399999999999999" customHeight="1">
      <c r="B198" s="159"/>
      <c r="C198" s="159"/>
      <c r="D198" s="159"/>
      <c r="E198" s="159"/>
      <c r="F198" s="159"/>
      <c r="G198" s="159"/>
      <c r="H198" s="159"/>
      <c r="I198" s="159"/>
      <c r="J198" s="224"/>
      <c r="K198" s="159"/>
      <c r="L198" s="159"/>
      <c r="M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row>
    <row r="199" spans="2:53" ht="17.399999999999999" customHeight="1">
      <c r="B199" s="159"/>
      <c r="C199" s="159"/>
      <c r="D199" s="159"/>
      <c r="E199" s="159"/>
      <c r="F199" s="159"/>
      <c r="G199" s="159"/>
      <c r="H199" s="159"/>
      <c r="I199" s="159"/>
      <c r="J199" s="224"/>
      <c r="K199" s="159"/>
      <c r="L199" s="159"/>
      <c r="M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row>
    <row r="200" spans="2:53" ht="17.399999999999999" customHeight="1">
      <c r="B200" s="159"/>
      <c r="C200" s="159"/>
      <c r="D200" s="159"/>
      <c r="E200" s="159"/>
      <c r="F200" s="159"/>
      <c r="G200" s="159"/>
      <c r="H200" s="159"/>
      <c r="I200" s="159"/>
      <c r="J200" s="224"/>
      <c r="K200" s="159"/>
      <c r="L200" s="159"/>
      <c r="M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row>
    <row r="201" spans="2:53" ht="17.399999999999999" customHeight="1">
      <c r="B201" s="159"/>
      <c r="C201" s="159"/>
      <c r="D201" s="159"/>
      <c r="E201" s="159"/>
      <c r="F201" s="159"/>
      <c r="G201" s="159"/>
      <c r="H201" s="159"/>
      <c r="I201" s="159"/>
      <c r="J201" s="224"/>
      <c r="K201" s="159"/>
      <c r="L201" s="159"/>
      <c r="M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row>
    <row r="202" spans="2:53" ht="17.399999999999999" customHeight="1">
      <c r="B202" s="159"/>
      <c r="C202" s="159"/>
      <c r="D202" s="159"/>
      <c r="E202" s="159"/>
      <c r="F202" s="159"/>
      <c r="G202" s="159"/>
      <c r="H202" s="159"/>
      <c r="I202" s="159"/>
      <c r="J202" s="224"/>
      <c r="K202" s="159"/>
      <c r="L202" s="159"/>
      <c r="M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row>
    <row r="203" spans="2:53" ht="17.399999999999999" customHeight="1">
      <c r="B203" s="159"/>
      <c r="C203" s="159"/>
      <c r="D203" s="159"/>
      <c r="E203" s="159"/>
      <c r="F203" s="159"/>
      <c r="G203" s="159"/>
      <c r="H203" s="159"/>
      <c r="I203" s="159"/>
      <c r="J203" s="224"/>
      <c r="K203" s="159"/>
      <c r="L203" s="159"/>
      <c r="M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row>
    <row r="204" spans="2:53" ht="17.399999999999999" customHeight="1">
      <c r="B204" s="159"/>
      <c r="C204" s="159"/>
      <c r="D204" s="159"/>
      <c r="E204" s="159"/>
      <c r="F204" s="159"/>
      <c r="G204" s="159"/>
      <c r="H204" s="159"/>
      <c r="I204" s="159"/>
      <c r="J204" s="224"/>
      <c r="K204" s="159"/>
      <c r="L204" s="159"/>
      <c r="M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row>
    <row r="205" spans="2:53" ht="17.399999999999999" customHeight="1">
      <c r="B205" s="159"/>
      <c r="C205" s="159"/>
      <c r="D205" s="159"/>
      <c r="E205" s="159"/>
      <c r="F205" s="159"/>
      <c r="G205" s="159"/>
      <c r="H205" s="159"/>
      <c r="I205" s="159"/>
      <c r="J205" s="224"/>
      <c r="K205" s="159"/>
      <c r="L205" s="159"/>
      <c r="M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row>
    <row r="206" spans="2:53" ht="17.399999999999999" customHeight="1">
      <c r="B206" s="159"/>
      <c r="C206" s="159"/>
      <c r="D206" s="159"/>
      <c r="E206" s="159"/>
      <c r="F206" s="159"/>
      <c r="G206" s="159"/>
      <c r="H206" s="159"/>
      <c r="I206" s="159"/>
      <c r="J206" s="224"/>
      <c r="K206" s="159"/>
      <c r="L206" s="159"/>
      <c r="M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row>
    <row r="207" spans="2:53" ht="17.399999999999999" customHeight="1">
      <c r="B207" s="159"/>
      <c r="C207" s="159"/>
      <c r="D207" s="159"/>
      <c r="E207" s="159"/>
      <c r="F207" s="159"/>
      <c r="G207" s="159"/>
      <c r="H207" s="159"/>
      <c r="I207" s="159"/>
      <c r="J207" s="224"/>
      <c r="K207" s="159"/>
      <c r="L207" s="159"/>
      <c r="M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row>
    <row r="208" spans="2:53" ht="17.399999999999999" customHeight="1">
      <c r="B208" s="159"/>
      <c r="C208" s="159"/>
      <c r="D208" s="159"/>
      <c r="E208" s="159"/>
      <c r="F208" s="159"/>
      <c r="G208" s="159"/>
      <c r="H208" s="159"/>
      <c r="I208" s="159"/>
      <c r="J208" s="224"/>
      <c r="K208" s="159"/>
      <c r="L208" s="159"/>
      <c r="M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row>
    <row r="209" spans="2:53" ht="17.399999999999999" customHeight="1">
      <c r="B209" s="159"/>
      <c r="C209" s="159"/>
      <c r="D209" s="159"/>
      <c r="E209" s="159"/>
      <c r="F209" s="159"/>
      <c r="G209" s="159"/>
      <c r="H209" s="159"/>
      <c r="I209" s="159"/>
      <c r="J209" s="224"/>
      <c r="K209" s="159"/>
      <c r="L209" s="159"/>
      <c r="M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row>
    <row r="210" spans="2:53" ht="17.399999999999999" customHeight="1">
      <c r="B210" s="159"/>
      <c r="C210" s="159"/>
      <c r="D210" s="159"/>
      <c r="E210" s="159"/>
      <c r="F210" s="159"/>
      <c r="G210" s="159"/>
      <c r="H210" s="159"/>
      <c r="I210" s="159"/>
      <c r="J210" s="224"/>
      <c r="K210" s="159"/>
      <c r="L210" s="159"/>
      <c r="M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row>
    <row r="211" spans="2:53" ht="17.399999999999999" customHeight="1">
      <c r="B211" s="159"/>
      <c r="C211" s="159"/>
      <c r="D211" s="159"/>
      <c r="E211" s="159"/>
      <c r="F211" s="159"/>
      <c r="G211" s="159"/>
      <c r="H211" s="159"/>
      <c r="I211" s="159"/>
      <c r="J211" s="224"/>
      <c r="K211" s="159"/>
      <c r="L211" s="159"/>
      <c r="M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row>
    <row r="212" spans="2:53" ht="17.399999999999999" customHeight="1">
      <c r="B212" s="159"/>
      <c r="C212" s="159"/>
      <c r="D212" s="159"/>
      <c r="E212" s="159"/>
      <c r="F212" s="159"/>
      <c r="G212" s="159"/>
      <c r="H212" s="159"/>
      <c r="I212" s="159"/>
      <c r="J212" s="224"/>
      <c r="K212" s="159"/>
      <c r="L212" s="159"/>
      <c r="M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row>
    <row r="213" spans="2:53" ht="17.399999999999999" customHeight="1">
      <c r="B213" s="159"/>
      <c r="C213" s="159"/>
      <c r="D213" s="159"/>
      <c r="E213" s="159"/>
      <c r="F213" s="159"/>
      <c r="G213" s="159"/>
      <c r="H213" s="159"/>
      <c r="I213" s="159"/>
      <c r="J213" s="224"/>
      <c r="K213" s="159"/>
      <c r="L213" s="159"/>
      <c r="M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row>
    <row r="214" spans="2:53" ht="17.399999999999999" customHeight="1">
      <c r="B214" s="159"/>
      <c r="C214" s="159"/>
      <c r="D214" s="159"/>
      <c r="E214" s="159"/>
      <c r="F214" s="159"/>
      <c r="G214" s="159"/>
      <c r="H214" s="159"/>
      <c r="I214" s="159"/>
      <c r="J214" s="224"/>
      <c r="K214" s="159"/>
      <c r="L214" s="159"/>
      <c r="M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row>
    <row r="215" spans="2:53" ht="17.399999999999999" customHeight="1">
      <c r="B215" s="159"/>
      <c r="C215" s="159"/>
      <c r="D215" s="159"/>
      <c r="E215" s="159"/>
      <c r="F215" s="159"/>
      <c r="G215" s="159"/>
      <c r="H215" s="159"/>
      <c r="I215" s="159"/>
      <c r="J215" s="224"/>
      <c r="K215" s="159"/>
      <c r="L215" s="159"/>
      <c r="M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row>
    <row r="216" spans="2:53" ht="17.399999999999999" customHeight="1">
      <c r="B216" s="159"/>
      <c r="C216" s="159"/>
      <c r="D216" s="159"/>
      <c r="E216" s="159"/>
      <c r="F216" s="159"/>
      <c r="G216" s="159"/>
      <c r="H216" s="159"/>
      <c r="I216" s="159"/>
      <c r="J216" s="224"/>
      <c r="K216" s="159"/>
      <c r="L216" s="159"/>
      <c r="M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row>
    <row r="217" spans="2:53" ht="17.399999999999999" customHeight="1">
      <c r="B217" s="159"/>
      <c r="C217" s="159"/>
      <c r="D217" s="159"/>
      <c r="E217" s="159"/>
      <c r="F217" s="159"/>
      <c r="G217" s="159"/>
      <c r="H217" s="159"/>
      <c r="I217" s="159"/>
      <c r="J217" s="224"/>
      <c r="K217" s="159"/>
      <c r="L217" s="159"/>
      <c r="M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row>
    <row r="218" spans="2:53" ht="17.399999999999999" customHeight="1">
      <c r="B218" s="159"/>
      <c r="C218" s="159"/>
      <c r="D218" s="159"/>
      <c r="E218" s="159"/>
      <c r="F218" s="159"/>
      <c r="G218" s="159"/>
      <c r="H218" s="159"/>
      <c r="I218" s="159"/>
      <c r="J218" s="224"/>
      <c r="K218" s="159"/>
      <c r="L218" s="159"/>
      <c r="M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row>
    <row r="219" spans="2:53" ht="17.399999999999999" customHeight="1">
      <c r="B219" s="159"/>
      <c r="C219" s="159"/>
      <c r="D219" s="159"/>
      <c r="E219" s="159"/>
      <c r="F219" s="159"/>
      <c r="G219" s="159"/>
      <c r="H219" s="159"/>
      <c r="I219" s="159"/>
      <c r="J219" s="224"/>
      <c r="K219" s="159"/>
      <c r="L219" s="159"/>
      <c r="M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row>
    <row r="220" spans="2:53" ht="17.399999999999999" customHeight="1">
      <c r="B220" s="159"/>
      <c r="C220" s="159"/>
      <c r="D220" s="159"/>
      <c r="E220" s="159"/>
      <c r="F220" s="159"/>
      <c r="G220" s="159"/>
      <c r="H220" s="159"/>
      <c r="I220" s="159"/>
      <c r="J220" s="224"/>
      <c r="K220" s="159"/>
      <c r="L220" s="159"/>
      <c r="M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row>
    <row r="221" spans="2:53" ht="17.399999999999999" customHeight="1">
      <c r="B221" s="159"/>
      <c r="C221" s="159"/>
      <c r="D221" s="159"/>
      <c r="E221" s="159"/>
      <c r="F221" s="159"/>
      <c r="G221" s="159"/>
      <c r="H221" s="159"/>
      <c r="I221" s="159"/>
      <c r="J221" s="224"/>
      <c r="K221" s="159"/>
      <c r="L221" s="159"/>
      <c r="M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row>
    <row r="222" spans="2:53" ht="17.399999999999999" customHeight="1">
      <c r="B222" s="159"/>
      <c r="C222" s="159"/>
      <c r="D222" s="159"/>
      <c r="E222" s="159"/>
      <c r="F222" s="159"/>
      <c r="G222" s="159"/>
      <c r="H222" s="159"/>
      <c r="I222" s="159"/>
      <c r="J222" s="224"/>
      <c r="K222" s="159"/>
      <c r="L222" s="159"/>
      <c r="M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row>
    <row r="223" spans="2:53" ht="17.399999999999999" customHeight="1">
      <c r="B223" s="159"/>
      <c r="C223" s="159"/>
      <c r="D223" s="159"/>
      <c r="E223" s="159"/>
      <c r="F223" s="159"/>
      <c r="G223" s="159"/>
      <c r="H223" s="159"/>
      <c r="I223" s="159"/>
      <c r="J223" s="224"/>
      <c r="K223" s="159"/>
      <c r="L223" s="159"/>
      <c r="M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row>
    <row r="224" spans="2:53" ht="17.399999999999999" customHeight="1">
      <c r="B224" s="159"/>
      <c r="C224" s="159"/>
      <c r="D224" s="159"/>
      <c r="E224" s="159"/>
      <c r="F224" s="159"/>
      <c r="G224" s="159"/>
      <c r="H224" s="159"/>
      <c r="I224" s="159"/>
      <c r="J224" s="224"/>
      <c r="K224" s="159"/>
      <c r="L224" s="159"/>
      <c r="M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row>
    <row r="225" spans="2:53" ht="17.399999999999999" customHeight="1">
      <c r="B225" s="159"/>
      <c r="C225" s="159"/>
      <c r="D225" s="159"/>
      <c r="E225" s="159"/>
      <c r="F225" s="159"/>
      <c r="G225" s="159"/>
      <c r="H225" s="159"/>
      <c r="I225" s="159"/>
      <c r="J225" s="224"/>
      <c r="K225" s="159"/>
      <c r="L225" s="159"/>
      <c r="M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row>
    <row r="226" spans="2:53" ht="17.399999999999999" customHeight="1">
      <c r="B226" s="159"/>
      <c r="C226" s="159"/>
      <c r="D226" s="159"/>
      <c r="E226" s="159"/>
      <c r="F226" s="159"/>
      <c r="G226" s="159"/>
      <c r="H226" s="159"/>
      <c r="I226" s="159"/>
      <c r="J226" s="224"/>
      <c r="K226" s="159"/>
      <c r="L226" s="159"/>
      <c r="M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row>
    <row r="227" spans="2:53" ht="17.399999999999999" customHeight="1">
      <c r="B227" s="159"/>
      <c r="C227" s="159"/>
      <c r="D227" s="159"/>
      <c r="E227" s="159"/>
      <c r="F227" s="159"/>
      <c r="G227" s="159"/>
      <c r="H227" s="159"/>
      <c r="I227" s="159"/>
      <c r="J227" s="224"/>
      <c r="K227" s="159"/>
      <c r="L227" s="159"/>
      <c r="M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row>
    <row r="228" spans="2:53" ht="17.399999999999999" customHeight="1">
      <c r="B228" s="159"/>
      <c r="C228" s="159"/>
      <c r="D228" s="159"/>
      <c r="E228" s="159"/>
      <c r="F228" s="159"/>
      <c r="G228" s="159"/>
      <c r="H228" s="159"/>
      <c r="I228" s="159"/>
      <c r="J228" s="224"/>
      <c r="K228" s="159"/>
      <c r="L228" s="159"/>
      <c r="M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row>
    <row r="229" spans="2:53" ht="17.399999999999999" customHeight="1">
      <c r="B229" s="159"/>
      <c r="C229" s="159"/>
      <c r="D229" s="159"/>
      <c r="E229" s="159"/>
      <c r="F229" s="159"/>
      <c r="G229" s="159"/>
      <c r="H229" s="159"/>
      <c r="I229" s="159"/>
      <c r="J229" s="224"/>
      <c r="K229" s="159"/>
      <c r="L229" s="159"/>
      <c r="M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row>
    <row r="230" spans="2:53" ht="17.399999999999999" customHeight="1">
      <c r="B230" s="159"/>
      <c r="C230" s="159"/>
      <c r="D230" s="159"/>
      <c r="E230" s="159"/>
      <c r="F230" s="159"/>
      <c r="G230" s="159"/>
      <c r="H230" s="159"/>
      <c r="I230" s="159"/>
      <c r="J230" s="224"/>
      <c r="K230" s="159"/>
      <c r="L230" s="159"/>
      <c r="M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row>
    <row r="231" spans="2:53" ht="17.399999999999999" customHeight="1">
      <c r="B231" s="159"/>
      <c r="C231" s="159"/>
      <c r="D231" s="159"/>
      <c r="E231" s="159"/>
      <c r="F231" s="159"/>
      <c r="G231" s="159"/>
      <c r="H231" s="159"/>
      <c r="I231" s="159"/>
      <c r="J231" s="224"/>
      <c r="K231" s="159"/>
      <c r="L231" s="159"/>
      <c r="M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row>
    <row r="232" spans="2:53" ht="17.399999999999999" customHeight="1">
      <c r="B232" s="159"/>
      <c r="C232" s="159"/>
      <c r="D232" s="159"/>
      <c r="E232" s="159"/>
      <c r="F232" s="159"/>
      <c r="G232" s="159"/>
      <c r="H232" s="159"/>
      <c r="I232" s="159"/>
      <c r="J232" s="224"/>
      <c r="K232" s="159"/>
      <c r="L232" s="159"/>
      <c r="M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row>
    <row r="233" spans="2:53" ht="17.399999999999999" customHeight="1">
      <c r="B233" s="159"/>
      <c r="C233" s="159"/>
      <c r="D233" s="159"/>
      <c r="E233" s="159"/>
      <c r="F233" s="159"/>
      <c r="G233" s="159"/>
      <c r="H233" s="159"/>
      <c r="I233" s="159"/>
      <c r="J233" s="224"/>
      <c r="K233" s="159"/>
      <c r="L233" s="159"/>
      <c r="M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row>
    <row r="234" spans="2:53" ht="17.399999999999999" customHeight="1">
      <c r="B234" s="159"/>
      <c r="C234" s="159"/>
      <c r="D234" s="159"/>
      <c r="E234" s="159"/>
      <c r="F234" s="159"/>
      <c r="G234" s="159"/>
      <c r="H234" s="159"/>
      <c r="I234" s="159"/>
      <c r="J234" s="224"/>
      <c r="K234" s="159"/>
      <c r="L234" s="159"/>
      <c r="M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row>
    <row r="235" spans="2:53" ht="17.399999999999999" customHeight="1">
      <c r="B235" s="159"/>
      <c r="C235" s="159"/>
      <c r="D235" s="159"/>
      <c r="E235" s="159"/>
      <c r="F235" s="159"/>
      <c r="G235" s="159"/>
      <c r="H235" s="159"/>
      <c r="I235" s="159"/>
      <c r="J235" s="224"/>
      <c r="K235" s="159"/>
      <c r="L235" s="159"/>
      <c r="M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row>
    <row r="236" spans="2:53" ht="17.399999999999999" customHeight="1">
      <c r="B236" s="159"/>
      <c r="C236" s="159"/>
      <c r="D236" s="159"/>
      <c r="E236" s="159"/>
      <c r="F236" s="159"/>
      <c r="G236" s="159"/>
      <c r="H236" s="159"/>
      <c r="I236" s="159"/>
      <c r="J236" s="224"/>
      <c r="K236" s="159"/>
      <c r="L236" s="159"/>
      <c r="M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row>
    <row r="237" spans="2:53" ht="17.399999999999999" customHeight="1">
      <c r="B237" s="159"/>
      <c r="C237" s="159"/>
      <c r="D237" s="159"/>
      <c r="E237" s="159"/>
      <c r="F237" s="159"/>
      <c r="G237" s="159"/>
      <c r="H237" s="159"/>
      <c r="I237" s="159"/>
      <c r="J237" s="224"/>
      <c r="K237" s="159"/>
      <c r="L237" s="159"/>
      <c r="M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row>
    <row r="238" spans="2:53" ht="17.399999999999999" customHeight="1">
      <c r="B238" s="159"/>
      <c r="C238" s="159"/>
      <c r="D238" s="159"/>
      <c r="E238" s="159"/>
      <c r="F238" s="159"/>
      <c r="G238" s="159"/>
      <c r="H238" s="159"/>
      <c r="I238" s="159"/>
      <c r="J238" s="224"/>
      <c r="K238" s="159"/>
      <c r="L238" s="159"/>
      <c r="M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row>
    <row r="239" spans="2:53" ht="17.399999999999999" customHeight="1">
      <c r="B239" s="159"/>
      <c r="C239" s="159"/>
      <c r="D239" s="159"/>
      <c r="E239" s="159"/>
      <c r="F239" s="159"/>
      <c r="G239" s="159"/>
      <c r="H239" s="159"/>
      <c r="I239" s="159"/>
      <c r="J239" s="224"/>
      <c r="K239" s="159"/>
      <c r="L239" s="159"/>
      <c r="M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row>
    <row r="240" spans="2:53" ht="17.399999999999999" customHeight="1">
      <c r="B240" s="159"/>
      <c r="C240" s="159"/>
      <c r="D240" s="159"/>
      <c r="E240" s="159"/>
      <c r="F240" s="159"/>
      <c r="G240" s="159"/>
      <c r="H240" s="159"/>
      <c r="I240" s="159"/>
      <c r="J240" s="224"/>
      <c r="K240" s="159"/>
      <c r="L240" s="159"/>
      <c r="M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row>
    <row r="241" spans="2:53" ht="17.399999999999999" customHeight="1">
      <c r="B241" s="159"/>
      <c r="C241" s="159"/>
      <c r="D241" s="159"/>
      <c r="E241" s="159"/>
      <c r="F241" s="159"/>
      <c r="G241" s="159"/>
      <c r="H241" s="159"/>
      <c r="I241" s="159"/>
      <c r="J241" s="224"/>
      <c r="K241" s="159"/>
      <c r="L241" s="159"/>
      <c r="M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row>
    <row r="242" spans="2:53" ht="17.399999999999999" customHeight="1">
      <c r="B242" s="159"/>
      <c r="C242" s="159"/>
      <c r="D242" s="159"/>
      <c r="E242" s="159"/>
      <c r="F242" s="159"/>
      <c r="G242" s="159"/>
      <c r="H242" s="159"/>
      <c r="I242" s="159"/>
      <c r="J242" s="224"/>
      <c r="K242" s="159"/>
      <c r="L242" s="159"/>
      <c r="M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row>
    <row r="243" spans="2:53" ht="17.399999999999999" customHeight="1">
      <c r="B243" s="159"/>
      <c r="C243" s="159"/>
      <c r="D243" s="159"/>
      <c r="E243" s="159"/>
      <c r="F243" s="159"/>
      <c r="G243" s="159"/>
      <c r="H243" s="159"/>
      <c r="I243" s="159"/>
      <c r="J243" s="224"/>
      <c r="K243" s="159"/>
      <c r="L243" s="159"/>
      <c r="M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row>
    <row r="244" spans="2:53" ht="17.399999999999999" customHeight="1">
      <c r="B244" s="159"/>
      <c r="C244" s="159"/>
      <c r="D244" s="159"/>
      <c r="E244" s="159"/>
      <c r="F244" s="159"/>
      <c r="G244" s="159"/>
      <c r="H244" s="159"/>
      <c r="I244" s="159"/>
      <c r="J244" s="224"/>
      <c r="K244" s="159"/>
      <c r="L244" s="159"/>
      <c r="M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row>
    <row r="245" spans="2:53" ht="17.399999999999999" customHeight="1">
      <c r="B245" s="159"/>
      <c r="C245" s="159"/>
      <c r="D245" s="159"/>
      <c r="E245" s="159"/>
      <c r="F245" s="159"/>
      <c r="G245" s="159"/>
      <c r="H245" s="159"/>
      <c r="I245" s="159"/>
      <c r="J245" s="224"/>
      <c r="K245" s="159"/>
      <c r="L245" s="159"/>
      <c r="M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row>
    <row r="246" spans="2:53" ht="17.399999999999999" customHeight="1">
      <c r="B246" s="159"/>
      <c r="C246" s="159"/>
      <c r="D246" s="159"/>
      <c r="E246" s="159"/>
      <c r="F246" s="159"/>
      <c r="G246" s="159"/>
      <c r="H246" s="159"/>
      <c r="I246" s="159"/>
      <c r="J246" s="224"/>
      <c r="K246" s="159"/>
      <c r="L246" s="159"/>
      <c r="M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row>
    <row r="247" spans="2:53" ht="17.399999999999999" customHeight="1">
      <c r="B247" s="159"/>
      <c r="C247" s="159"/>
      <c r="D247" s="159"/>
      <c r="E247" s="159"/>
      <c r="F247" s="159"/>
      <c r="G247" s="159"/>
      <c r="H247" s="159"/>
      <c r="I247" s="159"/>
      <c r="J247" s="224"/>
      <c r="K247" s="159"/>
      <c r="L247" s="159"/>
      <c r="M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row>
    <row r="248" spans="2:53" ht="17.399999999999999" customHeight="1">
      <c r="B248" s="159"/>
      <c r="C248" s="159"/>
      <c r="D248" s="159"/>
      <c r="E248" s="159"/>
      <c r="F248" s="159"/>
      <c r="G248" s="159"/>
      <c r="H248" s="159"/>
      <c r="I248" s="159"/>
      <c r="J248" s="224"/>
      <c r="K248" s="159"/>
      <c r="L248" s="159"/>
      <c r="M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row>
    <row r="249" spans="2:53" ht="17.399999999999999" customHeight="1">
      <c r="B249" s="159"/>
      <c r="C249" s="159"/>
      <c r="D249" s="159"/>
      <c r="E249" s="159"/>
      <c r="F249" s="159"/>
      <c r="G249" s="159"/>
      <c r="H249" s="159"/>
      <c r="I249" s="159"/>
      <c r="J249" s="224"/>
      <c r="K249" s="159"/>
      <c r="L249" s="159"/>
      <c r="M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row>
    <row r="250" spans="2:53" ht="17.399999999999999" customHeight="1">
      <c r="B250" s="159"/>
      <c r="C250" s="159"/>
      <c r="D250" s="159"/>
      <c r="E250" s="159"/>
      <c r="F250" s="159"/>
      <c r="G250" s="159"/>
      <c r="H250" s="159"/>
      <c r="I250" s="159"/>
      <c r="J250" s="224"/>
      <c r="K250" s="159"/>
      <c r="L250" s="159"/>
      <c r="M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row>
    <row r="251" spans="2:53" ht="17.399999999999999" customHeight="1">
      <c r="B251" s="159"/>
      <c r="C251" s="159"/>
      <c r="D251" s="159"/>
      <c r="E251" s="159"/>
      <c r="F251" s="159"/>
      <c r="G251" s="159"/>
      <c r="H251" s="159"/>
      <c r="I251" s="159"/>
      <c r="J251" s="224"/>
      <c r="K251" s="159"/>
      <c r="L251" s="159"/>
      <c r="M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row>
    <row r="252" spans="2:53" ht="17.399999999999999" customHeight="1">
      <c r="B252" s="159"/>
      <c r="C252" s="159"/>
      <c r="D252" s="159"/>
      <c r="E252" s="159"/>
      <c r="F252" s="159"/>
      <c r="G252" s="159"/>
      <c r="H252" s="159"/>
      <c r="I252" s="159"/>
      <c r="J252" s="224"/>
      <c r="K252" s="159"/>
      <c r="L252" s="159"/>
      <c r="M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row>
    <row r="253" spans="2:53" ht="17.399999999999999" customHeight="1">
      <c r="B253" s="159"/>
      <c r="C253" s="159"/>
      <c r="D253" s="159"/>
      <c r="E253" s="159"/>
      <c r="F253" s="159"/>
      <c r="G253" s="159"/>
      <c r="H253" s="159"/>
      <c r="I253" s="159"/>
      <c r="J253" s="224"/>
      <c r="K253" s="159"/>
      <c r="L253" s="159"/>
      <c r="M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row>
    <row r="254" spans="2:53" ht="17.399999999999999" customHeight="1">
      <c r="B254" s="159"/>
      <c r="C254" s="159"/>
      <c r="D254" s="159"/>
      <c r="E254" s="159"/>
      <c r="F254" s="159"/>
      <c r="G254" s="159"/>
      <c r="H254" s="159"/>
      <c r="I254" s="159"/>
      <c r="J254" s="224"/>
      <c r="K254" s="159"/>
      <c r="L254" s="159"/>
      <c r="M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row>
    <row r="255" spans="2:53" ht="17.399999999999999" customHeight="1">
      <c r="B255" s="159"/>
      <c r="C255" s="159"/>
      <c r="D255" s="159"/>
      <c r="E255" s="159"/>
      <c r="F255" s="159"/>
      <c r="G255" s="159"/>
      <c r="H255" s="159"/>
      <c r="I255" s="159"/>
      <c r="J255" s="224"/>
      <c r="K255" s="159"/>
      <c r="L255" s="159"/>
      <c r="M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row>
    <row r="256" spans="2:53" ht="17.399999999999999" customHeight="1">
      <c r="B256" s="159"/>
      <c r="C256" s="159"/>
      <c r="D256" s="159"/>
      <c r="E256" s="159"/>
      <c r="F256" s="159"/>
      <c r="G256" s="159"/>
      <c r="H256" s="159"/>
      <c r="I256" s="159"/>
      <c r="J256" s="224"/>
      <c r="K256" s="159"/>
      <c r="L256" s="159"/>
      <c r="M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row>
    <row r="257" spans="2:53" ht="17.399999999999999" customHeight="1">
      <c r="B257" s="159"/>
      <c r="C257" s="159"/>
      <c r="D257" s="159"/>
      <c r="E257" s="159"/>
      <c r="F257" s="159"/>
      <c r="G257" s="159"/>
      <c r="H257" s="159"/>
      <c r="I257" s="159"/>
      <c r="J257" s="224"/>
      <c r="K257" s="159"/>
      <c r="L257" s="159"/>
      <c r="M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row>
    <row r="258" spans="2:53" ht="17.399999999999999" customHeight="1">
      <c r="B258" s="159"/>
      <c r="C258" s="159"/>
      <c r="D258" s="159"/>
      <c r="E258" s="159"/>
      <c r="F258" s="159"/>
      <c r="G258" s="159"/>
      <c r="H258" s="159"/>
      <c r="I258" s="159"/>
      <c r="J258" s="224"/>
      <c r="K258" s="159"/>
      <c r="L258" s="159"/>
      <c r="M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row>
    <row r="259" spans="2:53" ht="17.399999999999999" customHeight="1">
      <c r="B259" s="159"/>
      <c r="C259" s="159"/>
      <c r="D259" s="159"/>
      <c r="E259" s="159"/>
      <c r="F259" s="159"/>
      <c r="G259" s="159"/>
      <c r="H259" s="159"/>
      <c r="I259" s="159"/>
      <c r="J259" s="224"/>
      <c r="K259" s="159"/>
      <c r="L259" s="159"/>
      <c r="M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row>
    <row r="260" spans="2:53" ht="17.399999999999999" customHeight="1">
      <c r="B260" s="159"/>
      <c r="C260" s="159"/>
      <c r="D260" s="159"/>
      <c r="E260" s="159"/>
      <c r="F260" s="159"/>
      <c r="G260" s="159"/>
      <c r="H260" s="159"/>
      <c r="I260" s="159"/>
      <c r="J260" s="224"/>
      <c r="K260" s="159"/>
      <c r="L260" s="159"/>
      <c r="M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row>
    <row r="261" spans="2:53" ht="17.399999999999999" customHeight="1">
      <c r="B261" s="159"/>
      <c r="C261" s="159"/>
      <c r="D261" s="159"/>
      <c r="E261" s="159"/>
      <c r="F261" s="159"/>
      <c r="G261" s="159"/>
      <c r="H261" s="159"/>
      <c r="I261" s="159"/>
      <c r="J261" s="224"/>
      <c r="K261" s="159"/>
      <c r="L261" s="159"/>
      <c r="M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row>
    <row r="262" spans="2:53" ht="17.399999999999999" customHeight="1">
      <c r="B262" s="159"/>
      <c r="C262" s="159"/>
      <c r="D262" s="159"/>
      <c r="E262" s="159"/>
      <c r="F262" s="159"/>
      <c r="G262" s="159"/>
      <c r="H262" s="159"/>
      <c r="I262" s="159"/>
      <c r="J262" s="224"/>
      <c r="K262" s="159"/>
      <c r="L262" s="159"/>
      <c r="M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row>
    <row r="263" spans="2:53" ht="17.399999999999999" customHeight="1">
      <c r="B263" s="159"/>
      <c r="C263" s="159"/>
      <c r="D263" s="159"/>
      <c r="E263" s="159"/>
      <c r="F263" s="159"/>
      <c r="G263" s="159"/>
      <c r="H263" s="159"/>
      <c r="I263" s="159"/>
      <c r="J263" s="224"/>
      <c r="K263" s="159"/>
      <c r="L263" s="159"/>
      <c r="M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row>
    <row r="264" spans="2:53" ht="17.399999999999999" customHeight="1">
      <c r="B264" s="159"/>
      <c r="C264" s="159"/>
      <c r="D264" s="159"/>
      <c r="E264" s="159"/>
      <c r="F264" s="159"/>
      <c r="G264" s="159"/>
      <c r="H264" s="159"/>
      <c r="I264" s="159"/>
      <c r="J264" s="224"/>
      <c r="K264" s="159"/>
      <c r="L264" s="159"/>
      <c r="M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row>
    <row r="265" spans="2:53" ht="17.399999999999999" customHeight="1">
      <c r="B265" s="159"/>
      <c r="C265" s="159"/>
      <c r="D265" s="159"/>
      <c r="E265" s="159"/>
      <c r="F265" s="159"/>
      <c r="G265" s="159"/>
      <c r="H265" s="159"/>
      <c r="I265" s="159"/>
      <c r="J265" s="224"/>
      <c r="K265" s="159"/>
      <c r="L265" s="159"/>
      <c r="M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row>
    <row r="266" spans="2:53" ht="17.399999999999999" customHeight="1">
      <c r="B266" s="159"/>
      <c r="C266" s="159"/>
      <c r="D266" s="159"/>
      <c r="E266" s="159"/>
      <c r="F266" s="159"/>
      <c r="G266" s="159"/>
      <c r="H266" s="159"/>
      <c r="I266" s="159"/>
      <c r="J266" s="224"/>
      <c r="K266" s="159"/>
      <c r="L266" s="159"/>
      <c r="M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row>
    <row r="267" spans="2:53" ht="17.399999999999999" customHeight="1">
      <c r="B267" s="159"/>
      <c r="C267" s="159"/>
      <c r="D267" s="159"/>
      <c r="E267" s="159"/>
      <c r="F267" s="159"/>
      <c r="G267" s="159"/>
      <c r="H267" s="159"/>
      <c r="I267" s="159"/>
      <c r="J267" s="224"/>
      <c r="K267" s="159"/>
      <c r="L267" s="159"/>
      <c r="M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row>
    <row r="268" spans="2:53" ht="17.399999999999999" customHeight="1">
      <c r="B268" s="159"/>
      <c r="C268" s="159"/>
      <c r="D268" s="159"/>
      <c r="E268" s="159"/>
      <c r="F268" s="159"/>
      <c r="G268" s="159"/>
      <c r="H268" s="159"/>
      <c r="I268" s="159"/>
      <c r="J268" s="224"/>
      <c r="K268" s="159"/>
      <c r="L268" s="159"/>
      <c r="M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row>
    <row r="269" spans="2:53" ht="17.399999999999999" customHeight="1">
      <c r="B269" s="159"/>
      <c r="C269" s="159"/>
      <c r="D269" s="159"/>
      <c r="E269" s="159"/>
      <c r="F269" s="159"/>
      <c r="G269" s="159"/>
      <c r="H269" s="159"/>
      <c r="I269" s="159"/>
      <c r="J269" s="224"/>
      <c r="K269" s="159"/>
      <c r="L269" s="159"/>
      <c r="M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row>
    <row r="270" spans="2:53" ht="17.399999999999999" customHeight="1">
      <c r="B270" s="159"/>
      <c r="C270" s="159"/>
      <c r="D270" s="159"/>
      <c r="E270" s="159"/>
      <c r="F270" s="159"/>
      <c r="G270" s="159"/>
      <c r="H270" s="159"/>
      <c r="I270" s="159"/>
      <c r="J270" s="224"/>
      <c r="K270" s="159"/>
      <c r="L270" s="159"/>
      <c r="M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row>
    <row r="271" spans="2:53" ht="17.399999999999999" customHeight="1">
      <c r="B271" s="159"/>
      <c r="C271" s="159"/>
      <c r="D271" s="159"/>
      <c r="E271" s="159"/>
      <c r="F271" s="159"/>
      <c r="G271" s="159"/>
      <c r="H271" s="159"/>
      <c r="I271" s="159"/>
      <c r="J271" s="224"/>
      <c r="K271" s="159"/>
      <c r="L271" s="159"/>
      <c r="M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row>
    <row r="272" spans="2:53" ht="17.399999999999999" customHeight="1">
      <c r="B272" s="159"/>
      <c r="C272" s="159"/>
      <c r="D272" s="159"/>
      <c r="E272" s="159"/>
      <c r="F272" s="159"/>
      <c r="G272" s="159"/>
      <c r="H272" s="159"/>
      <c r="I272" s="159"/>
      <c r="J272" s="224"/>
      <c r="K272" s="159"/>
      <c r="L272" s="159"/>
      <c r="M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row>
    <row r="273" spans="2:53" ht="17.399999999999999" customHeight="1">
      <c r="B273" s="159"/>
      <c r="C273" s="159"/>
      <c r="D273" s="159"/>
      <c r="E273" s="159"/>
      <c r="F273" s="159"/>
      <c r="G273" s="159"/>
      <c r="H273" s="159"/>
      <c r="I273" s="159"/>
      <c r="J273" s="224"/>
      <c r="K273" s="159"/>
      <c r="L273" s="159"/>
      <c r="M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row>
    <row r="274" spans="2:53" ht="17.399999999999999" customHeight="1">
      <c r="B274" s="159"/>
      <c r="C274" s="159"/>
      <c r="D274" s="159"/>
      <c r="E274" s="159"/>
      <c r="F274" s="159"/>
      <c r="G274" s="159"/>
      <c r="H274" s="159"/>
      <c r="I274" s="159"/>
      <c r="J274" s="224"/>
      <c r="K274" s="159"/>
      <c r="L274" s="159"/>
      <c r="M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row>
    <row r="275" spans="2:53" ht="17.399999999999999" customHeight="1">
      <c r="B275" s="159"/>
      <c r="C275" s="159"/>
      <c r="D275" s="159"/>
      <c r="E275" s="159"/>
      <c r="F275" s="159"/>
      <c r="G275" s="159"/>
      <c r="H275" s="159"/>
      <c r="I275" s="159"/>
      <c r="J275" s="224"/>
      <c r="K275" s="159"/>
      <c r="L275" s="159"/>
      <c r="M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row>
    <row r="276" spans="2:53" ht="17.399999999999999" customHeight="1">
      <c r="B276" s="159"/>
      <c r="C276" s="159"/>
      <c r="D276" s="159"/>
      <c r="E276" s="159"/>
      <c r="F276" s="159"/>
      <c r="G276" s="159"/>
      <c r="H276" s="159"/>
      <c r="I276" s="159"/>
      <c r="J276" s="224"/>
      <c r="K276" s="159"/>
      <c r="L276" s="159"/>
      <c r="M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row>
    <row r="277" spans="2:53" ht="17.399999999999999" customHeight="1">
      <c r="B277" s="159"/>
      <c r="C277" s="159"/>
      <c r="D277" s="159"/>
      <c r="E277" s="159"/>
      <c r="F277" s="159"/>
      <c r="G277" s="159"/>
      <c r="H277" s="159"/>
      <c r="I277" s="159"/>
      <c r="J277" s="224"/>
      <c r="K277" s="159"/>
      <c r="L277" s="159"/>
      <c r="M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row>
    <row r="278" spans="2:53" ht="17.399999999999999" customHeight="1">
      <c r="B278" s="159"/>
      <c r="C278" s="159"/>
      <c r="D278" s="159"/>
      <c r="E278" s="159"/>
      <c r="F278" s="159"/>
      <c r="G278" s="159"/>
      <c r="H278" s="159"/>
      <c r="I278" s="159"/>
      <c r="J278" s="224"/>
      <c r="K278" s="159"/>
      <c r="L278" s="159"/>
      <c r="M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row>
    <row r="279" spans="2:53" ht="17.399999999999999" customHeight="1">
      <c r="B279" s="159"/>
      <c r="C279" s="159"/>
      <c r="D279" s="159"/>
      <c r="E279" s="159"/>
      <c r="F279" s="159"/>
      <c r="G279" s="159"/>
      <c r="H279" s="159"/>
      <c r="I279" s="159"/>
      <c r="J279" s="224"/>
      <c r="K279" s="159"/>
      <c r="L279" s="159"/>
      <c r="M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row>
    <row r="280" spans="2:53" ht="17.399999999999999" customHeight="1">
      <c r="B280" s="159"/>
      <c r="C280" s="159"/>
      <c r="D280" s="159"/>
      <c r="E280" s="159"/>
      <c r="F280" s="159"/>
      <c r="G280" s="159"/>
      <c r="H280" s="159"/>
      <c r="I280" s="159"/>
      <c r="J280" s="224"/>
      <c r="K280" s="159"/>
      <c r="L280" s="159"/>
      <c r="M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row>
    <row r="281" spans="2:53" ht="17.399999999999999" customHeight="1">
      <c r="B281" s="159"/>
      <c r="C281" s="159"/>
      <c r="D281" s="159"/>
      <c r="E281" s="159"/>
      <c r="F281" s="159"/>
      <c r="G281" s="159"/>
      <c r="H281" s="159"/>
      <c r="I281" s="159"/>
      <c r="J281" s="224"/>
      <c r="K281" s="159"/>
      <c r="L281" s="159"/>
      <c r="M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row>
    <row r="282" spans="2:53" ht="17.399999999999999" customHeight="1">
      <c r="B282" s="159"/>
      <c r="C282" s="159"/>
      <c r="D282" s="159"/>
      <c r="E282" s="159"/>
      <c r="F282" s="159"/>
      <c r="G282" s="159"/>
      <c r="H282" s="159"/>
      <c r="I282" s="159"/>
      <c r="J282" s="224"/>
      <c r="K282" s="159"/>
      <c r="L282" s="159"/>
      <c r="M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row>
    <row r="283" spans="2:53" ht="17.399999999999999" customHeight="1">
      <c r="B283" s="159"/>
      <c r="C283" s="159"/>
      <c r="D283" s="159"/>
      <c r="E283" s="159"/>
      <c r="F283" s="159"/>
      <c r="G283" s="159"/>
      <c r="H283" s="159"/>
      <c r="I283" s="159"/>
      <c r="J283" s="224"/>
      <c r="K283" s="159"/>
      <c r="L283" s="159"/>
      <c r="M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row>
    <row r="284" spans="2:53" ht="17.399999999999999" customHeight="1">
      <c r="B284" s="159"/>
      <c r="C284" s="159"/>
      <c r="D284" s="159"/>
      <c r="E284" s="159"/>
      <c r="F284" s="159"/>
      <c r="G284" s="159"/>
      <c r="H284" s="159"/>
      <c r="I284" s="159"/>
      <c r="J284" s="224"/>
      <c r="K284" s="159"/>
      <c r="L284" s="159"/>
      <c r="M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row>
    <row r="285" spans="2:53" ht="17.399999999999999" customHeight="1">
      <c r="B285" s="159"/>
      <c r="C285" s="159"/>
      <c r="D285" s="159"/>
      <c r="E285" s="159"/>
      <c r="F285" s="159"/>
      <c r="G285" s="159"/>
      <c r="H285" s="159"/>
      <c r="I285" s="159"/>
      <c r="J285" s="224"/>
      <c r="K285" s="159"/>
      <c r="L285" s="159"/>
      <c r="M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row>
    <row r="286" spans="2:53" ht="17.399999999999999" customHeight="1">
      <c r="B286" s="159"/>
      <c r="C286" s="159"/>
      <c r="D286" s="159"/>
      <c r="E286" s="159"/>
      <c r="F286" s="159"/>
      <c r="G286" s="159"/>
      <c r="H286" s="159"/>
      <c r="I286" s="159"/>
      <c r="J286" s="224"/>
      <c r="K286" s="159"/>
      <c r="L286" s="159"/>
      <c r="M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row>
    <row r="287" spans="2:53" ht="17.399999999999999" customHeight="1">
      <c r="B287" s="159"/>
      <c r="C287" s="159"/>
      <c r="D287" s="159"/>
      <c r="E287" s="159"/>
      <c r="F287" s="159"/>
      <c r="G287" s="159"/>
      <c r="H287" s="159"/>
      <c r="I287" s="159"/>
      <c r="J287" s="224"/>
      <c r="K287" s="159"/>
      <c r="L287" s="159"/>
      <c r="M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row>
    <row r="288" spans="2:53" ht="17.399999999999999" customHeight="1">
      <c r="B288" s="159"/>
      <c r="C288" s="159"/>
      <c r="D288" s="159"/>
      <c r="E288" s="159"/>
      <c r="F288" s="159"/>
      <c r="G288" s="159"/>
      <c r="H288" s="159"/>
      <c r="I288" s="159"/>
      <c r="J288" s="224"/>
      <c r="K288" s="159"/>
      <c r="L288" s="159"/>
      <c r="M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row>
    <row r="289" spans="2:53" ht="17.399999999999999" customHeight="1">
      <c r="B289" s="159"/>
      <c r="C289" s="159"/>
      <c r="D289" s="159"/>
      <c r="E289" s="159"/>
      <c r="F289" s="159"/>
      <c r="G289" s="159"/>
      <c r="H289" s="159"/>
      <c r="I289" s="159"/>
      <c r="J289" s="224"/>
      <c r="K289" s="159"/>
      <c r="L289" s="159"/>
      <c r="M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row>
    <row r="290" spans="2:53" ht="17.399999999999999" customHeight="1">
      <c r="B290" s="159"/>
      <c r="C290" s="159"/>
      <c r="D290" s="159"/>
      <c r="E290" s="159"/>
      <c r="F290" s="159"/>
      <c r="G290" s="159"/>
      <c r="H290" s="159"/>
      <c r="I290" s="159"/>
      <c r="J290" s="224"/>
      <c r="K290" s="159"/>
      <c r="L290" s="159"/>
      <c r="M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row>
    <row r="291" spans="2:53" ht="17.399999999999999" customHeight="1">
      <c r="B291" s="159"/>
      <c r="C291" s="159"/>
      <c r="D291" s="159"/>
      <c r="E291" s="159"/>
      <c r="F291" s="159"/>
      <c r="G291" s="159"/>
      <c r="H291" s="159"/>
      <c r="I291" s="159"/>
      <c r="J291" s="224"/>
      <c r="K291" s="159"/>
      <c r="L291" s="159"/>
      <c r="M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row>
    <row r="292" spans="2:53" ht="17.399999999999999" customHeight="1">
      <c r="B292" s="159"/>
      <c r="C292" s="159"/>
      <c r="D292" s="159"/>
      <c r="E292" s="159"/>
      <c r="F292" s="159"/>
      <c r="G292" s="159"/>
      <c r="H292" s="159"/>
      <c r="I292" s="159"/>
      <c r="J292" s="224"/>
      <c r="K292" s="159"/>
      <c r="L292" s="159"/>
      <c r="M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row>
    <row r="293" spans="2:53" ht="17.399999999999999" customHeight="1">
      <c r="B293" s="159"/>
      <c r="C293" s="159"/>
      <c r="D293" s="159"/>
      <c r="E293" s="159"/>
      <c r="F293" s="159"/>
      <c r="G293" s="159"/>
      <c r="H293" s="159"/>
      <c r="I293" s="159"/>
      <c r="J293" s="224"/>
      <c r="K293" s="159"/>
      <c r="L293" s="159"/>
      <c r="M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row>
    <row r="294" spans="2:53" ht="17.399999999999999" customHeight="1">
      <c r="B294" s="159"/>
      <c r="C294" s="159"/>
      <c r="D294" s="159"/>
      <c r="E294" s="159"/>
      <c r="F294" s="159"/>
      <c r="G294" s="159"/>
      <c r="H294" s="159"/>
      <c r="I294" s="159"/>
      <c r="J294" s="224"/>
      <c r="K294" s="159"/>
      <c r="L294" s="159"/>
      <c r="M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row>
    <row r="295" spans="2:53" ht="17.399999999999999" customHeight="1">
      <c r="B295" s="159"/>
      <c r="C295" s="159"/>
      <c r="D295" s="159"/>
      <c r="E295" s="159"/>
      <c r="F295" s="159"/>
      <c r="G295" s="159"/>
      <c r="H295" s="159"/>
      <c r="I295" s="159"/>
      <c r="J295" s="224"/>
      <c r="K295" s="159"/>
      <c r="L295" s="159"/>
      <c r="M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row>
    <row r="296" spans="2:53" ht="17.399999999999999" customHeight="1">
      <c r="B296" s="159"/>
      <c r="C296" s="159"/>
      <c r="D296" s="159"/>
      <c r="E296" s="159"/>
      <c r="F296" s="159"/>
      <c r="G296" s="159"/>
      <c r="H296" s="159"/>
      <c r="I296" s="159"/>
      <c r="J296" s="224"/>
      <c r="K296" s="159"/>
      <c r="L296" s="159"/>
      <c r="M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row>
    <row r="297" spans="2:53" ht="17.399999999999999" customHeight="1">
      <c r="B297" s="159"/>
      <c r="C297" s="159"/>
      <c r="D297" s="159"/>
      <c r="E297" s="159"/>
      <c r="F297" s="159"/>
      <c r="G297" s="159"/>
      <c r="H297" s="159"/>
      <c r="I297" s="159"/>
      <c r="J297" s="224"/>
      <c r="K297" s="159"/>
      <c r="L297" s="159"/>
      <c r="M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row>
    <row r="298" spans="2:53" ht="17.399999999999999" customHeight="1">
      <c r="B298" s="159"/>
      <c r="C298" s="159"/>
      <c r="D298" s="159"/>
      <c r="E298" s="159"/>
      <c r="F298" s="159"/>
      <c r="G298" s="159"/>
      <c r="H298" s="159"/>
      <c r="I298" s="159"/>
      <c r="J298" s="224"/>
      <c r="K298" s="159"/>
      <c r="L298" s="159"/>
      <c r="M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row>
    <row r="299" spans="2:53" ht="17.399999999999999" customHeight="1">
      <c r="B299" s="159"/>
      <c r="C299" s="159"/>
      <c r="D299" s="159"/>
      <c r="E299" s="159"/>
      <c r="F299" s="159"/>
      <c r="G299" s="159"/>
      <c r="H299" s="159"/>
      <c r="I299" s="159"/>
      <c r="J299" s="224"/>
      <c r="K299" s="159"/>
      <c r="L299" s="159"/>
      <c r="M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row>
    <row r="300" spans="2:53" ht="17.399999999999999" customHeight="1">
      <c r="B300" s="159"/>
      <c r="C300" s="159"/>
      <c r="D300" s="159"/>
      <c r="E300" s="159"/>
      <c r="F300" s="159"/>
      <c r="G300" s="159"/>
      <c r="H300" s="159"/>
      <c r="I300" s="159"/>
      <c r="J300" s="224"/>
      <c r="K300" s="159"/>
      <c r="L300" s="159"/>
      <c r="M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row>
    <row r="301" spans="2:53" ht="17.399999999999999" customHeight="1">
      <c r="B301" s="159"/>
      <c r="C301" s="159"/>
      <c r="D301" s="159"/>
      <c r="E301" s="159"/>
      <c r="F301" s="159"/>
      <c r="G301" s="159"/>
      <c r="H301" s="159"/>
      <c r="I301" s="159"/>
      <c r="J301" s="224"/>
      <c r="K301" s="159"/>
      <c r="L301" s="159"/>
      <c r="M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row>
    <row r="302" spans="2:53" ht="17.399999999999999" customHeight="1">
      <c r="B302" s="159"/>
      <c r="C302" s="159"/>
      <c r="D302" s="159"/>
      <c r="E302" s="159"/>
      <c r="F302" s="159"/>
      <c r="G302" s="159"/>
      <c r="H302" s="159"/>
      <c r="I302" s="159"/>
      <c r="J302" s="224"/>
      <c r="K302" s="159"/>
      <c r="L302" s="159"/>
      <c r="M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row>
    <row r="303" spans="2:53" ht="17.399999999999999" customHeight="1">
      <c r="B303" s="159"/>
      <c r="C303" s="159"/>
      <c r="D303" s="159"/>
      <c r="E303" s="159"/>
      <c r="F303" s="159"/>
      <c r="G303" s="159"/>
      <c r="H303" s="159"/>
      <c r="I303" s="159"/>
      <c r="J303" s="224"/>
      <c r="K303" s="159"/>
      <c r="L303" s="159"/>
      <c r="M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row>
    <row r="304" spans="2:53" ht="17.399999999999999" customHeight="1">
      <c r="B304" s="159"/>
      <c r="C304" s="159"/>
      <c r="D304" s="159"/>
      <c r="E304" s="159"/>
      <c r="F304" s="159"/>
      <c r="G304" s="159"/>
      <c r="H304" s="159"/>
      <c r="I304" s="159"/>
      <c r="J304" s="224"/>
      <c r="K304" s="159"/>
      <c r="L304" s="159"/>
      <c r="M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row>
    <row r="305" spans="2:53" ht="17.399999999999999" customHeight="1">
      <c r="B305" s="159"/>
      <c r="C305" s="159"/>
      <c r="D305" s="159"/>
      <c r="E305" s="159"/>
      <c r="F305" s="159"/>
      <c r="G305" s="159"/>
      <c r="H305" s="159"/>
      <c r="I305" s="159"/>
      <c r="J305" s="224"/>
      <c r="K305" s="159"/>
      <c r="L305" s="159"/>
      <c r="M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row>
    <row r="306" spans="2:53" ht="17.399999999999999" customHeight="1">
      <c r="B306" s="159"/>
      <c r="C306" s="159"/>
      <c r="D306" s="159"/>
      <c r="E306" s="159"/>
      <c r="F306" s="159"/>
      <c r="G306" s="159"/>
      <c r="H306" s="159"/>
      <c r="I306" s="159"/>
      <c r="J306" s="224"/>
      <c r="K306" s="159"/>
      <c r="L306" s="159"/>
      <c r="M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row>
    <row r="307" spans="2:53" ht="17.399999999999999" customHeight="1">
      <c r="B307" s="159"/>
      <c r="C307" s="159"/>
      <c r="D307" s="159"/>
      <c r="E307" s="159"/>
      <c r="F307" s="159"/>
      <c r="G307" s="159"/>
      <c r="H307" s="159"/>
      <c r="I307" s="159"/>
      <c r="J307" s="224"/>
      <c r="K307" s="159"/>
      <c r="L307" s="159"/>
      <c r="M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row>
    <row r="308" spans="2:53" ht="17.399999999999999" customHeight="1">
      <c r="B308" s="159"/>
      <c r="C308" s="159"/>
      <c r="D308" s="159"/>
      <c r="E308" s="159"/>
      <c r="F308" s="159"/>
      <c r="G308" s="159"/>
      <c r="H308" s="159"/>
      <c r="I308" s="159"/>
      <c r="J308" s="224"/>
      <c r="K308" s="159"/>
      <c r="L308" s="159"/>
      <c r="M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row>
    <row r="309" spans="2:53" ht="17.399999999999999" customHeight="1">
      <c r="B309" s="159"/>
      <c r="C309" s="159"/>
      <c r="D309" s="159"/>
      <c r="E309" s="159"/>
      <c r="F309" s="159"/>
      <c r="G309" s="159"/>
      <c r="H309" s="159"/>
      <c r="I309" s="159"/>
      <c r="J309" s="224"/>
      <c r="K309" s="159"/>
      <c r="L309" s="159"/>
      <c r="M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row>
    <row r="310" spans="2:53" ht="17.399999999999999" customHeight="1">
      <c r="B310" s="159"/>
      <c r="C310" s="159"/>
      <c r="D310" s="159"/>
      <c r="E310" s="159"/>
      <c r="F310" s="159"/>
      <c r="G310" s="159"/>
      <c r="H310" s="159"/>
      <c r="I310" s="159"/>
      <c r="J310" s="224"/>
      <c r="K310" s="159"/>
      <c r="L310" s="159"/>
      <c r="M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row>
    <row r="311" spans="2:53" ht="17.399999999999999" customHeight="1">
      <c r="B311" s="159"/>
      <c r="C311" s="159"/>
      <c r="D311" s="159"/>
      <c r="E311" s="159"/>
      <c r="F311" s="159"/>
      <c r="G311" s="159"/>
      <c r="H311" s="159"/>
      <c r="I311" s="159"/>
      <c r="J311" s="224"/>
      <c r="K311" s="159"/>
      <c r="L311" s="159"/>
      <c r="M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row>
    <row r="312" spans="2:53" ht="17.399999999999999" customHeight="1">
      <c r="B312" s="159"/>
      <c r="C312" s="159"/>
      <c r="D312" s="159"/>
      <c r="E312" s="159"/>
      <c r="F312" s="159"/>
      <c r="G312" s="159"/>
      <c r="H312" s="159"/>
      <c r="I312" s="159"/>
      <c r="J312" s="224"/>
      <c r="K312" s="159"/>
      <c r="L312" s="159"/>
      <c r="M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row>
    <row r="313" spans="2:53" ht="17.399999999999999" customHeight="1">
      <c r="B313" s="159"/>
      <c r="C313" s="159"/>
      <c r="D313" s="159"/>
      <c r="E313" s="159"/>
      <c r="F313" s="159"/>
      <c r="G313" s="159"/>
      <c r="H313" s="159"/>
      <c r="I313" s="159"/>
      <c r="J313" s="224"/>
      <c r="K313" s="159"/>
      <c r="L313" s="159"/>
      <c r="M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row>
    <row r="314" spans="2:53" ht="17.399999999999999" customHeight="1">
      <c r="B314" s="159"/>
      <c r="C314" s="159"/>
      <c r="D314" s="159"/>
      <c r="E314" s="159"/>
      <c r="F314" s="159"/>
      <c r="G314" s="159"/>
      <c r="H314" s="159"/>
      <c r="I314" s="159"/>
      <c r="J314" s="224"/>
      <c r="K314" s="159"/>
      <c r="L314" s="159"/>
      <c r="M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row>
    <row r="315" spans="2:53" ht="17.399999999999999" customHeight="1">
      <c r="B315" s="159"/>
      <c r="C315" s="159"/>
      <c r="D315" s="159"/>
      <c r="E315" s="159"/>
      <c r="F315" s="159"/>
      <c r="G315" s="159"/>
      <c r="H315" s="159"/>
      <c r="I315" s="159"/>
      <c r="J315" s="224"/>
      <c r="K315" s="159"/>
      <c r="L315" s="159"/>
      <c r="M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row>
    <row r="316" spans="2:53" ht="17.399999999999999" customHeight="1">
      <c r="B316" s="159"/>
      <c r="C316" s="159"/>
      <c r="D316" s="159"/>
      <c r="E316" s="159"/>
      <c r="F316" s="159"/>
      <c r="G316" s="159"/>
      <c r="H316" s="159"/>
      <c r="I316" s="159"/>
      <c r="J316" s="224"/>
      <c r="K316" s="159"/>
      <c r="L316" s="159"/>
      <c r="M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row>
    <row r="317" spans="2:53" ht="17.399999999999999" customHeight="1">
      <c r="B317" s="159"/>
      <c r="C317" s="159"/>
      <c r="D317" s="159"/>
      <c r="E317" s="159"/>
      <c r="F317" s="159"/>
      <c r="G317" s="159"/>
      <c r="H317" s="159"/>
      <c r="I317" s="159"/>
      <c r="J317" s="224"/>
      <c r="K317" s="159"/>
      <c r="L317" s="159"/>
      <c r="M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row>
    <row r="318" spans="2:53" ht="17.399999999999999" customHeight="1">
      <c r="B318" s="159"/>
      <c r="C318" s="159"/>
      <c r="D318" s="159"/>
      <c r="E318" s="159"/>
      <c r="F318" s="159"/>
      <c r="G318" s="159"/>
      <c r="H318" s="159"/>
      <c r="I318" s="159"/>
      <c r="J318" s="224"/>
      <c r="K318" s="159"/>
      <c r="L318" s="159"/>
      <c r="M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row>
    <row r="319" spans="2:53" ht="17.399999999999999" customHeight="1">
      <c r="B319" s="159"/>
      <c r="C319" s="159"/>
      <c r="D319" s="159"/>
      <c r="E319" s="159"/>
      <c r="F319" s="159"/>
      <c r="G319" s="159"/>
      <c r="H319" s="159"/>
      <c r="I319" s="159"/>
      <c r="J319" s="224"/>
      <c r="K319" s="159"/>
      <c r="L319" s="159"/>
      <c r="M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row>
    <row r="320" spans="2:53" ht="17.399999999999999" customHeight="1">
      <c r="B320" s="159"/>
      <c r="C320" s="159"/>
      <c r="D320" s="159"/>
      <c r="E320" s="159"/>
      <c r="F320" s="159"/>
      <c r="G320" s="159"/>
      <c r="H320" s="159"/>
      <c r="I320" s="159"/>
      <c r="J320" s="224"/>
      <c r="K320" s="159"/>
      <c r="L320" s="159"/>
      <c r="M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row>
    <row r="321" spans="2:53" ht="17.399999999999999" customHeight="1">
      <c r="B321" s="159"/>
      <c r="C321" s="159"/>
      <c r="D321" s="159"/>
      <c r="E321" s="159"/>
      <c r="F321" s="159"/>
      <c r="G321" s="159"/>
      <c r="H321" s="159"/>
      <c r="I321" s="159"/>
      <c r="J321" s="224"/>
      <c r="K321" s="159"/>
      <c r="L321" s="159"/>
      <c r="M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row>
    <row r="322" spans="2:53" ht="17.399999999999999" customHeight="1">
      <c r="B322" s="159"/>
      <c r="C322" s="159"/>
      <c r="D322" s="159"/>
      <c r="E322" s="159"/>
      <c r="F322" s="159"/>
      <c r="G322" s="159"/>
      <c r="H322" s="159"/>
      <c r="I322" s="159"/>
      <c r="J322" s="224"/>
      <c r="K322" s="159"/>
      <c r="L322" s="159"/>
      <c r="M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row>
    <row r="323" spans="2:53" ht="17.399999999999999" customHeight="1">
      <c r="B323" s="159"/>
      <c r="C323" s="159"/>
      <c r="D323" s="159"/>
      <c r="E323" s="159"/>
      <c r="F323" s="159"/>
      <c r="G323" s="159"/>
      <c r="H323" s="159"/>
      <c r="I323" s="159"/>
      <c r="J323" s="224"/>
      <c r="K323" s="159"/>
      <c r="L323" s="159"/>
      <c r="M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row>
    <row r="324" spans="2:53" ht="17.399999999999999" customHeight="1">
      <c r="B324" s="159"/>
      <c r="C324" s="159"/>
      <c r="D324" s="159"/>
      <c r="E324" s="159"/>
      <c r="F324" s="159"/>
      <c r="G324" s="159"/>
      <c r="H324" s="159"/>
      <c r="I324" s="159"/>
      <c r="J324" s="224"/>
      <c r="K324" s="159"/>
      <c r="L324" s="159"/>
      <c r="M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row>
    <row r="325" spans="2:53" ht="17.399999999999999" customHeight="1">
      <c r="B325" s="159"/>
      <c r="C325" s="159"/>
      <c r="D325" s="159"/>
      <c r="E325" s="159"/>
      <c r="F325" s="159"/>
      <c r="G325" s="159"/>
      <c r="H325" s="159"/>
      <c r="I325" s="159"/>
      <c r="J325" s="224"/>
      <c r="K325" s="159"/>
      <c r="L325" s="159"/>
      <c r="M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row>
    <row r="326" spans="2:53" ht="17.399999999999999" customHeight="1">
      <c r="B326" s="159"/>
      <c r="C326" s="159"/>
      <c r="D326" s="159"/>
      <c r="E326" s="159"/>
      <c r="F326" s="159"/>
      <c r="G326" s="159"/>
      <c r="H326" s="159"/>
      <c r="I326" s="159"/>
      <c r="J326" s="224"/>
      <c r="K326" s="159"/>
      <c r="L326" s="159"/>
      <c r="M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row>
    <row r="327" spans="2:53" ht="17.399999999999999" customHeight="1">
      <c r="B327" s="159"/>
      <c r="C327" s="159"/>
      <c r="D327" s="159"/>
      <c r="E327" s="159"/>
      <c r="F327" s="159"/>
      <c r="G327" s="159"/>
      <c r="H327" s="159"/>
      <c r="I327" s="159"/>
      <c r="J327" s="224"/>
      <c r="K327" s="159"/>
      <c r="L327" s="159"/>
      <c r="M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row>
    <row r="328" spans="2:53" ht="17.399999999999999" customHeight="1">
      <c r="B328" s="159"/>
      <c r="C328" s="159"/>
      <c r="D328" s="159"/>
      <c r="E328" s="159"/>
      <c r="F328" s="159"/>
      <c r="G328" s="159"/>
      <c r="H328" s="159"/>
      <c r="I328" s="159"/>
      <c r="J328" s="224"/>
      <c r="K328" s="159"/>
      <c r="L328" s="159"/>
      <c r="M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row>
    <row r="329" spans="2:53" ht="17.399999999999999" customHeight="1">
      <c r="B329" s="159"/>
      <c r="C329" s="159"/>
      <c r="D329" s="159"/>
      <c r="E329" s="159"/>
      <c r="F329" s="159"/>
      <c r="G329" s="159"/>
      <c r="H329" s="159"/>
      <c r="I329" s="159"/>
      <c r="J329" s="224"/>
      <c r="K329" s="159"/>
      <c r="L329" s="159"/>
      <c r="M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row>
    <row r="330" spans="2:53" ht="17.399999999999999" customHeight="1">
      <c r="B330" s="159"/>
      <c r="C330" s="159"/>
      <c r="D330" s="159"/>
      <c r="E330" s="159"/>
      <c r="F330" s="159"/>
      <c r="G330" s="159"/>
      <c r="H330" s="159"/>
      <c r="I330" s="159"/>
      <c r="J330" s="224"/>
      <c r="K330" s="159"/>
      <c r="L330" s="159"/>
      <c r="M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row>
    <row r="331" spans="2:53" ht="17.399999999999999" customHeight="1">
      <c r="B331" s="159"/>
      <c r="C331" s="159"/>
      <c r="D331" s="159"/>
      <c r="E331" s="159"/>
      <c r="F331" s="159"/>
      <c r="G331" s="159"/>
      <c r="H331" s="159"/>
      <c r="I331" s="159"/>
      <c r="J331" s="224"/>
      <c r="K331" s="159"/>
      <c r="L331" s="159"/>
      <c r="M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row>
    <row r="332" spans="2:53" ht="17.399999999999999" customHeight="1">
      <c r="B332" s="159"/>
      <c r="C332" s="159"/>
      <c r="D332" s="159"/>
      <c r="E332" s="159"/>
      <c r="F332" s="159"/>
      <c r="G332" s="159"/>
      <c r="H332" s="159"/>
      <c r="I332" s="159"/>
      <c r="J332" s="224"/>
      <c r="K332" s="159"/>
      <c r="L332" s="159"/>
      <c r="M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row>
    <row r="333" spans="2:53" ht="17.399999999999999" customHeight="1">
      <c r="B333" s="159"/>
      <c r="C333" s="159"/>
      <c r="D333" s="159"/>
      <c r="E333" s="159"/>
      <c r="F333" s="159"/>
      <c r="G333" s="159"/>
      <c r="H333" s="159"/>
      <c r="I333" s="159"/>
      <c r="J333" s="224"/>
      <c r="K333" s="159"/>
      <c r="L333" s="159"/>
      <c r="M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row>
    <row r="334" spans="2:53" ht="17.399999999999999" customHeight="1">
      <c r="B334" s="159"/>
      <c r="C334" s="159"/>
      <c r="D334" s="159"/>
      <c r="E334" s="159"/>
      <c r="F334" s="159"/>
      <c r="G334" s="159"/>
      <c r="H334" s="159"/>
      <c r="I334" s="159"/>
      <c r="J334" s="224"/>
      <c r="K334" s="159"/>
      <c r="L334" s="159"/>
      <c r="M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row>
    <row r="335" spans="2:53" ht="17.399999999999999" customHeight="1">
      <c r="B335" s="159"/>
      <c r="C335" s="159"/>
      <c r="D335" s="159"/>
      <c r="E335" s="159"/>
      <c r="F335" s="159"/>
      <c r="G335" s="159"/>
      <c r="H335" s="159"/>
      <c r="I335" s="159"/>
      <c r="J335" s="224"/>
      <c r="K335" s="159"/>
      <c r="L335" s="159"/>
      <c r="M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row>
    <row r="336" spans="2:53" ht="17.399999999999999" customHeight="1">
      <c r="B336" s="159"/>
      <c r="C336" s="159"/>
      <c r="D336" s="159"/>
      <c r="E336" s="159"/>
      <c r="F336" s="159"/>
      <c r="G336" s="159"/>
      <c r="H336" s="159"/>
      <c r="I336" s="159"/>
      <c r="J336" s="224"/>
      <c r="K336" s="159"/>
      <c r="L336" s="159"/>
      <c r="M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row>
    <row r="337" spans="2:53" ht="17.399999999999999" customHeight="1">
      <c r="B337" s="159"/>
      <c r="C337" s="159"/>
      <c r="D337" s="159"/>
      <c r="E337" s="159"/>
      <c r="F337" s="159"/>
      <c r="G337" s="159"/>
      <c r="H337" s="159"/>
      <c r="I337" s="159"/>
      <c r="J337" s="224"/>
      <c r="K337" s="159"/>
      <c r="L337" s="159"/>
      <c r="M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row>
    <row r="338" spans="2:53" ht="17.399999999999999" customHeight="1">
      <c r="B338" s="159"/>
      <c r="C338" s="159"/>
      <c r="D338" s="159"/>
      <c r="E338" s="159"/>
      <c r="F338" s="159"/>
      <c r="G338" s="159"/>
      <c r="H338" s="159"/>
      <c r="I338" s="159"/>
      <c r="J338" s="224"/>
      <c r="K338" s="159"/>
      <c r="L338" s="159"/>
      <c r="M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row>
    <row r="339" spans="2:53" ht="17.399999999999999" customHeight="1">
      <c r="B339" s="159"/>
      <c r="C339" s="159"/>
      <c r="D339" s="159"/>
      <c r="E339" s="159"/>
      <c r="F339" s="159"/>
      <c r="G339" s="159"/>
      <c r="H339" s="159"/>
      <c r="I339" s="159"/>
      <c r="J339" s="224"/>
      <c r="K339" s="159"/>
      <c r="L339" s="159"/>
      <c r="M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row>
    <row r="340" spans="2:53" ht="17.399999999999999" customHeight="1">
      <c r="B340" s="159"/>
      <c r="C340" s="159"/>
      <c r="D340" s="159"/>
      <c r="E340" s="159"/>
      <c r="F340" s="159"/>
      <c r="G340" s="159"/>
      <c r="H340" s="159"/>
      <c r="I340" s="159"/>
      <c r="J340" s="224"/>
      <c r="K340" s="159"/>
      <c r="L340" s="159"/>
      <c r="M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row>
    <row r="341" spans="2:53" ht="17.399999999999999" customHeight="1">
      <c r="B341" s="159"/>
      <c r="C341" s="159"/>
      <c r="D341" s="159"/>
      <c r="E341" s="159"/>
      <c r="F341" s="159"/>
      <c r="G341" s="159"/>
      <c r="H341" s="159"/>
      <c r="I341" s="159"/>
      <c r="J341" s="224"/>
      <c r="K341" s="159"/>
      <c r="L341" s="159"/>
      <c r="M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row>
    <row r="342" spans="2:53" ht="17.399999999999999" customHeight="1">
      <c r="B342" s="159"/>
      <c r="C342" s="159"/>
      <c r="D342" s="159"/>
      <c r="E342" s="159"/>
      <c r="F342" s="159"/>
      <c r="G342" s="159"/>
      <c r="H342" s="159"/>
      <c r="I342" s="159"/>
      <c r="J342" s="224"/>
      <c r="K342" s="159"/>
      <c r="L342" s="159"/>
      <c r="M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row>
    <row r="343" spans="2:53" ht="17.399999999999999" customHeight="1">
      <c r="B343" s="159"/>
      <c r="C343" s="159"/>
      <c r="D343" s="159"/>
      <c r="E343" s="159"/>
      <c r="F343" s="159"/>
      <c r="G343" s="159"/>
      <c r="H343" s="159"/>
      <c r="I343" s="159"/>
      <c r="J343" s="224"/>
      <c r="K343" s="159"/>
      <c r="L343" s="159"/>
      <c r="M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row>
    <row r="344" spans="2:53" ht="17.399999999999999" customHeight="1">
      <c r="B344" s="159"/>
      <c r="C344" s="159"/>
      <c r="D344" s="159"/>
      <c r="E344" s="159"/>
      <c r="F344" s="159"/>
      <c r="G344" s="159"/>
      <c r="H344" s="159"/>
      <c r="I344" s="159"/>
      <c r="J344" s="224"/>
      <c r="K344" s="159"/>
      <c r="L344" s="159"/>
      <c r="M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row>
    <row r="345" spans="2:53" ht="17.399999999999999" customHeight="1">
      <c r="B345" s="159"/>
      <c r="C345" s="159"/>
      <c r="D345" s="159"/>
      <c r="E345" s="159"/>
      <c r="F345" s="159"/>
      <c r="G345" s="159"/>
      <c r="H345" s="159"/>
      <c r="I345" s="159"/>
      <c r="J345" s="224"/>
      <c r="K345" s="159"/>
      <c r="L345" s="159"/>
      <c r="M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c r="AT345" s="159"/>
      <c r="AU345" s="159"/>
      <c r="AV345" s="159"/>
      <c r="AW345" s="159"/>
      <c r="AX345" s="159"/>
      <c r="AY345" s="159"/>
      <c r="AZ345" s="159"/>
      <c r="BA345" s="159"/>
    </row>
    <row r="346" spans="2:53" ht="17.399999999999999" customHeight="1">
      <c r="B346" s="159"/>
      <c r="C346" s="159"/>
      <c r="D346" s="159"/>
      <c r="E346" s="159"/>
      <c r="F346" s="159"/>
      <c r="G346" s="159"/>
      <c r="H346" s="159"/>
      <c r="I346" s="159"/>
      <c r="J346" s="224"/>
      <c r="K346" s="159"/>
      <c r="L346" s="159"/>
      <c r="M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row>
    <row r="347" spans="2:53" ht="17.399999999999999" customHeight="1">
      <c r="B347" s="159"/>
      <c r="C347" s="159"/>
      <c r="D347" s="159"/>
      <c r="E347" s="159"/>
      <c r="F347" s="159"/>
      <c r="G347" s="159"/>
      <c r="H347" s="159"/>
      <c r="I347" s="159"/>
      <c r="J347" s="224"/>
      <c r="K347" s="159"/>
      <c r="L347" s="159"/>
      <c r="M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row>
    <row r="348" spans="2:53" ht="17.399999999999999" customHeight="1">
      <c r="B348" s="159"/>
      <c r="C348" s="159"/>
      <c r="D348" s="159"/>
      <c r="E348" s="159"/>
      <c r="F348" s="159"/>
      <c r="G348" s="159"/>
      <c r="H348" s="159"/>
      <c r="I348" s="159"/>
      <c r="J348" s="224"/>
      <c r="K348" s="159"/>
      <c r="L348" s="159"/>
      <c r="M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59"/>
      <c r="AY348" s="159"/>
      <c r="AZ348" s="159"/>
      <c r="BA348" s="159"/>
    </row>
    <row r="349" spans="2:53" ht="17.399999999999999" customHeight="1">
      <c r="B349" s="159"/>
      <c r="C349" s="159"/>
      <c r="D349" s="159"/>
      <c r="E349" s="159"/>
      <c r="F349" s="159"/>
      <c r="G349" s="159"/>
      <c r="H349" s="159"/>
      <c r="I349" s="159"/>
      <c r="J349" s="224"/>
      <c r="K349" s="159"/>
      <c r="L349" s="159"/>
      <c r="M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c r="AT349" s="159"/>
      <c r="AU349" s="159"/>
      <c r="AV349" s="159"/>
      <c r="AW349" s="159"/>
      <c r="AX349" s="159"/>
      <c r="AY349" s="159"/>
      <c r="AZ349" s="159"/>
      <c r="BA349" s="159"/>
    </row>
    <row r="350" spans="2:53" ht="17.399999999999999" customHeight="1">
      <c r="B350" s="159"/>
      <c r="C350" s="159"/>
      <c r="D350" s="159"/>
      <c r="E350" s="159"/>
      <c r="F350" s="159"/>
      <c r="G350" s="159"/>
      <c r="H350" s="159"/>
      <c r="I350" s="159"/>
      <c r="J350" s="224"/>
      <c r="K350" s="159"/>
      <c r="L350" s="159"/>
      <c r="M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c r="AT350" s="159"/>
      <c r="AU350" s="159"/>
      <c r="AV350" s="159"/>
      <c r="AW350" s="159"/>
      <c r="AX350" s="159"/>
      <c r="AY350" s="159"/>
      <c r="AZ350" s="159"/>
      <c r="BA350" s="159"/>
    </row>
    <row r="351" spans="2:53" ht="17.399999999999999" customHeight="1">
      <c r="B351" s="159"/>
      <c r="C351" s="159"/>
      <c r="D351" s="159"/>
      <c r="E351" s="159"/>
      <c r="F351" s="159"/>
      <c r="G351" s="159"/>
      <c r="H351" s="159"/>
      <c r="I351" s="159"/>
      <c r="J351" s="224"/>
      <c r="K351" s="159"/>
      <c r="L351" s="159"/>
      <c r="M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c r="AT351" s="159"/>
      <c r="AU351" s="159"/>
      <c r="AV351" s="159"/>
      <c r="AW351" s="159"/>
      <c r="AX351" s="159"/>
      <c r="AY351" s="159"/>
      <c r="AZ351" s="159"/>
      <c r="BA351" s="159"/>
    </row>
    <row r="352" spans="2:53" ht="17.399999999999999" customHeight="1">
      <c r="B352" s="159"/>
      <c r="C352" s="159"/>
      <c r="D352" s="159"/>
      <c r="E352" s="159"/>
      <c r="F352" s="159"/>
      <c r="G352" s="159"/>
      <c r="H352" s="159"/>
      <c r="I352" s="159"/>
      <c r="J352" s="224"/>
      <c r="K352" s="159"/>
      <c r="L352" s="159"/>
      <c r="M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row>
    <row r="353" spans="2:53" ht="17.399999999999999" customHeight="1">
      <c r="B353" s="159"/>
      <c r="C353" s="159"/>
      <c r="D353" s="159"/>
      <c r="E353" s="159"/>
      <c r="F353" s="159"/>
      <c r="G353" s="159"/>
      <c r="H353" s="159"/>
      <c r="I353" s="159"/>
      <c r="J353" s="224"/>
      <c r="K353" s="159"/>
      <c r="L353" s="159"/>
      <c r="M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row>
    <row r="354" spans="2:53" ht="17.399999999999999" customHeight="1">
      <c r="B354" s="159"/>
      <c r="C354" s="159"/>
      <c r="D354" s="159"/>
      <c r="E354" s="159"/>
      <c r="F354" s="159"/>
      <c r="G354" s="159"/>
      <c r="H354" s="159"/>
      <c r="I354" s="159"/>
      <c r="J354" s="224"/>
      <c r="K354" s="159"/>
      <c r="L354" s="159"/>
      <c r="M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row>
    <row r="355" spans="2:53" ht="17.399999999999999" customHeight="1">
      <c r="B355" s="159"/>
      <c r="C355" s="159"/>
      <c r="D355" s="159"/>
      <c r="E355" s="159"/>
      <c r="F355" s="159"/>
      <c r="G355" s="159"/>
      <c r="H355" s="159"/>
      <c r="I355" s="159"/>
      <c r="J355" s="224"/>
      <c r="K355" s="159"/>
      <c r="L355" s="159"/>
      <c r="M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row>
    <row r="356" spans="2:53" ht="17.399999999999999" customHeight="1">
      <c r="B356" s="159"/>
      <c r="C356" s="159"/>
      <c r="D356" s="159"/>
      <c r="E356" s="159"/>
      <c r="F356" s="159"/>
      <c r="G356" s="159"/>
      <c r="H356" s="159"/>
      <c r="I356" s="159"/>
      <c r="J356" s="224"/>
      <c r="K356" s="159"/>
      <c r="L356" s="159"/>
      <c r="M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row>
    <row r="357" spans="2:53" ht="17.399999999999999" customHeight="1">
      <c r="B357" s="159"/>
      <c r="C357" s="159"/>
      <c r="D357" s="159"/>
      <c r="E357" s="159"/>
      <c r="F357" s="159"/>
      <c r="G357" s="159"/>
      <c r="H357" s="159"/>
      <c r="I357" s="159"/>
      <c r="J357" s="224"/>
      <c r="K357" s="159"/>
      <c r="L357" s="159"/>
      <c r="M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row>
    <row r="358" spans="2:53" ht="17.399999999999999" customHeight="1">
      <c r="B358" s="159"/>
      <c r="C358" s="159"/>
      <c r="D358" s="159"/>
      <c r="E358" s="159"/>
      <c r="F358" s="159"/>
      <c r="G358" s="159"/>
      <c r="H358" s="159"/>
      <c r="I358" s="159"/>
      <c r="J358" s="224"/>
      <c r="K358" s="159"/>
      <c r="L358" s="159"/>
      <c r="M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row>
    <row r="359" spans="2:53" ht="17.399999999999999" customHeight="1">
      <c r="B359" s="159"/>
      <c r="C359" s="159"/>
      <c r="D359" s="159"/>
      <c r="E359" s="159"/>
      <c r="F359" s="159"/>
      <c r="G359" s="159"/>
      <c r="H359" s="159"/>
      <c r="I359" s="159"/>
      <c r="J359" s="224"/>
      <c r="K359" s="159"/>
      <c r="L359" s="159"/>
      <c r="M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row>
    <row r="360" spans="2:53" ht="17.399999999999999" customHeight="1">
      <c r="B360" s="159"/>
      <c r="C360" s="159"/>
      <c r="D360" s="159"/>
      <c r="E360" s="159"/>
      <c r="F360" s="159"/>
      <c r="G360" s="159"/>
      <c r="H360" s="159"/>
      <c r="I360" s="159"/>
      <c r="J360" s="224"/>
      <c r="K360" s="159"/>
      <c r="L360" s="159"/>
      <c r="M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row>
    <row r="361" spans="2:53" ht="17.399999999999999" customHeight="1">
      <c r="B361" s="159"/>
      <c r="C361" s="159"/>
      <c r="D361" s="159"/>
      <c r="E361" s="159"/>
      <c r="F361" s="159"/>
      <c r="G361" s="159"/>
      <c r="H361" s="159"/>
      <c r="I361" s="159"/>
      <c r="J361" s="224"/>
      <c r="K361" s="159"/>
      <c r="L361" s="159"/>
      <c r="M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row>
    <row r="362" spans="2:53" ht="17.399999999999999" customHeight="1">
      <c r="B362" s="159"/>
      <c r="C362" s="159"/>
      <c r="D362" s="159"/>
      <c r="E362" s="159"/>
      <c r="F362" s="159"/>
      <c r="G362" s="159"/>
      <c r="H362" s="159"/>
      <c r="I362" s="159"/>
      <c r="J362" s="224"/>
      <c r="K362" s="159"/>
      <c r="L362" s="159"/>
      <c r="M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row>
    <row r="363" spans="2:53" ht="17.399999999999999" customHeight="1">
      <c r="B363" s="159"/>
      <c r="C363" s="159"/>
      <c r="D363" s="159"/>
      <c r="E363" s="159"/>
      <c r="F363" s="159"/>
      <c r="G363" s="159"/>
      <c r="H363" s="159"/>
      <c r="I363" s="159"/>
      <c r="J363" s="224"/>
      <c r="K363" s="159"/>
      <c r="L363" s="159"/>
      <c r="M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c r="AT363" s="159"/>
      <c r="AU363" s="159"/>
      <c r="AV363" s="159"/>
      <c r="AW363" s="159"/>
      <c r="AX363" s="159"/>
      <c r="AY363" s="159"/>
      <c r="AZ363" s="159"/>
      <c r="BA363" s="159"/>
    </row>
    <row r="364" spans="2:53" ht="17.399999999999999" customHeight="1">
      <c r="B364" s="159"/>
      <c r="C364" s="159"/>
      <c r="D364" s="159"/>
      <c r="E364" s="159"/>
      <c r="F364" s="159"/>
      <c r="G364" s="159"/>
      <c r="H364" s="159"/>
      <c r="I364" s="159"/>
      <c r="J364" s="224"/>
      <c r="K364" s="159"/>
      <c r="L364" s="159"/>
      <c r="M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c r="AT364" s="159"/>
      <c r="AU364" s="159"/>
      <c r="AV364" s="159"/>
      <c r="AW364" s="159"/>
      <c r="AX364" s="159"/>
      <c r="AY364" s="159"/>
      <c r="AZ364" s="159"/>
      <c r="BA364" s="159"/>
    </row>
    <row r="365" spans="2:53" ht="17.399999999999999" customHeight="1">
      <c r="B365" s="159"/>
      <c r="C365" s="159"/>
      <c r="D365" s="159"/>
      <c r="E365" s="159"/>
      <c r="F365" s="159"/>
      <c r="G365" s="159"/>
      <c r="H365" s="159"/>
      <c r="I365" s="159"/>
      <c r="J365" s="224"/>
      <c r="K365" s="159"/>
      <c r="L365" s="159"/>
      <c r="M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c r="AT365" s="159"/>
      <c r="AU365" s="159"/>
      <c r="AV365" s="159"/>
      <c r="AW365" s="159"/>
      <c r="AX365" s="159"/>
      <c r="AY365" s="159"/>
      <c r="AZ365" s="159"/>
      <c r="BA365" s="159"/>
    </row>
    <row r="366" spans="2:53" ht="17.399999999999999" customHeight="1">
      <c r="B366" s="159"/>
      <c r="C366" s="159"/>
      <c r="D366" s="159"/>
      <c r="E366" s="159"/>
      <c r="F366" s="159"/>
      <c r="G366" s="159"/>
      <c r="H366" s="159"/>
      <c r="I366" s="159"/>
      <c r="J366" s="224"/>
      <c r="K366" s="159"/>
      <c r="L366" s="159"/>
      <c r="M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row>
    <row r="367" spans="2:53" ht="17.399999999999999" customHeight="1">
      <c r="B367" s="159"/>
      <c r="C367" s="159"/>
      <c r="D367" s="159"/>
      <c r="E367" s="159"/>
      <c r="F367" s="159"/>
      <c r="G367" s="159"/>
      <c r="H367" s="159"/>
      <c r="I367" s="159"/>
      <c r="J367" s="224"/>
      <c r="K367" s="159"/>
      <c r="L367" s="159"/>
      <c r="M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c r="AT367" s="159"/>
      <c r="AU367" s="159"/>
      <c r="AV367" s="159"/>
      <c r="AW367" s="159"/>
      <c r="AX367" s="159"/>
      <c r="AY367" s="159"/>
      <c r="AZ367" s="159"/>
      <c r="BA367" s="159"/>
    </row>
    <row r="368" spans="2:53" ht="17.399999999999999" customHeight="1">
      <c r="B368" s="159"/>
      <c r="C368" s="159"/>
      <c r="D368" s="159"/>
      <c r="E368" s="159"/>
      <c r="F368" s="159"/>
      <c r="G368" s="159"/>
      <c r="H368" s="159"/>
      <c r="I368" s="159"/>
      <c r="J368" s="224"/>
      <c r="K368" s="159"/>
      <c r="L368" s="159"/>
      <c r="M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59"/>
      <c r="AY368" s="159"/>
      <c r="AZ368" s="159"/>
      <c r="BA368" s="159"/>
    </row>
    <row r="369" spans="2:53" ht="17.399999999999999" customHeight="1">
      <c r="B369" s="159"/>
      <c r="C369" s="159"/>
      <c r="D369" s="159"/>
      <c r="E369" s="159"/>
      <c r="F369" s="159"/>
      <c r="G369" s="159"/>
      <c r="H369" s="159"/>
      <c r="I369" s="159"/>
      <c r="J369" s="224"/>
      <c r="K369" s="159"/>
      <c r="L369" s="159"/>
      <c r="M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c r="AT369" s="159"/>
      <c r="AU369" s="159"/>
      <c r="AV369" s="159"/>
      <c r="AW369" s="159"/>
      <c r="AX369" s="159"/>
      <c r="AY369" s="159"/>
      <c r="AZ369" s="159"/>
      <c r="BA369" s="159"/>
    </row>
    <row r="370" spans="2:53" ht="17.399999999999999" customHeight="1">
      <c r="B370" s="159"/>
      <c r="C370" s="159"/>
      <c r="D370" s="159"/>
      <c r="E370" s="159"/>
      <c r="F370" s="159"/>
      <c r="G370" s="159"/>
      <c r="H370" s="159"/>
      <c r="I370" s="159"/>
      <c r="J370" s="224"/>
      <c r="K370" s="159"/>
      <c r="L370" s="159"/>
      <c r="M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c r="AT370" s="159"/>
      <c r="AU370" s="159"/>
      <c r="AV370" s="159"/>
      <c r="AW370" s="159"/>
      <c r="AX370" s="159"/>
      <c r="AY370" s="159"/>
      <c r="AZ370" s="159"/>
      <c r="BA370" s="159"/>
    </row>
    <row r="371" spans="2:53" ht="17.399999999999999" customHeight="1">
      <c r="B371" s="159"/>
      <c r="C371" s="159"/>
      <c r="D371" s="159"/>
      <c r="E371" s="159"/>
      <c r="F371" s="159"/>
      <c r="G371" s="159"/>
      <c r="H371" s="159"/>
      <c r="I371" s="159"/>
      <c r="J371" s="224"/>
      <c r="K371" s="159"/>
      <c r="L371" s="159"/>
      <c r="M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c r="AT371" s="159"/>
      <c r="AU371" s="159"/>
      <c r="AV371" s="159"/>
      <c r="AW371" s="159"/>
      <c r="AX371" s="159"/>
      <c r="AY371" s="159"/>
      <c r="AZ371" s="159"/>
      <c r="BA371" s="159"/>
    </row>
    <row r="372" spans="2:53" ht="17.399999999999999" customHeight="1">
      <c r="B372" s="159"/>
      <c r="C372" s="159"/>
      <c r="D372" s="159"/>
      <c r="E372" s="159"/>
      <c r="F372" s="159"/>
      <c r="G372" s="159"/>
      <c r="H372" s="159"/>
      <c r="I372" s="159"/>
      <c r="J372" s="224"/>
      <c r="K372" s="159"/>
      <c r="L372" s="159"/>
      <c r="M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c r="AT372" s="159"/>
      <c r="AU372" s="159"/>
      <c r="AV372" s="159"/>
      <c r="AW372" s="159"/>
      <c r="AX372" s="159"/>
      <c r="AY372" s="159"/>
      <c r="AZ372" s="159"/>
      <c r="BA372" s="159"/>
    </row>
    <row r="373" spans="2:53" ht="17.399999999999999" customHeight="1">
      <c r="B373" s="159"/>
      <c r="C373" s="159"/>
      <c r="D373" s="159"/>
      <c r="E373" s="159"/>
      <c r="F373" s="159"/>
      <c r="G373" s="159"/>
      <c r="H373" s="159"/>
      <c r="I373" s="159"/>
      <c r="J373" s="224"/>
      <c r="K373" s="159"/>
      <c r="L373" s="159"/>
      <c r="M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c r="AT373" s="159"/>
      <c r="AU373" s="159"/>
      <c r="AV373" s="159"/>
      <c r="AW373" s="159"/>
      <c r="AX373" s="159"/>
      <c r="AY373" s="159"/>
      <c r="AZ373" s="159"/>
      <c r="BA373" s="159"/>
    </row>
    <row r="374" spans="2:53" ht="17.399999999999999" customHeight="1">
      <c r="B374" s="159"/>
      <c r="C374" s="159"/>
      <c r="D374" s="159"/>
      <c r="E374" s="159"/>
      <c r="F374" s="159"/>
      <c r="G374" s="159"/>
      <c r="H374" s="159"/>
      <c r="I374" s="159"/>
      <c r="J374" s="224"/>
      <c r="K374" s="159"/>
      <c r="L374" s="159"/>
      <c r="M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row>
    <row r="375" spans="2:53" ht="17.399999999999999" customHeight="1">
      <c r="B375" s="159"/>
      <c r="C375" s="159"/>
      <c r="D375" s="159"/>
      <c r="E375" s="159"/>
      <c r="F375" s="159"/>
      <c r="G375" s="159"/>
      <c r="H375" s="159"/>
      <c r="I375" s="159"/>
      <c r="J375" s="224"/>
      <c r="K375" s="159"/>
      <c r="L375" s="159"/>
      <c r="M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c r="AT375" s="159"/>
      <c r="AU375" s="159"/>
      <c r="AV375" s="159"/>
      <c r="AW375" s="159"/>
      <c r="AX375" s="159"/>
      <c r="AY375" s="159"/>
      <c r="AZ375" s="159"/>
      <c r="BA375" s="159"/>
    </row>
    <row r="376" spans="2:53" ht="17.399999999999999" customHeight="1">
      <c r="B376" s="159"/>
      <c r="C376" s="159"/>
      <c r="D376" s="159"/>
      <c r="E376" s="159"/>
      <c r="F376" s="159"/>
      <c r="G376" s="159"/>
      <c r="H376" s="159"/>
      <c r="I376" s="159"/>
      <c r="J376" s="224"/>
      <c r="K376" s="159"/>
      <c r="L376" s="159"/>
      <c r="M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c r="AT376" s="159"/>
      <c r="AU376" s="159"/>
      <c r="AV376" s="159"/>
      <c r="AW376" s="159"/>
      <c r="AX376" s="159"/>
      <c r="AY376" s="159"/>
      <c r="AZ376" s="159"/>
      <c r="BA376" s="159"/>
    </row>
    <row r="377" spans="2:53" ht="17.399999999999999" customHeight="1">
      <c r="B377" s="159"/>
      <c r="C377" s="159"/>
      <c r="D377" s="159"/>
      <c r="E377" s="159"/>
      <c r="F377" s="159"/>
      <c r="G377" s="159"/>
      <c r="H377" s="159"/>
      <c r="I377" s="159"/>
      <c r="J377" s="224"/>
      <c r="K377" s="159"/>
      <c r="L377" s="159"/>
      <c r="M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c r="AT377" s="159"/>
      <c r="AU377" s="159"/>
      <c r="AV377" s="159"/>
      <c r="AW377" s="159"/>
      <c r="AX377" s="159"/>
      <c r="AY377" s="159"/>
      <c r="AZ377" s="159"/>
      <c r="BA377" s="159"/>
    </row>
    <row r="378" spans="2:53" ht="17.399999999999999" customHeight="1">
      <c r="B378" s="159"/>
      <c r="C378" s="159"/>
      <c r="D378" s="159"/>
      <c r="E378" s="159"/>
      <c r="F378" s="159"/>
      <c r="G378" s="159"/>
      <c r="H378" s="159"/>
      <c r="I378" s="159"/>
      <c r="J378" s="224"/>
      <c r="K378" s="159"/>
      <c r="L378" s="159"/>
      <c r="M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c r="AT378" s="159"/>
      <c r="AU378" s="159"/>
      <c r="AV378" s="159"/>
      <c r="AW378" s="159"/>
      <c r="AX378" s="159"/>
      <c r="AY378" s="159"/>
      <c r="AZ378" s="159"/>
      <c r="BA378" s="159"/>
    </row>
    <row r="379" spans="2:53" ht="17.399999999999999" customHeight="1">
      <c r="B379" s="159"/>
      <c r="C379" s="159"/>
      <c r="D379" s="159"/>
      <c r="E379" s="159"/>
      <c r="F379" s="159"/>
      <c r="G379" s="159"/>
      <c r="H379" s="159"/>
      <c r="I379" s="159"/>
      <c r="J379" s="224"/>
      <c r="K379" s="159"/>
      <c r="L379" s="159"/>
      <c r="M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c r="AT379" s="159"/>
      <c r="AU379" s="159"/>
      <c r="AV379" s="159"/>
      <c r="AW379" s="159"/>
      <c r="AX379" s="159"/>
      <c r="AY379" s="159"/>
      <c r="AZ379" s="159"/>
      <c r="BA379" s="159"/>
    </row>
    <row r="380" spans="2:53" ht="17.399999999999999" customHeight="1">
      <c r="B380" s="159"/>
      <c r="C380" s="159"/>
      <c r="D380" s="159"/>
      <c r="E380" s="159"/>
      <c r="F380" s="159"/>
      <c r="G380" s="159"/>
      <c r="H380" s="159"/>
      <c r="I380" s="159"/>
      <c r="J380" s="224"/>
      <c r="K380" s="159"/>
      <c r="L380" s="159"/>
      <c r="M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c r="AT380" s="159"/>
      <c r="AU380" s="159"/>
      <c r="AV380" s="159"/>
      <c r="AW380" s="159"/>
      <c r="AX380" s="159"/>
      <c r="AY380" s="159"/>
      <c r="AZ380" s="159"/>
      <c r="BA380" s="159"/>
    </row>
    <row r="381" spans="2:53" ht="17.399999999999999" customHeight="1">
      <c r="B381" s="159"/>
      <c r="C381" s="159"/>
      <c r="D381" s="159"/>
      <c r="E381" s="159"/>
      <c r="F381" s="159"/>
      <c r="G381" s="159"/>
      <c r="H381" s="159"/>
      <c r="I381" s="159"/>
      <c r="J381" s="224"/>
      <c r="K381" s="159"/>
      <c r="L381" s="159"/>
      <c r="M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row>
    <row r="382" spans="2:53" ht="17.399999999999999" customHeight="1">
      <c r="B382" s="159"/>
      <c r="C382" s="159"/>
      <c r="D382" s="159"/>
      <c r="E382" s="159"/>
      <c r="F382" s="159"/>
      <c r="G382" s="159"/>
      <c r="H382" s="159"/>
      <c r="I382" s="159"/>
      <c r="J382" s="224"/>
      <c r="K382" s="159"/>
      <c r="L382" s="159"/>
      <c r="M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c r="AT382" s="159"/>
      <c r="AU382" s="159"/>
      <c r="AV382" s="159"/>
      <c r="AW382" s="159"/>
      <c r="AX382" s="159"/>
      <c r="AY382" s="159"/>
      <c r="AZ382" s="159"/>
      <c r="BA382" s="159"/>
    </row>
    <row r="383" spans="2:53" ht="17.399999999999999" customHeight="1">
      <c r="B383" s="159"/>
      <c r="C383" s="159"/>
      <c r="D383" s="159"/>
      <c r="E383" s="159"/>
      <c r="F383" s="159"/>
      <c r="G383" s="159"/>
      <c r="H383" s="159"/>
      <c r="I383" s="159"/>
      <c r="J383" s="224"/>
      <c r="K383" s="159"/>
      <c r="L383" s="159"/>
      <c r="M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row>
    <row r="384" spans="2:53" ht="17.399999999999999" customHeight="1">
      <c r="B384" s="159"/>
      <c r="C384" s="159"/>
      <c r="D384" s="159"/>
      <c r="E384" s="159"/>
      <c r="F384" s="159"/>
      <c r="G384" s="159"/>
      <c r="H384" s="159"/>
      <c r="I384" s="159"/>
      <c r="J384" s="224"/>
      <c r="K384" s="159"/>
      <c r="L384" s="159"/>
      <c r="M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c r="AT384" s="159"/>
      <c r="AU384" s="159"/>
      <c r="AV384" s="159"/>
      <c r="AW384" s="159"/>
      <c r="AX384" s="159"/>
      <c r="AY384" s="159"/>
      <c r="AZ384" s="159"/>
      <c r="BA384" s="159"/>
    </row>
    <row r="385" spans="2:53" ht="17.399999999999999" customHeight="1">
      <c r="B385" s="159"/>
      <c r="C385" s="159"/>
      <c r="D385" s="159"/>
      <c r="E385" s="159"/>
      <c r="F385" s="159"/>
      <c r="G385" s="159"/>
      <c r="H385" s="159"/>
      <c r="I385" s="159"/>
      <c r="J385" s="224"/>
      <c r="K385" s="159"/>
      <c r="L385" s="159"/>
      <c r="M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c r="AT385" s="159"/>
      <c r="AU385" s="159"/>
      <c r="AV385" s="159"/>
      <c r="AW385" s="159"/>
      <c r="AX385" s="159"/>
      <c r="AY385" s="159"/>
      <c r="AZ385" s="159"/>
      <c r="BA385" s="159"/>
    </row>
    <row r="386" spans="2:53" ht="17.399999999999999" customHeight="1">
      <c r="B386" s="159"/>
      <c r="C386" s="159"/>
      <c r="D386" s="159"/>
      <c r="E386" s="159"/>
      <c r="F386" s="159"/>
      <c r="G386" s="159"/>
      <c r="H386" s="159"/>
      <c r="I386" s="159"/>
      <c r="J386" s="224"/>
      <c r="K386" s="159"/>
      <c r="L386" s="159"/>
      <c r="M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c r="AT386" s="159"/>
      <c r="AU386" s="159"/>
      <c r="AV386" s="159"/>
      <c r="AW386" s="159"/>
      <c r="AX386" s="159"/>
      <c r="AY386" s="159"/>
      <c r="AZ386" s="159"/>
      <c r="BA386" s="159"/>
    </row>
    <row r="387" spans="2:53" ht="17.399999999999999" customHeight="1">
      <c r="B387" s="159"/>
      <c r="C387" s="159"/>
      <c r="D387" s="159"/>
      <c r="E387" s="159"/>
      <c r="F387" s="159"/>
      <c r="G387" s="159"/>
      <c r="H387" s="159"/>
      <c r="I387" s="159"/>
      <c r="J387" s="224"/>
      <c r="K387" s="159"/>
      <c r="L387" s="159"/>
      <c r="M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row>
    <row r="388" spans="2:53" ht="17.399999999999999" customHeight="1">
      <c r="B388" s="159"/>
      <c r="C388" s="159"/>
      <c r="D388" s="159"/>
      <c r="E388" s="159"/>
      <c r="F388" s="159"/>
      <c r="G388" s="159"/>
      <c r="H388" s="159"/>
      <c r="I388" s="159"/>
      <c r="J388" s="224"/>
      <c r="K388" s="159"/>
      <c r="L388" s="159"/>
      <c r="M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159"/>
      <c r="AU388" s="159"/>
      <c r="AV388" s="159"/>
      <c r="AW388" s="159"/>
      <c r="AX388" s="159"/>
      <c r="AY388" s="159"/>
      <c r="AZ388" s="159"/>
      <c r="BA388" s="159"/>
    </row>
    <row r="389" spans="2:53" ht="17.399999999999999" customHeight="1">
      <c r="B389" s="159"/>
      <c r="C389" s="159"/>
      <c r="D389" s="159"/>
      <c r="E389" s="159"/>
      <c r="F389" s="159"/>
      <c r="G389" s="159"/>
      <c r="H389" s="159"/>
      <c r="I389" s="159"/>
      <c r="J389" s="224"/>
      <c r="K389" s="159"/>
      <c r="L389" s="159"/>
      <c r="M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row>
    <row r="390" spans="2:53" ht="17.399999999999999" customHeight="1">
      <c r="B390" s="159"/>
      <c r="C390" s="159"/>
      <c r="D390" s="159"/>
      <c r="E390" s="159"/>
      <c r="F390" s="159"/>
      <c r="G390" s="159"/>
      <c r="H390" s="159"/>
      <c r="I390" s="159"/>
      <c r="J390" s="224"/>
      <c r="K390" s="159"/>
      <c r="L390" s="159"/>
      <c r="M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row>
    <row r="391" spans="2:53" ht="17.399999999999999" customHeight="1">
      <c r="B391" s="159"/>
      <c r="C391" s="159"/>
      <c r="D391" s="159"/>
      <c r="E391" s="159"/>
      <c r="F391" s="159"/>
      <c r="G391" s="159"/>
      <c r="H391" s="159"/>
      <c r="I391" s="159"/>
      <c r="J391" s="224"/>
      <c r="K391" s="159"/>
      <c r="L391" s="159"/>
      <c r="M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row>
    <row r="392" spans="2:53" ht="17.399999999999999" customHeight="1">
      <c r="B392" s="159"/>
      <c r="C392" s="159"/>
      <c r="D392" s="159"/>
      <c r="E392" s="159"/>
      <c r="F392" s="159"/>
      <c r="G392" s="159"/>
      <c r="H392" s="159"/>
      <c r="I392" s="159"/>
      <c r="J392" s="224"/>
      <c r="K392" s="159"/>
      <c r="L392" s="159"/>
      <c r="M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row>
    <row r="393" spans="2:53" ht="17.399999999999999" customHeight="1">
      <c r="B393" s="159"/>
      <c r="C393" s="159"/>
      <c r="D393" s="159"/>
      <c r="E393" s="159"/>
      <c r="F393" s="159"/>
      <c r="G393" s="159"/>
      <c r="H393" s="159"/>
      <c r="I393" s="159"/>
      <c r="J393" s="224"/>
      <c r="K393" s="159"/>
      <c r="L393" s="159"/>
      <c r="M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row>
    <row r="394" spans="2:53" ht="17.399999999999999" customHeight="1">
      <c r="B394" s="159"/>
      <c r="C394" s="159"/>
      <c r="D394" s="159"/>
      <c r="E394" s="159"/>
      <c r="F394" s="159"/>
      <c r="G394" s="159"/>
      <c r="H394" s="159"/>
      <c r="I394" s="159"/>
      <c r="J394" s="224"/>
      <c r="K394" s="159"/>
      <c r="L394" s="159"/>
      <c r="M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row>
    <row r="395" spans="2:53" ht="17.399999999999999" customHeight="1">
      <c r="B395" s="159"/>
      <c r="C395" s="159"/>
      <c r="D395" s="159"/>
      <c r="E395" s="159"/>
      <c r="F395" s="159"/>
      <c r="G395" s="159"/>
      <c r="H395" s="159"/>
      <c r="I395" s="159"/>
      <c r="J395" s="224"/>
      <c r="K395" s="159"/>
      <c r="L395" s="159"/>
      <c r="M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c r="AT395" s="159"/>
      <c r="AU395" s="159"/>
      <c r="AV395" s="159"/>
      <c r="AW395" s="159"/>
      <c r="AX395" s="159"/>
      <c r="AY395" s="159"/>
      <c r="AZ395" s="159"/>
      <c r="BA395" s="159"/>
    </row>
    <row r="396" spans="2:53" ht="17.399999999999999" customHeight="1">
      <c r="B396" s="159"/>
      <c r="C396" s="159"/>
      <c r="D396" s="159"/>
      <c r="E396" s="159"/>
      <c r="F396" s="159"/>
      <c r="G396" s="159"/>
      <c r="H396" s="159"/>
      <c r="I396" s="159"/>
      <c r="J396" s="224"/>
      <c r="K396" s="159"/>
      <c r="L396" s="159"/>
      <c r="M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c r="AT396" s="159"/>
      <c r="AU396" s="159"/>
      <c r="AV396" s="159"/>
      <c r="AW396" s="159"/>
      <c r="AX396" s="159"/>
      <c r="AY396" s="159"/>
      <c r="AZ396" s="159"/>
      <c r="BA396" s="159"/>
    </row>
    <row r="397" spans="2:53" ht="17.399999999999999" customHeight="1">
      <c r="B397" s="159"/>
      <c r="C397" s="159"/>
      <c r="D397" s="159"/>
      <c r="E397" s="159"/>
      <c r="F397" s="159"/>
      <c r="G397" s="159"/>
      <c r="H397" s="159"/>
      <c r="I397" s="159"/>
      <c r="J397" s="224"/>
      <c r="K397" s="159"/>
      <c r="L397" s="159"/>
      <c r="M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row>
    <row r="398" spans="2:53" ht="17.399999999999999" customHeight="1">
      <c r="B398" s="159"/>
      <c r="C398" s="159"/>
      <c r="D398" s="159"/>
      <c r="E398" s="159"/>
      <c r="F398" s="159"/>
      <c r="G398" s="159"/>
      <c r="H398" s="159"/>
      <c r="I398" s="159"/>
      <c r="J398" s="224"/>
      <c r="K398" s="159"/>
      <c r="L398" s="159"/>
      <c r="M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c r="AT398" s="159"/>
      <c r="AU398" s="159"/>
      <c r="AV398" s="159"/>
      <c r="AW398" s="159"/>
      <c r="AX398" s="159"/>
      <c r="AY398" s="159"/>
      <c r="AZ398" s="159"/>
      <c r="BA398" s="159"/>
    </row>
    <row r="399" spans="2:53" ht="17.399999999999999" customHeight="1">
      <c r="B399" s="159"/>
      <c r="C399" s="159"/>
      <c r="D399" s="159"/>
      <c r="E399" s="159"/>
      <c r="F399" s="159"/>
      <c r="G399" s="159"/>
      <c r="H399" s="159"/>
      <c r="I399" s="159"/>
      <c r="J399" s="224"/>
      <c r="K399" s="159"/>
      <c r="L399" s="159"/>
      <c r="M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c r="AT399" s="159"/>
      <c r="AU399" s="159"/>
      <c r="AV399" s="159"/>
      <c r="AW399" s="159"/>
      <c r="AX399" s="159"/>
      <c r="AY399" s="159"/>
      <c r="AZ399" s="159"/>
      <c r="BA399" s="159"/>
    </row>
    <row r="400" spans="2:53" ht="17.399999999999999" customHeight="1">
      <c r="B400" s="159"/>
      <c r="C400" s="159"/>
      <c r="D400" s="159"/>
      <c r="E400" s="159"/>
      <c r="F400" s="159"/>
      <c r="G400" s="159"/>
      <c r="H400" s="159"/>
      <c r="I400" s="159"/>
      <c r="J400" s="224"/>
      <c r="K400" s="159"/>
      <c r="L400" s="159"/>
      <c r="M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c r="AT400" s="159"/>
      <c r="AU400" s="159"/>
      <c r="AV400" s="159"/>
      <c r="AW400" s="159"/>
      <c r="AX400" s="159"/>
      <c r="AY400" s="159"/>
      <c r="AZ400" s="159"/>
      <c r="BA400" s="159"/>
    </row>
    <row r="401" spans="2:53" ht="17.399999999999999" customHeight="1">
      <c r="B401" s="159"/>
      <c r="C401" s="159"/>
      <c r="D401" s="159"/>
      <c r="E401" s="159"/>
      <c r="F401" s="159"/>
      <c r="G401" s="159"/>
      <c r="H401" s="159"/>
      <c r="I401" s="159"/>
      <c r="J401" s="224"/>
      <c r="K401" s="159"/>
      <c r="L401" s="159"/>
      <c r="M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c r="AT401" s="159"/>
      <c r="AU401" s="159"/>
      <c r="AV401" s="159"/>
      <c r="AW401" s="159"/>
      <c r="AX401" s="159"/>
      <c r="AY401" s="159"/>
      <c r="AZ401" s="159"/>
      <c r="BA401" s="159"/>
    </row>
    <row r="402" spans="2:53" ht="17.399999999999999" customHeight="1">
      <c r="B402" s="159"/>
      <c r="C402" s="159"/>
      <c r="D402" s="159"/>
      <c r="E402" s="159"/>
      <c r="F402" s="159"/>
      <c r="G402" s="159"/>
      <c r="H402" s="159"/>
      <c r="I402" s="159"/>
      <c r="J402" s="224"/>
      <c r="K402" s="159"/>
      <c r="L402" s="159"/>
      <c r="M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c r="AT402" s="159"/>
      <c r="AU402" s="159"/>
      <c r="AV402" s="159"/>
      <c r="AW402" s="159"/>
      <c r="AX402" s="159"/>
      <c r="AY402" s="159"/>
      <c r="AZ402" s="159"/>
      <c r="BA402" s="159"/>
    </row>
    <row r="403" spans="2:53" ht="17.399999999999999" customHeight="1">
      <c r="B403" s="159"/>
      <c r="C403" s="159"/>
      <c r="D403" s="159"/>
      <c r="E403" s="159"/>
      <c r="F403" s="159"/>
      <c r="G403" s="159"/>
      <c r="H403" s="159"/>
      <c r="I403" s="159"/>
      <c r="J403" s="224"/>
      <c r="K403" s="159"/>
      <c r="L403" s="159"/>
      <c r="M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c r="AT403" s="159"/>
      <c r="AU403" s="159"/>
      <c r="AV403" s="159"/>
      <c r="AW403" s="159"/>
      <c r="AX403" s="159"/>
      <c r="AY403" s="159"/>
      <c r="AZ403" s="159"/>
      <c r="BA403" s="159"/>
    </row>
    <row r="404" spans="2:53" ht="17.399999999999999" customHeight="1">
      <c r="B404" s="159"/>
      <c r="C404" s="159"/>
      <c r="D404" s="159"/>
      <c r="E404" s="159"/>
      <c r="F404" s="159"/>
      <c r="G404" s="159"/>
      <c r="H404" s="159"/>
      <c r="I404" s="159"/>
      <c r="J404" s="224"/>
      <c r="K404" s="159"/>
      <c r="L404" s="159"/>
      <c r="M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c r="AT404" s="159"/>
      <c r="AU404" s="159"/>
      <c r="AV404" s="159"/>
      <c r="AW404" s="159"/>
      <c r="AX404" s="159"/>
      <c r="AY404" s="159"/>
      <c r="AZ404" s="159"/>
      <c r="BA404" s="159"/>
    </row>
    <row r="405" spans="2:53" ht="17.399999999999999" customHeight="1">
      <c r="B405" s="159"/>
      <c r="C405" s="159"/>
      <c r="D405" s="159"/>
      <c r="E405" s="159"/>
      <c r="F405" s="159"/>
      <c r="G405" s="159"/>
      <c r="H405" s="159"/>
      <c r="I405" s="159"/>
      <c r="J405" s="224"/>
      <c r="K405" s="159"/>
      <c r="L405" s="159"/>
      <c r="M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c r="AT405" s="159"/>
      <c r="AU405" s="159"/>
      <c r="AV405" s="159"/>
      <c r="AW405" s="159"/>
      <c r="AX405" s="159"/>
      <c r="AY405" s="159"/>
      <c r="AZ405" s="159"/>
      <c r="BA405" s="159"/>
    </row>
    <row r="406" spans="2:53" ht="17.399999999999999" customHeight="1">
      <c r="B406" s="159"/>
      <c r="C406" s="159"/>
      <c r="D406" s="159"/>
      <c r="E406" s="159"/>
      <c r="F406" s="159"/>
      <c r="G406" s="159"/>
      <c r="H406" s="159"/>
      <c r="I406" s="159"/>
      <c r="J406" s="224"/>
      <c r="K406" s="159"/>
      <c r="L406" s="159"/>
      <c r="M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row>
    <row r="407" spans="2:53" ht="17.399999999999999" customHeight="1">
      <c r="B407" s="159"/>
      <c r="C407" s="159"/>
      <c r="D407" s="159"/>
      <c r="E407" s="159"/>
      <c r="F407" s="159"/>
      <c r="G407" s="159"/>
      <c r="H407" s="159"/>
      <c r="I407" s="159"/>
      <c r="J407" s="224"/>
      <c r="K407" s="159"/>
      <c r="L407" s="159"/>
      <c r="M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c r="AT407" s="159"/>
      <c r="AU407" s="159"/>
      <c r="AV407" s="159"/>
      <c r="AW407" s="159"/>
      <c r="AX407" s="159"/>
      <c r="AY407" s="159"/>
      <c r="AZ407" s="159"/>
      <c r="BA407" s="159"/>
    </row>
    <row r="408" spans="2:53" s="159" customFormat="1" ht="17.399999999999999" customHeight="1">
      <c r="J408" s="224"/>
    </row>
    <row r="409" spans="2:53" ht="14.4"/>
    <row r="410" spans="2:53" ht="14.4"/>
    <row r="411" spans="2:53" ht="14.4"/>
    <row r="412" spans="2:53" ht="14.4"/>
    <row r="413" spans="2:53" ht="14.4"/>
    <row r="414" spans="2:53" ht="14.4"/>
    <row r="415" spans="2:53" ht="14.4"/>
    <row r="416" spans="2:53" ht="14.4"/>
    <row r="417" spans="2:53" ht="14.4"/>
    <row r="418" spans="2:53" ht="14.4"/>
    <row r="419" spans="2:53" s="156" customFormat="1" ht="14.4">
      <c r="B419" s="157"/>
      <c r="C419" s="157"/>
      <c r="D419" s="157"/>
      <c r="E419" s="157"/>
      <c r="F419" s="157"/>
      <c r="G419" s="157"/>
      <c r="H419" s="157"/>
      <c r="I419" s="157"/>
      <c r="J419" s="158"/>
      <c r="K419" s="157"/>
      <c r="L419" s="157"/>
      <c r="M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row>
    <row r="420" spans="2:53" s="156" customFormat="1" ht="14.4">
      <c r="B420" s="157"/>
      <c r="C420" s="157"/>
      <c r="D420" s="157"/>
      <c r="E420" s="157"/>
      <c r="F420" s="157"/>
      <c r="G420" s="157"/>
      <c r="H420" s="157"/>
      <c r="I420" s="157"/>
      <c r="J420" s="158"/>
      <c r="K420" s="157"/>
      <c r="L420" s="157"/>
      <c r="M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row>
    <row r="421" spans="2:53" s="156" customFormat="1" ht="14.4">
      <c r="B421" s="157"/>
      <c r="C421" s="157"/>
      <c r="D421" s="157"/>
      <c r="E421" s="157"/>
      <c r="F421" s="157"/>
      <c r="G421" s="157"/>
      <c r="H421" s="157"/>
      <c r="I421" s="157"/>
      <c r="J421" s="158"/>
      <c r="K421" s="157"/>
      <c r="L421" s="157"/>
      <c r="M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row>
    <row r="422" spans="2:53" s="156" customFormat="1" ht="14.4">
      <c r="B422" s="157"/>
      <c r="C422" s="157"/>
      <c r="D422" s="157"/>
      <c r="E422" s="157"/>
      <c r="F422" s="157"/>
      <c r="G422" s="157"/>
      <c r="H422" s="157"/>
      <c r="I422" s="157"/>
      <c r="J422" s="158"/>
      <c r="K422" s="157"/>
      <c r="L422" s="157"/>
      <c r="M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row>
    <row r="423" spans="2:53" s="156" customFormat="1" ht="14.4">
      <c r="B423" s="157"/>
      <c r="C423" s="157"/>
      <c r="D423" s="157"/>
      <c r="E423" s="157"/>
      <c r="F423" s="157"/>
      <c r="G423" s="157"/>
      <c r="H423" s="157"/>
      <c r="I423" s="157"/>
      <c r="J423" s="158"/>
      <c r="K423" s="157"/>
      <c r="L423" s="157"/>
      <c r="M423" s="157"/>
      <c r="O423" s="157"/>
      <c r="P423" s="157"/>
      <c r="Q423" s="157"/>
      <c r="R423" s="157"/>
      <c r="S423" s="157"/>
      <c r="T423" s="157"/>
      <c r="U423" s="157"/>
      <c r="V423" s="157"/>
      <c r="W423" s="157"/>
      <c r="X423" s="157"/>
      <c r="Y423" s="157"/>
      <c r="Z423" s="157"/>
      <c r="AA423" s="157"/>
      <c r="AB423" s="157"/>
      <c r="AC423" s="157"/>
      <c r="AD423" s="157"/>
      <c r="AE423" s="157"/>
      <c r="AF423" s="157"/>
      <c r="AG423" s="157"/>
      <c r="AH423" s="157"/>
      <c r="AI423" s="157"/>
      <c r="AJ423" s="157"/>
      <c r="AK423" s="157"/>
      <c r="AL423" s="157"/>
      <c r="AM423" s="157"/>
      <c r="AN423" s="157"/>
      <c r="AO423" s="157"/>
      <c r="AP423" s="157"/>
      <c r="AQ423" s="157"/>
      <c r="AR423" s="157"/>
      <c r="AS423" s="157"/>
      <c r="AT423" s="157"/>
      <c r="AU423" s="157"/>
      <c r="AV423" s="157"/>
      <c r="AW423" s="157"/>
      <c r="AX423" s="157"/>
      <c r="AY423" s="157"/>
      <c r="AZ423" s="157"/>
      <c r="BA423" s="157"/>
    </row>
    <row r="424" spans="2:53" s="156" customFormat="1" ht="14.4">
      <c r="B424" s="157"/>
      <c r="C424" s="157"/>
      <c r="D424" s="157"/>
      <c r="E424" s="157"/>
      <c r="F424" s="157"/>
      <c r="G424" s="157"/>
      <c r="H424" s="157"/>
      <c r="I424" s="157"/>
      <c r="J424" s="158"/>
      <c r="K424" s="157"/>
      <c r="L424" s="157"/>
      <c r="M424" s="157"/>
      <c r="O424" s="157"/>
      <c r="P424" s="157"/>
      <c r="Q424" s="157"/>
      <c r="R424" s="157"/>
      <c r="S424" s="157"/>
      <c r="T424" s="157"/>
      <c r="U424" s="157"/>
      <c r="V424" s="157"/>
      <c r="W424" s="157"/>
      <c r="X424" s="157"/>
      <c r="Y424" s="157"/>
      <c r="Z424" s="157"/>
      <c r="AA424" s="157"/>
      <c r="AB424" s="157"/>
      <c r="AC424" s="157"/>
      <c r="AD424" s="157"/>
      <c r="AE424" s="157"/>
      <c r="AF424" s="157"/>
      <c r="AG424" s="157"/>
      <c r="AH424" s="157"/>
      <c r="AI424" s="157"/>
      <c r="AJ424" s="157"/>
      <c r="AK424" s="157"/>
      <c r="AL424" s="157"/>
      <c r="AM424" s="157"/>
      <c r="AN424" s="157"/>
      <c r="AO424" s="157"/>
      <c r="AP424" s="157"/>
      <c r="AQ424" s="157"/>
      <c r="AR424" s="157"/>
      <c r="AS424" s="157"/>
      <c r="AT424" s="157"/>
      <c r="AU424" s="157"/>
      <c r="AV424" s="157"/>
      <c r="AW424" s="157"/>
      <c r="AX424" s="157"/>
      <c r="AY424" s="157"/>
      <c r="AZ424" s="157"/>
      <c r="BA424" s="157"/>
    </row>
    <row r="425" spans="2:53" s="156" customFormat="1" ht="14.4">
      <c r="B425" s="157"/>
      <c r="C425" s="157"/>
      <c r="D425" s="157"/>
      <c r="E425" s="157"/>
      <c r="F425" s="157"/>
      <c r="G425" s="157"/>
      <c r="H425" s="157"/>
      <c r="I425" s="157"/>
      <c r="J425" s="158"/>
      <c r="K425" s="157"/>
      <c r="L425" s="157"/>
      <c r="M425" s="157"/>
      <c r="O425" s="157"/>
      <c r="P425" s="157"/>
      <c r="Q425" s="157"/>
      <c r="R425" s="157"/>
      <c r="S425" s="157"/>
      <c r="T425" s="157"/>
      <c r="U425" s="157"/>
      <c r="V425" s="157"/>
      <c r="W425" s="157"/>
      <c r="X425" s="157"/>
      <c r="Y425" s="157"/>
      <c r="Z425" s="157"/>
      <c r="AA425" s="157"/>
      <c r="AB425" s="157"/>
      <c r="AC425" s="157"/>
      <c r="AD425" s="157"/>
      <c r="AE425" s="157"/>
      <c r="AF425" s="157"/>
      <c r="AG425" s="157"/>
      <c r="AH425" s="157"/>
      <c r="AI425" s="157"/>
      <c r="AJ425" s="157"/>
      <c r="AK425" s="157"/>
      <c r="AL425" s="157"/>
      <c r="AM425" s="157"/>
      <c r="AN425" s="157"/>
      <c r="AO425" s="157"/>
      <c r="AP425" s="157"/>
      <c r="AQ425" s="157"/>
      <c r="AR425" s="157"/>
      <c r="AS425" s="157"/>
      <c r="AT425" s="157"/>
      <c r="AU425" s="157"/>
      <c r="AV425" s="157"/>
      <c r="AW425" s="157"/>
      <c r="AX425" s="157"/>
      <c r="AY425" s="157"/>
      <c r="AZ425" s="157"/>
      <c r="BA425" s="157"/>
    </row>
    <row r="426" spans="2:53" ht="15" customHeight="1"/>
    <row r="427" spans="2:53" ht="15" customHeight="1"/>
    <row r="428" spans="2:53" ht="15" customHeight="1"/>
    <row r="429" spans="2:53" ht="15" customHeight="1"/>
    <row r="430" spans="2:53" ht="15" customHeight="1"/>
    <row r="431" spans="2:53" ht="15" customHeight="1"/>
    <row r="432" spans="2:53" ht="15" customHeight="1"/>
    <row r="433" spans="2:53" ht="15" customHeight="1"/>
    <row r="434" spans="2:53" ht="15" customHeight="1"/>
    <row r="435" spans="2:53" ht="15" customHeight="1"/>
    <row r="436" spans="2:53" ht="15" customHeight="1"/>
    <row r="437" spans="2:53" s="156" customFormat="1" ht="15" customHeight="1">
      <c r="B437" s="157"/>
      <c r="C437" s="157"/>
      <c r="D437" s="157"/>
      <c r="E437" s="157"/>
      <c r="F437" s="157"/>
      <c r="G437" s="157"/>
      <c r="H437" s="157"/>
      <c r="I437" s="157"/>
      <c r="J437" s="158"/>
      <c r="K437" s="157"/>
      <c r="L437" s="157"/>
      <c r="M437" s="157"/>
      <c r="O437" s="157"/>
      <c r="P437" s="157"/>
      <c r="Q437" s="157"/>
      <c r="R437" s="157"/>
      <c r="S437" s="157"/>
      <c r="T437" s="157"/>
      <c r="U437" s="157"/>
      <c r="V437" s="157"/>
      <c r="W437" s="157"/>
      <c r="X437" s="157"/>
      <c r="Y437" s="157"/>
      <c r="Z437" s="157"/>
      <c r="AA437" s="157"/>
      <c r="AB437" s="157"/>
      <c r="AC437" s="157"/>
      <c r="AD437" s="157"/>
      <c r="AE437" s="157"/>
      <c r="AF437" s="157"/>
      <c r="AG437" s="157"/>
      <c r="AH437" s="157"/>
      <c r="AI437" s="157"/>
      <c r="AJ437" s="157"/>
      <c r="AK437" s="157"/>
      <c r="AL437" s="157"/>
      <c r="AM437" s="157"/>
      <c r="AN437" s="157"/>
      <c r="AO437" s="157"/>
      <c r="AP437" s="157"/>
      <c r="AQ437" s="157"/>
      <c r="AR437" s="157"/>
      <c r="AS437" s="157"/>
      <c r="AT437" s="157"/>
      <c r="AU437" s="157"/>
      <c r="AV437" s="157"/>
      <c r="AW437" s="157"/>
      <c r="AX437" s="157"/>
      <c r="AY437" s="157"/>
      <c r="AZ437" s="157"/>
      <c r="BA437" s="157"/>
    </row>
    <row r="438" spans="2:53" s="156" customFormat="1" ht="15" customHeight="1">
      <c r="B438" s="157"/>
      <c r="C438" s="157"/>
      <c r="D438" s="157"/>
      <c r="E438" s="157"/>
      <c r="F438" s="157"/>
      <c r="G438" s="157"/>
      <c r="H438" s="157"/>
      <c r="I438" s="157"/>
      <c r="J438" s="158"/>
      <c r="K438" s="157"/>
      <c r="L438" s="157"/>
      <c r="M438" s="157"/>
      <c r="O438" s="157"/>
      <c r="P438" s="157"/>
      <c r="Q438" s="157"/>
      <c r="R438" s="157"/>
      <c r="S438" s="157"/>
      <c r="T438" s="157"/>
      <c r="U438" s="157"/>
      <c r="V438" s="157"/>
      <c r="W438" s="157"/>
      <c r="X438" s="157"/>
      <c r="Y438" s="157"/>
      <c r="Z438" s="157"/>
      <c r="AA438" s="157"/>
      <c r="AB438" s="157"/>
      <c r="AC438" s="157"/>
      <c r="AD438" s="157"/>
      <c r="AE438" s="157"/>
      <c r="AF438" s="157"/>
      <c r="AG438" s="157"/>
      <c r="AH438" s="157"/>
      <c r="AI438" s="157"/>
      <c r="AJ438" s="157"/>
      <c r="AK438" s="157"/>
      <c r="AL438" s="157"/>
      <c r="AM438" s="157"/>
      <c r="AN438" s="157"/>
      <c r="AO438" s="157"/>
      <c r="AP438" s="157"/>
      <c r="AQ438" s="157"/>
      <c r="AR438" s="157"/>
      <c r="AS438" s="157"/>
      <c r="AT438" s="157"/>
      <c r="AU438" s="157"/>
      <c r="AV438" s="157"/>
      <c r="AW438" s="157"/>
      <c r="AX438" s="157"/>
      <c r="AY438" s="157"/>
      <c r="AZ438" s="157"/>
      <c r="BA438" s="157"/>
    </row>
    <row r="439" spans="2:53" s="156" customFormat="1" ht="15" customHeight="1">
      <c r="B439" s="157"/>
      <c r="C439" s="157"/>
      <c r="D439" s="157"/>
      <c r="E439" s="157"/>
      <c r="F439" s="157"/>
      <c r="G439" s="157"/>
      <c r="H439" s="157"/>
      <c r="I439" s="157"/>
      <c r="J439" s="158"/>
      <c r="K439" s="157"/>
      <c r="L439" s="157"/>
      <c r="M439" s="157"/>
      <c r="O439" s="157"/>
      <c r="P439" s="157"/>
      <c r="Q439" s="157"/>
      <c r="R439" s="157"/>
      <c r="S439" s="157"/>
      <c r="T439" s="157"/>
      <c r="U439" s="157"/>
      <c r="V439" s="157"/>
      <c r="W439" s="157"/>
      <c r="X439" s="157"/>
      <c r="Y439" s="157"/>
      <c r="Z439" s="157"/>
      <c r="AA439" s="157"/>
      <c r="AB439" s="157"/>
      <c r="AC439" s="157"/>
      <c r="AD439" s="157"/>
      <c r="AE439" s="157"/>
      <c r="AF439" s="157"/>
      <c r="AG439" s="157"/>
      <c r="AH439" s="157"/>
      <c r="AI439" s="157"/>
      <c r="AJ439" s="157"/>
      <c r="AK439" s="157"/>
      <c r="AL439" s="157"/>
      <c r="AM439" s="157"/>
      <c r="AN439" s="157"/>
      <c r="AO439" s="157"/>
      <c r="AP439" s="157"/>
      <c r="AQ439" s="157"/>
      <c r="AR439" s="157"/>
      <c r="AS439" s="157"/>
      <c r="AT439" s="157"/>
      <c r="AU439" s="157"/>
      <c r="AV439" s="157"/>
      <c r="AW439" s="157"/>
      <c r="AX439" s="157"/>
      <c r="AY439" s="157"/>
      <c r="AZ439" s="157"/>
      <c r="BA439" s="157"/>
    </row>
    <row r="440" spans="2:53" s="156" customFormat="1" ht="15" customHeight="1">
      <c r="B440" s="157"/>
      <c r="C440" s="157"/>
      <c r="D440" s="157"/>
      <c r="E440" s="157"/>
      <c r="F440" s="157"/>
      <c r="G440" s="157"/>
      <c r="H440" s="157"/>
      <c r="I440" s="157"/>
      <c r="J440" s="158"/>
      <c r="K440" s="157"/>
      <c r="L440" s="157"/>
      <c r="M440" s="157"/>
      <c r="O440" s="157"/>
      <c r="P440" s="157"/>
      <c r="Q440" s="157"/>
      <c r="R440" s="157"/>
      <c r="S440" s="157"/>
      <c r="T440" s="157"/>
      <c r="U440" s="157"/>
      <c r="V440" s="157"/>
      <c r="W440" s="157"/>
      <c r="X440" s="157"/>
      <c r="Y440" s="157"/>
      <c r="Z440" s="157"/>
      <c r="AA440" s="157"/>
      <c r="AB440" s="157"/>
      <c r="AC440" s="157"/>
      <c r="AD440" s="157"/>
      <c r="AE440" s="157"/>
      <c r="AF440" s="157"/>
      <c r="AG440" s="157"/>
      <c r="AH440" s="157"/>
      <c r="AI440" s="157"/>
      <c r="AJ440" s="157"/>
      <c r="AK440" s="157"/>
      <c r="AL440" s="157"/>
      <c r="AM440" s="157"/>
      <c r="AN440" s="157"/>
      <c r="AO440" s="157"/>
      <c r="AP440" s="157"/>
      <c r="AQ440" s="157"/>
      <c r="AR440" s="157"/>
      <c r="AS440" s="157"/>
      <c r="AT440" s="157"/>
      <c r="AU440" s="157"/>
      <c r="AV440" s="157"/>
      <c r="AW440" s="157"/>
      <c r="AX440" s="157"/>
      <c r="AY440" s="157"/>
      <c r="AZ440" s="157"/>
      <c r="BA440" s="157"/>
    </row>
    <row r="441" spans="2:53" s="156" customFormat="1" ht="15" customHeight="1">
      <c r="B441" s="157"/>
      <c r="C441" s="157"/>
      <c r="D441" s="157"/>
      <c r="E441" s="157"/>
      <c r="F441" s="157"/>
      <c r="G441" s="157"/>
      <c r="H441" s="157"/>
      <c r="I441" s="157"/>
      <c r="J441" s="158"/>
      <c r="K441" s="157"/>
      <c r="L441" s="157"/>
      <c r="M441" s="157"/>
      <c r="O441" s="157"/>
      <c r="P441" s="157"/>
      <c r="Q441" s="157"/>
      <c r="R441" s="157"/>
      <c r="S441" s="157"/>
      <c r="T441" s="157"/>
      <c r="U441" s="157"/>
      <c r="V441" s="157"/>
      <c r="W441" s="157"/>
      <c r="X441" s="157"/>
      <c r="Y441" s="157"/>
      <c r="Z441" s="157"/>
      <c r="AA441" s="157"/>
      <c r="AB441" s="157"/>
      <c r="AC441" s="157"/>
      <c r="AD441" s="157"/>
      <c r="AE441" s="157"/>
      <c r="AF441" s="157"/>
      <c r="AG441" s="157"/>
      <c r="AH441" s="157"/>
      <c r="AI441" s="157"/>
      <c r="AJ441" s="157"/>
      <c r="AK441" s="157"/>
      <c r="AL441" s="157"/>
      <c r="AM441" s="157"/>
      <c r="AN441" s="157"/>
      <c r="AO441" s="157"/>
      <c r="AP441" s="157"/>
      <c r="AQ441" s="157"/>
      <c r="AR441" s="157"/>
      <c r="AS441" s="157"/>
      <c r="AT441" s="157"/>
      <c r="AU441" s="157"/>
      <c r="AV441" s="157"/>
      <c r="AW441" s="157"/>
      <c r="AX441" s="157"/>
      <c r="AY441" s="157"/>
      <c r="AZ441" s="157"/>
      <c r="BA441" s="157"/>
    </row>
    <row r="442" spans="2:53" s="156" customFormat="1" ht="15" customHeight="1">
      <c r="B442" s="157"/>
      <c r="C442" s="157"/>
      <c r="D442" s="157"/>
      <c r="E442" s="157"/>
      <c r="F442" s="157"/>
      <c r="G442" s="157"/>
      <c r="H442" s="157"/>
      <c r="I442" s="157"/>
      <c r="J442" s="158"/>
      <c r="K442" s="157"/>
      <c r="L442" s="157"/>
      <c r="M442" s="157"/>
      <c r="O442" s="157"/>
      <c r="P442" s="157"/>
      <c r="Q442" s="157"/>
      <c r="R442" s="157"/>
      <c r="S442" s="157"/>
      <c r="T442" s="157"/>
      <c r="U442" s="157"/>
      <c r="V442" s="157"/>
      <c r="W442" s="157"/>
      <c r="X442" s="157"/>
      <c r="Y442" s="157"/>
      <c r="Z442" s="157"/>
      <c r="AA442" s="157"/>
      <c r="AB442" s="157"/>
      <c r="AC442" s="157"/>
      <c r="AD442" s="157"/>
      <c r="AE442" s="157"/>
      <c r="AF442" s="157"/>
      <c r="AG442" s="157"/>
      <c r="AH442" s="157"/>
      <c r="AI442" s="157"/>
      <c r="AJ442" s="157"/>
      <c r="AK442" s="157"/>
      <c r="AL442" s="157"/>
      <c r="AM442" s="157"/>
      <c r="AN442" s="157"/>
      <c r="AO442" s="157"/>
      <c r="AP442" s="157"/>
      <c r="AQ442" s="157"/>
      <c r="AR442" s="157"/>
      <c r="AS442" s="157"/>
      <c r="AT442" s="157"/>
      <c r="AU442" s="157"/>
      <c r="AV442" s="157"/>
      <c r="AW442" s="157"/>
      <c r="AX442" s="157"/>
      <c r="AY442" s="157"/>
      <c r="AZ442" s="157"/>
      <c r="BA442" s="157"/>
    </row>
    <row r="443" spans="2:53" s="156" customFormat="1" ht="15" customHeight="1">
      <c r="B443" s="157"/>
      <c r="C443" s="157"/>
      <c r="D443" s="157"/>
      <c r="E443" s="157"/>
      <c r="F443" s="157"/>
      <c r="G443" s="157"/>
      <c r="H443" s="157"/>
      <c r="I443" s="157"/>
      <c r="J443" s="158"/>
      <c r="K443" s="157"/>
      <c r="L443" s="157"/>
      <c r="M443" s="157"/>
      <c r="O443" s="157"/>
      <c r="P443" s="157"/>
      <c r="Q443" s="157"/>
      <c r="R443" s="157"/>
      <c r="S443" s="157"/>
      <c r="T443" s="157"/>
      <c r="U443" s="157"/>
      <c r="V443" s="157"/>
      <c r="W443" s="157"/>
      <c r="X443" s="157"/>
      <c r="Y443" s="157"/>
      <c r="Z443" s="157"/>
      <c r="AA443" s="157"/>
      <c r="AB443" s="157"/>
      <c r="AC443" s="157"/>
      <c r="AD443" s="157"/>
      <c r="AE443" s="157"/>
      <c r="AF443" s="157"/>
      <c r="AG443" s="157"/>
      <c r="AH443" s="157"/>
      <c r="AI443" s="157"/>
      <c r="AJ443" s="157"/>
      <c r="AK443" s="157"/>
      <c r="AL443" s="157"/>
      <c r="AM443" s="157"/>
      <c r="AN443" s="157"/>
      <c r="AO443" s="157"/>
      <c r="AP443" s="157"/>
      <c r="AQ443" s="157"/>
      <c r="AR443" s="157"/>
      <c r="AS443" s="157"/>
      <c r="AT443" s="157"/>
      <c r="AU443" s="157"/>
      <c r="AV443" s="157"/>
      <c r="AW443" s="157"/>
      <c r="AX443" s="157"/>
      <c r="AY443" s="157"/>
      <c r="AZ443" s="157"/>
      <c r="BA443" s="157"/>
    </row>
    <row r="444" spans="2:53" s="156" customFormat="1" ht="15" customHeight="1">
      <c r="B444" s="157"/>
      <c r="C444" s="157"/>
      <c r="D444" s="157"/>
      <c r="E444" s="157"/>
      <c r="F444" s="157"/>
      <c r="G444" s="157"/>
      <c r="H444" s="157"/>
      <c r="I444" s="157"/>
      <c r="J444" s="158"/>
      <c r="K444" s="157"/>
      <c r="L444" s="157"/>
      <c r="M444" s="157"/>
      <c r="O444" s="157"/>
      <c r="P444" s="157"/>
      <c r="Q444" s="157"/>
      <c r="R444" s="157"/>
      <c r="S444" s="157"/>
      <c r="T444" s="157"/>
      <c r="U444" s="157"/>
      <c r="V444" s="157"/>
      <c r="W444" s="157"/>
      <c r="X444" s="157"/>
      <c r="Y444" s="157"/>
      <c r="Z444" s="157"/>
      <c r="AA444" s="157"/>
      <c r="AB444" s="157"/>
      <c r="AC444" s="157"/>
      <c r="AD444" s="157"/>
      <c r="AE444" s="157"/>
      <c r="AF444" s="157"/>
      <c r="AG444" s="157"/>
      <c r="AH444" s="157"/>
      <c r="AI444" s="157"/>
      <c r="AJ444" s="157"/>
      <c r="AK444" s="157"/>
      <c r="AL444" s="157"/>
      <c r="AM444" s="157"/>
      <c r="AN444" s="157"/>
      <c r="AO444" s="157"/>
      <c r="AP444" s="157"/>
      <c r="AQ444" s="157"/>
      <c r="AR444" s="157"/>
      <c r="AS444" s="157"/>
      <c r="AT444" s="157"/>
      <c r="AU444" s="157"/>
      <c r="AV444" s="157"/>
      <c r="AW444" s="157"/>
      <c r="AX444" s="157"/>
      <c r="AY444" s="157"/>
      <c r="AZ444" s="157"/>
      <c r="BA444" s="157"/>
    </row>
    <row r="445" spans="2:53" s="156" customFormat="1" ht="15" customHeight="1">
      <c r="B445" s="157"/>
      <c r="C445" s="157"/>
      <c r="D445" s="157"/>
      <c r="E445" s="157"/>
      <c r="F445" s="157"/>
      <c r="G445" s="157"/>
      <c r="H445" s="157"/>
      <c r="I445" s="157"/>
      <c r="J445" s="158"/>
      <c r="K445" s="157"/>
      <c r="L445" s="157"/>
      <c r="M445" s="157"/>
      <c r="O445" s="157"/>
      <c r="P445" s="157"/>
      <c r="Q445" s="157"/>
      <c r="R445" s="157"/>
      <c r="S445" s="157"/>
      <c r="T445" s="157"/>
      <c r="U445" s="157"/>
      <c r="V445" s="157"/>
      <c r="W445" s="157"/>
      <c r="X445" s="157"/>
      <c r="Y445" s="157"/>
      <c r="Z445" s="157"/>
      <c r="AA445" s="157"/>
      <c r="AB445" s="157"/>
      <c r="AC445" s="157"/>
      <c r="AD445" s="157"/>
      <c r="AE445" s="157"/>
      <c r="AF445" s="157"/>
      <c r="AG445" s="157"/>
      <c r="AH445" s="157"/>
      <c r="AI445" s="157"/>
      <c r="AJ445" s="157"/>
      <c r="AK445" s="157"/>
      <c r="AL445" s="157"/>
      <c r="AM445" s="157"/>
      <c r="AN445" s="157"/>
      <c r="AO445" s="157"/>
      <c r="AP445" s="157"/>
      <c r="AQ445" s="157"/>
      <c r="AR445" s="157"/>
      <c r="AS445" s="157"/>
      <c r="AT445" s="157"/>
      <c r="AU445" s="157"/>
      <c r="AV445" s="157"/>
      <c r="AW445" s="157"/>
      <c r="AX445" s="157"/>
      <c r="AY445" s="157"/>
      <c r="AZ445" s="157"/>
      <c r="BA445" s="157"/>
    </row>
    <row r="446" spans="2:53" s="156" customFormat="1" ht="15" customHeight="1">
      <c r="B446" s="157"/>
      <c r="C446" s="157"/>
      <c r="D446" s="157"/>
      <c r="E446" s="157"/>
      <c r="F446" s="157"/>
      <c r="G446" s="157"/>
      <c r="H446" s="157"/>
      <c r="I446" s="157"/>
      <c r="J446" s="158"/>
      <c r="K446" s="157"/>
      <c r="L446" s="157"/>
      <c r="M446" s="157"/>
      <c r="O446" s="157"/>
      <c r="P446" s="157"/>
      <c r="Q446" s="157"/>
      <c r="R446" s="157"/>
      <c r="S446" s="157"/>
      <c r="T446" s="157"/>
      <c r="U446" s="157"/>
      <c r="V446" s="157"/>
      <c r="W446" s="157"/>
      <c r="X446" s="157"/>
      <c r="Y446" s="157"/>
      <c r="Z446" s="157"/>
      <c r="AA446" s="157"/>
      <c r="AB446" s="157"/>
      <c r="AC446" s="157"/>
      <c r="AD446" s="157"/>
      <c r="AE446" s="157"/>
      <c r="AF446" s="157"/>
      <c r="AG446" s="157"/>
      <c r="AH446" s="157"/>
      <c r="AI446" s="157"/>
      <c r="AJ446" s="157"/>
      <c r="AK446" s="157"/>
      <c r="AL446" s="157"/>
      <c r="AM446" s="157"/>
      <c r="AN446" s="157"/>
      <c r="AO446" s="157"/>
      <c r="AP446" s="157"/>
      <c r="AQ446" s="157"/>
      <c r="AR446" s="157"/>
      <c r="AS446" s="157"/>
      <c r="AT446" s="157"/>
      <c r="AU446" s="157"/>
      <c r="AV446" s="157"/>
      <c r="AW446" s="157"/>
      <c r="AX446" s="157"/>
      <c r="AY446" s="157"/>
      <c r="AZ446" s="157"/>
      <c r="BA446" s="157"/>
    </row>
    <row r="447" spans="2:53" s="156" customFormat="1" ht="15" customHeight="1">
      <c r="B447" s="157"/>
      <c r="C447" s="157"/>
      <c r="D447" s="157"/>
      <c r="E447" s="157"/>
      <c r="F447" s="157"/>
      <c r="G447" s="157"/>
      <c r="H447" s="157"/>
      <c r="I447" s="157"/>
      <c r="J447" s="158"/>
      <c r="K447" s="157"/>
      <c r="L447" s="157"/>
      <c r="M447" s="157"/>
      <c r="O447" s="157"/>
      <c r="P447" s="157"/>
      <c r="Q447" s="157"/>
      <c r="R447" s="157"/>
      <c r="S447" s="157"/>
      <c r="T447" s="157"/>
      <c r="U447" s="157"/>
      <c r="V447" s="157"/>
      <c r="W447" s="157"/>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7"/>
      <c r="AU447" s="157"/>
      <c r="AV447" s="157"/>
      <c r="AW447" s="157"/>
      <c r="AX447" s="157"/>
      <c r="AY447" s="157"/>
      <c r="AZ447" s="157"/>
      <c r="BA447" s="157"/>
    </row>
    <row r="448" spans="2:53" s="156" customFormat="1" ht="15" customHeight="1">
      <c r="B448" s="157"/>
      <c r="C448" s="157"/>
      <c r="D448" s="157"/>
      <c r="E448" s="157"/>
      <c r="F448" s="157"/>
      <c r="G448" s="157"/>
      <c r="H448" s="157"/>
      <c r="I448" s="157"/>
      <c r="J448" s="158"/>
      <c r="K448" s="157"/>
      <c r="L448" s="157"/>
      <c r="M448" s="157"/>
      <c r="O448" s="157"/>
      <c r="P448" s="157"/>
      <c r="Q448" s="157"/>
      <c r="R448" s="157"/>
      <c r="S448" s="157"/>
      <c r="T448" s="157"/>
      <c r="U448" s="157"/>
      <c r="V448" s="157"/>
      <c r="W448" s="157"/>
      <c r="X448" s="157"/>
      <c r="Y448" s="157"/>
      <c r="Z448" s="157"/>
      <c r="AA448" s="157"/>
      <c r="AB448" s="157"/>
      <c r="AC448" s="157"/>
      <c r="AD448" s="157"/>
      <c r="AE448" s="157"/>
      <c r="AF448" s="157"/>
      <c r="AG448" s="157"/>
      <c r="AH448" s="157"/>
      <c r="AI448" s="157"/>
      <c r="AJ448" s="157"/>
      <c r="AK448" s="157"/>
      <c r="AL448" s="157"/>
      <c r="AM448" s="157"/>
      <c r="AN448" s="157"/>
      <c r="AO448" s="157"/>
      <c r="AP448" s="157"/>
      <c r="AQ448" s="157"/>
      <c r="AR448" s="157"/>
      <c r="AS448" s="157"/>
      <c r="AT448" s="157"/>
      <c r="AU448" s="157"/>
      <c r="AV448" s="157"/>
      <c r="AW448" s="157"/>
      <c r="AX448" s="157"/>
      <c r="AY448" s="157"/>
      <c r="AZ448" s="157"/>
      <c r="BA448" s="157"/>
    </row>
    <row r="449" spans="2:53" s="156" customFormat="1" ht="15" customHeight="1">
      <c r="B449" s="157"/>
      <c r="C449" s="157"/>
      <c r="D449" s="157"/>
      <c r="E449" s="157"/>
      <c r="F449" s="157"/>
      <c r="G449" s="157"/>
      <c r="H449" s="157"/>
      <c r="I449" s="157"/>
      <c r="J449" s="158"/>
      <c r="K449" s="157"/>
      <c r="L449" s="157"/>
      <c r="M449" s="157"/>
      <c r="O449" s="157"/>
      <c r="P449" s="157"/>
      <c r="Q449" s="157"/>
      <c r="R449" s="157"/>
      <c r="S449" s="157"/>
      <c r="T449" s="157"/>
      <c r="U449" s="157"/>
      <c r="V449" s="157"/>
      <c r="W449" s="157"/>
      <c r="X449" s="157"/>
      <c r="Y449" s="157"/>
      <c r="Z449" s="157"/>
      <c r="AA449" s="157"/>
      <c r="AB449" s="157"/>
      <c r="AC449" s="157"/>
      <c r="AD449" s="157"/>
      <c r="AE449" s="157"/>
      <c r="AF449" s="157"/>
      <c r="AG449" s="157"/>
      <c r="AH449" s="157"/>
      <c r="AI449" s="157"/>
      <c r="AJ449" s="157"/>
      <c r="AK449" s="157"/>
      <c r="AL449" s="157"/>
      <c r="AM449" s="157"/>
      <c r="AN449" s="157"/>
      <c r="AO449" s="157"/>
      <c r="AP449" s="157"/>
      <c r="AQ449" s="157"/>
      <c r="AR449" s="157"/>
      <c r="AS449" s="157"/>
      <c r="AT449" s="157"/>
      <c r="AU449" s="157"/>
      <c r="AV449" s="157"/>
      <c r="AW449" s="157"/>
      <c r="AX449" s="157"/>
      <c r="AY449" s="157"/>
      <c r="AZ449" s="157"/>
      <c r="BA449" s="157"/>
    </row>
    <row r="450" spans="2:53" s="156" customFormat="1" ht="15" customHeight="1">
      <c r="B450" s="157"/>
      <c r="C450" s="157"/>
      <c r="D450" s="157"/>
      <c r="E450" s="157"/>
      <c r="F450" s="157"/>
      <c r="G450" s="157"/>
      <c r="H450" s="157"/>
      <c r="I450" s="157"/>
      <c r="J450" s="158"/>
      <c r="K450" s="157"/>
      <c r="L450" s="157"/>
      <c r="M450" s="157"/>
      <c r="O450" s="157"/>
      <c r="P450" s="157"/>
      <c r="Q450" s="157"/>
      <c r="R450" s="157"/>
      <c r="S450" s="157"/>
      <c r="T450" s="157"/>
      <c r="U450" s="157"/>
      <c r="V450" s="157"/>
      <c r="W450" s="157"/>
      <c r="X450" s="157"/>
      <c r="Y450" s="157"/>
      <c r="Z450" s="157"/>
      <c r="AA450" s="157"/>
      <c r="AB450" s="157"/>
      <c r="AC450" s="157"/>
      <c r="AD450" s="157"/>
      <c r="AE450" s="157"/>
      <c r="AF450" s="157"/>
      <c r="AG450" s="157"/>
      <c r="AH450" s="157"/>
      <c r="AI450" s="157"/>
      <c r="AJ450" s="157"/>
      <c r="AK450" s="157"/>
      <c r="AL450" s="157"/>
      <c r="AM450" s="157"/>
      <c r="AN450" s="157"/>
      <c r="AO450" s="157"/>
      <c r="AP450" s="157"/>
      <c r="AQ450" s="157"/>
      <c r="AR450" s="157"/>
      <c r="AS450" s="157"/>
      <c r="AT450" s="157"/>
      <c r="AU450" s="157"/>
      <c r="AV450" s="157"/>
      <c r="AW450" s="157"/>
      <c r="AX450" s="157"/>
      <c r="AY450" s="157"/>
      <c r="AZ450" s="157"/>
      <c r="BA450" s="157"/>
    </row>
    <row r="451" spans="2:53" s="156" customFormat="1" ht="15" customHeight="1">
      <c r="B451" s="157"/>
      <c r="C451" s="157"/>
      <c r="D451" s="157"/>
      <c r="E451" s="157"/>
      <c r="F451" s="157"/>
      <c r="G451" s="157"/>
      <c r="H451" s="157"/>
      <c r="I451" s="157"/>
      <c r="J451" s="158"/>
      <c r="K451" s="157"/>
      <c r="L451" s="157"/>
      <c r="M451" s="157"/>
      <c r="O451" s="157"/>
      <c r="P451" s="157"/>
      <c r="Q451" s="157"/>
      <c r="R451" s="157"/>
      <c r="S451" s="157"/>
      <c r="T451" s="157"/>
      <c r="U451" s="157"/>
      <c r="V451" s="157"/>
      <c r="W451" s="157"/>
      <c r="X451" s="157"/>
      <c r="Y451" s="157"/>
      <c r="Z451" s="157"/>
      <c r="AA451" s="157"/>
      <c r="AB451" s="157"/>
      <c r="AC451" s="157"/>
      <c r="AD451" s="157"/>
      <c r="AE451" s="157"/>
      <c r="AF451" s="157"/>
      <c r="AG451" s="157"/>
      <c r="AH451" s="157"/>
      <c r="AI451" s="157"/>
      <c r="AJ451" s="157"/>
      <c r="AK451" s="157"/>
      <c r="AL451" s="157"/>
      <c r="AM451" s="157"/>
      <c r="AN451" s="157"/>
      <c r="AO451" s="157"/>
      <c r="AP451" s="157"/>
      <c r="AQ451" s="157"/>
      <c r="AR451" s="157"/>
      <c r="AS451" s="157"/>
      <c r="AT451" s="157"/>
      <c r="AU451" s="157"/>
      <c r="AV451" s="157"/>
      <c r="AW451" s="157"/>
      <c r="AX451" s="157"/>
      <c r="AY451" s="157"/>
      <c r="AZ451" s="157"/>
      <c r="BA451" s="157"/>
    </row>
    <row r="452" spans="2:53" s="156" customFormat="1" ht="15" customHeight="1">
      <c r="B452" s="157"/>
      <c r="C452" s="157"/>
      <c r="D452" s="157"/>
      <c r="E452" s="157"/>
      <c r="F452" s="157"/>
      <c r="G452" s="157"/>
      <c r="H452" s="157"/>
      <c r="I452" s="157"/>
      <c r="J452" s="158"/>
      <c r="K452" s="157"/>
      <c r="L452" s="157"/>
      <c r="M452" s="157"/>
      <c r="O452" s="157"/>
      <c r="P452" s="157"/>
      <c r="Q452" s="157"/>
      <c r="R452" s="157"/>
      <c r="S452" s="157"/>
      <c r="T452" s="157"/>
      <c r="U452" s="157"/>
      <c r="V452" s="157"/>
      <c r="W452" s="157"/>
      <c r="X452" s="157"/>
      <c r="Y452" s="157"/>
      <c r="Z452" s="157"/>
      <c r="AA452" s="157"/>
      <c r="AB452" s="157"/>
      <c r="AC452" s="157"/>
      <c r="AD452" s="157"/>
      <c r="AE452" s="157"/>
      <c r="AF452" s="157"/>
      <c r="AG452" s="157"/>
      <c r="AH452" s="157"/>
      <c r="AI452" s="157"/>
      <c r="AJ452" s="157"/>
      <c r="AK452" s="157"/>
      <c r="AL452" s="157"/>
      <c r="AM452" s="157"/>
      <c r="AN452" s="157"/>
      <c r="AO452" s="157"/>
      <c r="AP452" s="157"/>
      <c r="AQ452" s="157"/>
      <c r="AR452" s="157"/>
      <c r="AS452" s="157"/>
      <c r="AT452" s="157"/>
      <c r="AU452" s="157"/>
      <c r="AV452" s="157"/>
      <c r="AW452" s="157"/>
      <c r="AX452" s="157"/>
      <c r="AY452" s="157"/>
      <c r="AZ452" s="157"/>
      <c r="BA452" s="157"/>
    </row>
    <row r="453" spans="2:53" s="156" customFormat="1" ht="15" customHeight="1">
      <c r="B453" s="157"/>
      <c r="C453" s="157"/>
      <c r="D453" s="157"/>
      <c r="E453" s="157"/>
      <c r="F453" s="157"/>
      <c r="G453" s="157"/>
      <c r="H453" s="157"/>
      <c r="I453" s="157"/>
      <c r="J453" s="158"/>
      <c r="K453" s="157"/>
      <c r="L453" s="157"/>
      <c r="M453" s="157"/>
      <c r="O453" s="157"/>
      <c r="P453" s="157"/>
      <c r="Q453" s="157"/>
      <c r="R453" s="157"/>
      <c r="S453" s="157"/>
      <c r="T453" s="157"/>
      <c r="U453" s="157"/>
      <c r="V453" s="157"/>
      <c r="W453" s="157"/>
      <c r="X453" s="157"/>
      <c r="Y453" s="157"/>
      <c r="Z453" s="157"/>
      <c r="AA453" s="157"/>
      <c r="AB453" s="157"/>
      <c r="AC453" s="157"/>
      <c r="AD453" s="157"/>
      <c r="AE453" s="157"/>
      <c r="AF453" s="157"/>
      <c r="AG453" s="157"/>
      <c r="AH453" s="157"/>
      <c r="AI453" s="157"/>
      <c r="AJ453" s="157"/>
      <c r="AK453" s="157"/>
      <c r="AL453" s="157"/>
      <c r="AM453" s="157"/>
      <c r="AN453" s="157"/>
      <c r="AO453" s="157"/>
      <c r="AP453" s="157"/>
      <c r="AQ453" s="157"/>
      <c r="AR453" s="157"/>
      <c r="AS453" s="157"/>
      <c r="AT453" s="157"/>
      <c r="AU453" s="157"/>
      <c r="AV453" s="157"/>
      <c r="AW453" s="157"/>
      <c r="AX453" s="157"/>
      <c r="AY453" s="157"/>
      <c r="AZ453" s="157"/>
      <c r="BA453" s="157"/>
    </row>
    <row r="454" spans="2:53" s="156" customFormat="1" ht="15" customHeight="1">
      <c r="B454" s="157"/>
      <c r="C454" s="157"/>
      <c r="D454" s="157"/>
      <c r="E454" s="157"/>
      <c r="F454" s="157"/>
      <c r="G454" s="157"/>
      <c r="H454" s="157"/>
      <c r="I454" s="157"/>
      <c r="J454" s="158"/>
      <c r="K454" s="157"/>
      <c r="L454" s="157"/>
      <c r="M454" s="157"/>
      <c r="O454" s="157"/>
      <c r="P454" s="157"/>
      <c r="Q454" s="157"/>
      <c r="R454" s="157"/>
      <c r="S454" s="157"/>
      <c r="T454" s="157"/>
      <c r="U454" s="157"/>
      <c r="V454" s="157"/>
      <c r="W454" s="157"/>
      <c r="X454" s="157"/>
      <c r="Y454" s="157"/>
      <c r="Z454" s="157"/>
      <c r="AA454" s="157"/>
      <c r="AB454" s="157"/>
      <c r="AC454" s="157"/>
      <c r="AD454" s="157"/>
      <c r="AE454" s="157"/>
      <c r="AF454" s="157"/>
      <c r="AG454" s="157"/>
      <c r="AH454" s="157"/>
      <c r="AI454" s="157"/>
      <c r="AJ454" s="157"/>
      <c r="AK454" s="157"/>
      <c r="AL454" s="157"/>
      <c r="AM454" s="157"/>
      <c r="AN454" s="157"/>
      <c r="AO454" s="157"/>
      <c r="AP454" s="157"/>
      <c r="AQ454" s="157"/>
      <c r="AR454" s="157"/>
      <c r="AS454" s="157"/>
      <c r="AT454" s="157"/>
      <c r="AU454" s="157"/>
      <c r="AV454" s="157"/>
      <c r="AW454" s="157"/>
      <c r="AX454" s="157"/>
      <c r="AY454" s="157"/>
      <c r="AZ454" s="157"/>
      <c r="BA454" s="157"/>
    </row>
    <row r="455" spans="2:53" s="156" customFormat="1" ht="15" customHeight="1">
      <c r="B455" s="157"/>
      <c r="C455" s="157"/>
      <c r="D455" s="157"/>
      <c r="E455" s="157"/>
      <c r="F455" s="157"/>
      <c r="G455" s="157"/>
      <c r="H455" s="157"/>
      <c r="I455" s="157"/>
      <c r="J455" s="158"/>
      <c r="K455" s="157"/>
      <c r="L455" s="157"/>
      <c r="M455" s="157"/>
      <c r="O455" s="157"/>
      <c r="P455" s="157"/>
      <c r="Q455" s="157"/>
      <c r="R455" s="157"/>
      <c r="S455" s="157"/>
      <c r="T455" s="157"/>
      <c r="U455" s="157"/>
      <c r="V455" s="157"/>
      <c r="W455" s="157"/>
      <c r="X455" s="157"/>
      <c r="Y455" s="157"/>
      <c r="Z455" s="157"/>
      <c r="AA455" s="157"/>
      <c r="AB455" s="157"/>
      <c r="AC455" s="157"/>
      <c r="AD455" s="157"/>
      <c r="AE455" s="157"/>
      <c r="AF455" s="157"/>
      <c r="AG455" s="157"/>
      <c r="AH455" s="157"/>
      <c r="AI455" s="157"/>
      <c r="AJ455" s="157"/>
      <c r="AK455" s="157"/>
      <c r="AL455" s="157"/>
      <c r="AM455" s="157"/>
      <c r="AN455" s="157"/>
      <c r="AO455" s="157"/>
      <c r="AP455" s="157"/>
      <c r="AQ455" s="157"/>
      <c r="AR455" s="157"/>
      <c r="AS455" s="157"/>
      <c r="AT455" s="157"/>
      <c r="AU455" s="157"/>
      <c r="AV455" s="157"/>
      <c r="AW455" s="157"/>
      <c r="AX455" s="157"/>
      <c r="AY455" s="157"/>
      <c r="AZ455" s="157"/>
      <c r="BA455" s="157"/>
    </row>
    <row r="456" spans="2:53" s="156" customFormat="1" ht="15" customHeight="1">
      <c r="B456" s="157"/>
      <c r="C456" s="157"/>
      <c r="D456" s="157"/>
      <c r="E456" s="157"/>
      <c r="F456" s="157"/>
      <c r="G456" s="157"/>
      <c r="H456" s="157"/>
      <c r="I456" s="157"/>
      <c r="J456" s="158"/>
      <c r="K456" s="157"/>
      <c r="L456" s="157"/>
      <c r="M456" s="157"/>
      <c r="O456" s="157"/>
      <c r="P456" s="157"/>
      <c r="Q456" s="157"/>
      <c r="R456" s="157"/>
      <c r="S456" s="157"/>
      <c r="T456" s="157"/>
      <c r="U456" s="157"/>
      <c r="V456" s="157"/>
      <c r="W456" s="157"/>
      <c r="X456" s="157"/>
      <c r="Y456" s="157"/>
      <c r="Z456" s="157"/>
      <c r="AA456" s="157"/>
      <c r="AB456" s="157"/>
      <c r="AC456" s="157"/>
      <c r="AD456" s="157"/>
      <c r="AE456" s="157"/>
      <c r="AF456" s="157"/>
      <c r="AG456" s="157"/>
      <c r="AH456" s="157"/>
      <c r="AI456" s="157"/>
      <c r="AJ456" s="157"/>
      <c r="AK456" s="157"/>
      <c r="AL456" s="157"/>
      <c r="AM456" s="157"/>
      <c r="AN456" s="157"/>
      <c r="AO456" s="157"/>
      <c r="AP456" s="157"/>
      <c r="AQ456" s="157"/>
      <c r="AR456" s="157"/>
      <c r="AS456" s="157"/>
      <c r="AT456" s="157"/>
      <c r="AU456" s="157"/>
      <c r="AV456" s="157"/>
      <c r="AW456" s="157"/>
      <c r="AX456" s="157"/>
      <c r="AY456" s="157"/>
      <c r="AZ456" s="157"/>
      <c r="BA456" s="157"/>
    </row>
    <row r="457" spans="2:53" s="156" customFormat="1" ht="15" customHeight="1">
      <c r="B457" s="157"/>
      <c r="C457" s="157"/>
      <c r="D457" s="157"/>
      <c r="E457" s="157"/>
      <c r="F457" s="157"/>
      <c r="G457" s="157"/>
      <c r="H457" s="157"/>
      <c r="I457" s="157"/>
      <c r="J457" s="158"/>
      <c r="K457" s="157"/>
      <c r="L457" s="157"/>
      <c r="M457" s="157"/>
      <c r="O457" s="157"/>
      <c r="P457" s="157"/>
      <c r="Q457" s="157"/>
      <c r="R457" s="157"/>
      <c r="S457" s="157"/>
      <c r="T457" s="157"/>
      <c r="U457" s="157"/>
      <c r="V457" s="157"/>
      <c r="W457" s="157"/>
      <c r="X457" s="157"/>
      <c r="Y457" s="157"/>
      <c r="Z457" s="157"/>
      <c r="AA457" s="157"/>
      <c r="AB457" s="157"/>
      <c r="AC457" s="157"/>
      <c r="AD457" s="157"/>
      <c r="AE457" s="157"/>
      <c r="AF457" s="157"/>
      <c r="AG457" s="157"/>
      <c r="AH457" s="157"/>
      <c r="AI457" s="157"/>
      <c r="AJ457" s="157"/>
      <c r="AK457" s="157"/>
      <c r="AL457" s="157"/>
      <c r="AM457" s="157"/>
      <c r="AN457" s="157"/>
      <c r="AO457" s="157"/>
      <c r="AP457" s="157"/>
      <c r="AQ457" s="157"/>
      <c r="AR457" s="157"/>
      <c r="AS457" s="157"/>
      <c r="AT457" s="157"/>
      <c r="AU457" s="157"/>
      <c r="AV457" s="157"/>
      <c r="AW457" s="157"/>
      <c r="AX457" s="157"/>
      <c r="AY457" s="157"/>
      <c r="AZ457" s="157"/>
      <c r="BA457" s="157"/>
    </row>
    <row r="458" spans="2:53" s="156" customFormat="1" ht="15" customHeight="1">
      <c r="B458" s="157"/>
      <c r="C458" s="157"/>
      <c r="D458" s="157"/>
      <c r="E458" s="157"/>
      <c r="F458" s="157"/>
      <c r="G458" s="157"/>
      <c r="H458" s="157"/>
      <c r="I458" s="157"/>
      <c r="J458" s="158"/>
      <c r="K458" s="157"/>
      <c r="L458" s="157"/>
      <c r="M458" s="157"/>
      <c r="O458" s="157"/>
      <c r="P458" s="157"/>
      <c r="Q458" s="157"/>
      <c r="R458" s="157"/>
      <c r="S458" s="157"/>
      <c r="T458" s="157"/>
      <c r="U458" s="157"/>
      <c r="V458" s="157"/>
      <c r="W458" s="157"/>
      <c r="X458" s="157"/>
      <c r="Y458" s="157"/>
      <c r="Z458" s="157"/>
      <c r="AA458" s="157"/>
      <c r="AB458" s="157"/>
      <c r="AC458" s="157"/>
      <c r="AD458" s="157"/>
      <c r="AE458" s="157"/>
      <c r="AF458" s="157"/>
      <c r="AG458" s="157"/>
      <c r="AH458" s="157"/>
      <c r="AI458" s="157"/>
      <c r="AJ458" s="157"/>
      <c r="AK458" s="157"/>
      <c r="AL458" s="157"/>
      <c r="AM458" s="157"/>
      <c r="AN458" s="157"/>
      <c r="AO458" s="157"/>
      <c r="AP458" s="157"/>
      <c r="AQ458" s="157"/>
      <c r="AR458" s="157"/>
      <c r="AS458" s="157"/>
      <c r="AT458" s="157"/>
      <c r="AU458" s="157"/>
      <c r="AV458" s="157"/>
      <c r="AW458" s="157"/>
      <c r="AX458" s="157"/>
      <c r="AY458" s="157"/>
      <c r="AZ458" s="157"/>
      <c r="BA458" s="157"/>
    </row>
    <row r="459" spans="2:53" s="156" customFormat="1" ht="15" customHeight="1">
      <c r="B459" s="157"/>
      <c r="C459" s="157"/>
      <c r="D459" s="157"/>
      <c r="E459" s="157"/>
      <c r="F459" s="157"/>
      <c r="G459" s="157"/>
      <c r="H459" s="157"/>
      <c r="I459" s="157"/>
      <c r="J459" s="158"/>
      <c r="K459" s="157"/>
      <c r="L459" s="157"/>
      <c r="M459" s="157"/>
      <c r="O459" s="157"/>
      <c r="P459" s="157"/>
      <c r="Q459" s="157"/>
      <c r="R459" s="157"/>
      <c r="S459" s="157"/>
      <c r="T459" s="157"/>
      <c r="U459" s="157"/>
      <c r="V459" s="157"/>
      <c r="W459" s="157"/>
      <c r="X459" s="157"/>
      <c r="Y459" s="157"/>
      <c r="Z459" s="157"/>
      <c r="AA459" s="157"/>
      <c r="AB459" s="157"/>
      <c r="AC459" s="157"/>
      <c r="AD459" s="157"/>
      <c r="AE459" s="157"/>
      <c r="AF459" s="157"/>
      <c r="AG459" s="157"/>
      <c r="AH459" s="157"/>
      <c r="AI459" s="157"/>
      <c r="AJ459" s="157"/>
      <c r="AK459" s="157"/>
      <c r="AL459" s="157"/>
      <c r="AM459" s="157"/>
      <c r="AN459" s="157"/>
      <c r="AO459" s="157"/>
      <c r="AP459" s="157"/>
      <c r="AQ459" s="157"/>
      <c r="AR459" s="157"/>
      <c r="AS459" s="157"/>
      <c r="AT459" s="157"/>
      <c r="AU459" s="157"/>
      <c r="AV459" s="157"/>
      <c r="AW459" s="157"/>
      <c r="AX459" s="157"/>
      <c r="AY459" s="157"/>
      <c r="AZ459" s="157"/>
      <c r="BA459" s="157"/>
    </row>
    <row r="460" spans="2:53" s="156" customFormat="1" ht="15" customHeight="1">
      <c r="B460" s="157"/>
      <c r="C460" s="157"/>
      <c r="D460" s="157"/>
      <c r="E460" s="157"/>
      <c r="F460" s="157"/>
      <c r="G460" s="157"/>
      <c r="H460" s="157"/>
      <c r="I460" s="157"/>
      <c r="J460" s="158"/>
      <c r="K460" s="157"/>
      <c r="L460" s="157"/>
      <c r="M460" s="157"/>
      <c r="O460" s="157"/>
      <c r="P460" s="157"/>
      <c r="Q460" s="157"/>
      <c r="R460" s="157"/>
      <c r="S460" s="157"/>
      <c r="T460" s="157"/>
      <c r="U460" s="157"/>
      <c r="V460" s="157"/>
      <c r="W460" s="157"/>
      <c r="X460" s="157"/>
      <c r="Y460" s="157"/>
      <c r="Z460" s="157"/>
      <c r="AA460" s="157"/>
      <c r="AB460" s="157"/>
      <c r="AC460" s="157"/>
      <c r="AD460" s="157"/>
      <c r="AE460" s="157"/>
      <c r="AF460" s="157"/>
      <c r="AG460" s="157"/>
      <c r="AH460" s="157"/>
      <c r="AI460" s="157"/>
      <c r="AJ460" s="157"/>
      <c r="AK460" s="157"/>
      <c r="AL460" s="157"/>
      <c r="AM460" s="157"/>
      <c r="AN460" s="157"/>
      <c r="AO460" s="157"/>
      <c r="AP460" s="157"/>
      <c r="AQ460" s="157"/>
      <c r="AR460" s="157"/>
      <c r="AS460" s="157"/>
      <c r="AT460" s="157"/>
      <c r="AU460" s="157"/>
      <c r="AV460" s="157"/>
      <c r="AW460" s="157"/>
      <c r="AX460" s="157"/>
      <c r="AY460" s="157"/>
      <c r="AZ460" s="157"/>
      <c r="BA460" s="157"/>
    </row>
    <row r="461" spans="2:53" s="156" customFormat="1" ht="15" customHeight="1">
      <c r="B461" s="157"/>
      <c r="C461" s="157"/>
      <c r="D461" s="157"/>
      <c r="E461" s="157"/>
      <c r="F461" s="157"/>
      <c r="G461" s="157"/>
      <c r="H461" s="157"/>
      <c r="I461" s="157"/>
      <c r="J461" s="158"/>
      <c r="K461" s="157"/>
      <c r="L461" s="157"/>
      <c r="M461" s="157"/>
      <c r="O461" s="157"/>
      <c r="P461" s="157"/>
      <c r="Q461" s="157"/>
      <c r="R461" s="157"/>
      <c r="S461" s="157"/>
      <c r="T461" s="157"/>
      <c r="U461" s="157"/>
      <c r="V461" s="157"/>
      <c r="W461" s="157"/>
      <c r="X461" s="157"/>
      <c r="Y461" s="157"/>
      <c r="Z461" s="157"/>
      <c r="AA461" s="157"/>
      <c r="AB461" s="157"/>
      <c r="AC461" s="157"/>
      <c r="AD461" s="157"/>
      <c r="AE461" s="157"/>
      <c r="AF461" s="157"/>
      <c r="AG461" s="157"/>
      <c r="AH461" s="157"/>
      <c r="AI461" s="157"/>
      <c r="AJ461" s="157"/>
      <c r="AK461" s="157"/>
      <c r="AL461" s="157"/>
      <c r="AM461" s="157"/>
      <c r="AN461" s="157"/>
      <c r="AO461" s="157"/>
      <c r="AP461" s="157"/>
      <c r="AQ461" s="157"/>
      <c r="AR461" s="157"/>
      <c r="AS461" s="157"/>
      <c r="AT461" s="157"/>
      <c r="AU461" s="157"/>
      <c r="AV461" s="157"/>
      <c r="AW461" s="157"/>
      <c r="AX461" s="157"/>
      <c r="AY461" s="157"/>
      <c r="AZ461" s="157"/>
      <c r="BA461" s="157"/>
    </row>
    <row r="462" spans="2:53" s="156" customFormat="1" ht="15" customHeight="1">
      <c r="B462" s="157"/>
      <c r="C462" s="157"/>
      <c r="D462" s="157"/>
      <c r="E462" s="157"/>
      <c r="F462" s="157"/>
      <c r="G462" s="157"/>
      <c r="H462" s="157"/>
      <c r="I462" s="157"/>
      <c r="J462" s="158"/>
      <c r="K462" s="157"/>
      <c r="L462" s="157"/>
      <c r="M462" s="157"/>
      <c r="O462" s="157"/>
      <c r="P462" s="157"/>
      <c r="Q462" s="157"/>
      <c r="R462" s="157"/>
      <c r="S462" s="157"/>
      <c r="T462" s="157"/>
      <c r="U462" s="157"/>
      <c r="V462" s="157"/>
      <c r="W462" s="157"/>
      <c r="X462" s="157"/>
      <c r="Y462" s="157"/>
      <c r="Z462" s="157"/>
      <c r="AA462" s="157"/>
      <c r="AB462" s="157"/>
      <c r="AC462" s="157"/>
      <c r="AD462" s="157"/>
      <c r="AE462" s="157"/>
      <c r="AF462" s="157"/>
      <c r="AG462" s="157"/>
      <c r="AH462" s="157"/>
      <c r="AI462" s="157"/>
      <c r="AJ462" s="157"/>
      <c r="AK462" s="157"/>
      <c r="AL462" s="157"/>
      <c r="AM462" s="157"/>
      <c r="AN462" s="157"/>
      <c r="AO462" s="157"/>
      <c r="AP462" s="157"/>
      <c r="AQ462" s="157"/>
      <c r="AR462" s="157"/>
      <c r="AS462" s="157"/>
      <c r="AT462" s="157"/>
      <c r="AU462" s="157"/>
      <c r="AV462" s="157"/>
      <c r="AW462" s="157"/>
      <c r="AX462" s="157"/>
      <c r="AY462" s="157"/>
      <c r="AZ462" s="157"/>
      <c r="BA462" s="157"/>
    </row>
    <row r="463" spans="2:53" s="156" customFormat="1" ht="15" customHeight="1">
      <c r="B463" s="157"/>
      <c r="C463" s="157"/>
      <c r="D463" s="157"/>
      <c r="E463" s="157"/>
      <c r="F463" s="157"/>
      <c r="G463" s="157"/>
      <c r="H463" s="157"/>
      <c r="I463" s="157"/>
      <c r="J463" s="158"/>
      <c r="K463" s="157"/>
      <c r="L463" s="157"/>
      <c r="M463" s="157"/>
      <c r="O463" s="157"/>
      <c r="P463" s="157"/>
      <c r="Q463" s="157"/>
      <c r="R463" s="157"/>
      <c r="S463" s="157"/>
      <c r="T463" s="157"/>
      <c r="U463" s="157"/>
      <c r="V463" s="157"/>
      <c r="W463" s="157"/>
      <c r="X463" s="157"/>
      <c r="Y463" s="157"/>
      <c r="Z463" s="157"/>
      <c r="AA463" s="157"/>
      <c r="AB463" s="157"/>
      <c r="AC463" s="157"/>
      <c r="AD463" s="157"/>
      <c r="AE463" s="157"/>
      <c r="AF463" s="157"/>
      <c r="AG463" s="157"/>
      <c r="AH463" s="157"/>
      <c r="AI463" s="157"/>
      <c r="AJ463" s="157"/>
      <c r="AK463" s="157"/>
      <c r="AL463" s="157"/>
      <c r="AM463" s="157"/>
      <c r="AN463" s="157"/>
      <c r="AO463" s="157"/>
      <c r="AP463" s="157"/>
      <c r="AQ463" s="157"/>
      <c r="AR463" s="157"/>
      <c r="AS463" s="157"/>
      <c r="AT463" s="157"/>
      <c r="AU463" s="157"/>
      <c r="AV463" s="157"/>
      <c r="AW463" s="157"/>
      <c r="AX463" s="157"/>
      <c r="AY463" s="157"/>
      <c r="AZ463" s="157"/>
      <c r="BA463" s="157"/>
    </row>
    <row r="464" spans="2:53" s="156" customFormat="1" ht="15" customHeight="1">
      <c r="B464" s="157"/>
      <c r="C464" s="157"/>
      <c r="D464" s="157"/>
      <c r="E464" s="157"/>
      <c r="F464" s="157"/>
      <c r="G464" s="157"/>
      <c r="H464" s="157"/>
      <c r="I464" s="157"/>
      <c r="J464" s="158"/>
      <c r="K464" s="157"/>
      <c r="L464" s="157"/>
      <c r="M464" s="157"/>
      <c r="O464" s="157"/>
      <c r="P464" s="157"/>
      <c r="Q464" s="157"/>
      <c r="R464" s="157"/>
      <c r="S464" s="157"/>
      <c r="T464" s="157"/>
      <c r="U464" s="157"/>
      <c r="V464" s="157"/>
      <c r="W464" s="157"/>
      <c r="X464" s="157"/>
      <c r="Y464" s="157"/>
      <c r="Z464" s="157"/>
      <c r="AA464" s="157"/>
      <c r="AB464" s="157"/>
      <c r="AC464" s="157"/>
      <c r="AD464" s="157"/>
      <c r="AE464" s="157"/>
      <c r="AF464" s="157"/>
      <c r="AG464" s="157"/>
      <c r="AH464" s="157"/>
      <c r="AI464" s="157"/>
      <c r="AJ464" s="157"/>
      <c r="AK464" s="157"/>
      <c r="AL464" s="157"/>
      <c r="AM464" s="157"/>
      <c r="AN464" s="157"/>
      <c r="AO464" s="157"/>
      <c r="AP464" s="157"/>
      <c r="AQ464" s="157"/>
      <c r="AR464" s="157"/>
      <c r="AS464" s="157"/>
      <c r="AT464" s="157"/>
      <c r="AU464" s="157"/>
      <c r="AV464" s="157"/>
      <c r="AW464" s="157"/>
      <c r="AX464" s="157"/>
      <c r="AY464" s="157"/>
      <c r="AZ464" s="157"/>
      <c r="BA464" s="157"/>
    </row>
    <row r="465" spans="2:53" s="156" customFormat="1" ht="15" customHeight="1">
      <c r="B465" s="157"/>
      <c r="C465" s="157"/>
      <c r="D465" s="157"/>
      <c r="E465" s="157"/>
      <c r="F465" s="157"/>
      <c r="G465" s="157"/>
      <c r="H465" s="157"/>
      <c r="I465" s="157"/>
      <c r="J465" s="158"/>
      <c r="K465" s="157"/>
      <c r="L465" s="157"/>
      <c r="M465" s="157"/>
      <c r="O465" s="157"/>
      <c r="P465" s="157"/>
      <c r="Q465" s="157"/>
      <c r="R465" s="157"/>
      <c r="S465" s="157"/>
      <c r="T465" s="157"/>
      <c r="U465" s="157"/>
      <c r="V465" s="157"/>
      <c r="W465" s="157"/>
      <c r="X465" s="157"/>
      <c r="Y465" s="157"/>
      <c r="Z465" s="157"/>
      <c r="AA465" s="157"/>
      <c r="AB465" s="157"/>
      <c r="AC465" s="157"/>
      <c r="AD465" s="157"/>
      <c r="AE465" s="157"/>
      <c r="AF465" s="157"/>
      <c r="AG465" s="157"/>
      <c r="AH465" s="157"/>
      <c r="AI465" s="157"/>
      <c r="AJ465" s="157"/>
      <c r="AK465" s="157"/>
      <c r="AL465" s="157"/>
      <c r="AM465" s="157"/>
      <c r="AN465" s="157"/>
      <c r="AO465" s="157"/>
      <c r="AP465" s="157"/>
      <c r="AQ465" s="157"/>
      <c r="AR465" s="157"/>
      <c r="AS465" s="157"/>
      <c r="AT465" s="157"/>
      <c r="AU465" s="157"/>
      <c r="AV465" s="157"/>
      <c r="AW465" s="157"/>
      <c r="AX465" s="157"/>
      <c r="AY465" s="157"/>
      <c r="AZ465" s="157"/>
      <c r="BA465" s="157"/>
    </row>
    <row r="466" spans="2:53" s="156" customFormat="1" ht="15" customHeight="1">
      <c r="B466" s="157"/>
      <c r="C466" s="157"/>
      <c r="D466" s="157"/>
      <c r="E466" s="157"/>
      <c r="F466" s="157"/>
      <c r="G466" s="157"/>
      <c r="H466" s="157"/>
      <c r="I466" s="157"/>
      <c r="J466" s="158"/>
      <c r="K466" s="157"/>
      <c r="L466" s="157"/>
      <c r="M466" s="157"/>
      <c r="O466" s="157"/>
      <c r="P466" s="157"/>
      <c r="Q466" s="157"/>
      <c r="R466" s="157"/>
      <c r="S466" s="157"/>
      <c r="T466" s="157"/>
      <c r="U466" s="157"/>
      <c r="V466" s="157"/>
      <c r="W466" s="157"/>
      <c r="X466" s="157"/>
      <c r="Y466" s="157"/>
      <c r="Z466" s="157"/>
      <c r="AA466" s="157"/>
      <c r="AB466" s="157"/>
      <c r="AC466" s="157"/>
      <c r="AD466" s="157"/>
      <c r="AE466" s="157"/>
      <c r="AF466" s="157"/>
      <c r="AG466" s="157"/>
      <c r="AH466" s="157"/>
      <c r="AI466" s="157"/>
      <c r="AJ466" s="157"/>
      <c r="AK466" s="157"/>
      <c r="AL466" s="157"/>
      <c r="AM466" s="157"/>
      <c r="AN466" s="157"/>
      <c r="AO466" s="157"/>
      <c r="AP466" s="157"/>
      <c r="AQ466" s="157"/>
      <c r="AR466" s="157"/>
      <c r="AS466" s="157"/>
      <c r="AT466" s="157"/>
      <c r="AU466" s="157"/>
      <c r="AV466" s="157"/>
      <c r="AW466" s="157"/>
      <c r="AX466" s="157"/>
      <c r="AY466" s="157"/>
      <c r="AZ466" s="157"/>
      <c r="BA466" s="157"/>
    </row>
    <row r="467" spans="2:53" s="156" customFormat="1" ht="15" customHeight="1">
      <c r="B467" s="157"/>
      <c r="C467" s="157"/>
      <c r="D467" s="157"/>
      <c r="E467" s="157"/>
      <c r="F467" s="157"/>
      <c r="G467" s="157"/>
      <c r="H467" s="157"/>
      <c r="I467" s="157"/>
      <c r="J467" s="158"/>
      <c r="K467" s="157"/>
      <c r="L467" s="157"/>
      <c r="M467" s="157"/>
      <c r="O467" s="157"/>
      <c r="P467" s="157"/>
      <c r="Q467" s="157"/>
      <c r="R467" s="157"/>
      <c r="S467" s="157"/>
      <c r="T467" s="157"/>
      <c r="U467" s="157"/>
      <c r="V467" s="157"/>
      <c r="W467" s="157"/>
      <c r="X467" s="157"/>
      <c r="Y467" s="157"/>
      <c r="Z467" s="157"/>
      <c r="AA467" s="157"/>
      <c r="AB467" s="157"/>
      <c r="AC467" s="157"/>
      <c r="AD467" s="157"/>
      <c r="AE467" s="157"/>
      <c r="AF467" s="157"/>
      <c r="AG467" s="157"/>
      <c r="AH467" s="157"/>
      <c r="AI467" s="157"/>
      <c r="AJ467" s="157"/>
      <c r="AK467" s="157"/>
      <c r="AL467" s="157"/>
      <c r="AM467" s="157"/>
      <c r="AN467" s="157"/>
      <c r="AO467" s="157"/>
      <c r="AP467" s="157"/>
      <c r="AQ467" s="157"/>
      <c r="AR467" s="157"/>
      <c r="AS467" s="157"/>
      <c r="AT467" s="157"/>
      <c r="AU467" s="157"/>
      <c r="AV467" s="157"/>
      <c r="AW467" s="157"/>
      <c r="AX467" s="157"/>
      <c r="AY467" s="157"/>
      <c r="AZ467" s="157"/>
      <c r="BA467" s="157"/>
    </row>
    <row r="468" spans="2:53" s="156" customFormat="1" ht="15" customHeight="1">
      <c r="B468" s="157"/>
      <c r="C468" s="157"/>
      <c r="D468" s="157"/>
      <c r="E468" s="157"/>
      <c r="F468" s="157"/>
      <c r="G468" s="157"/>
      <c r="H468" s="157"/>
      <c r="I468" s="157"/>
      <c r="J468" s="158"/>
      <c r="K468" s="157"/>
      <c r="L468" s="157"/>
      <c r="M468" s="157"/>
      <c r="O468" s="157"/>
      <c r="P468" s="157"/>
      <c r="Q468" s="157"/>
      <c r="R468" s="157"/>
      <c r="S468" s="157"/>
      <c r="T468" s="157"/>
      <c r="U468" s="157"/>
      <c r="V468" s="157"/>
      <c r="W468" s="157"/>
      <c r="X468" s="157"/>
      <c r="Y468" s="157"/>
      <c r="Z468" s="157"/>
      <c r="AA468" s="157"/>
      <c r="AB468" s="157"/>
      <c r="AC468" s="157"/>
      <c r="AD468" s="157"/>
      <c r="AE468" s="157"/>
      <c r="AF468" s="157"/>
      <c r="AG468" s="157"/>
      <c r="AH468" s="157"/>
      <c r="AI468" s="157"/>
      <c r="AJ468" s="157"/>
      <c r="AK468" s="157"/>
      <c r="AL468" s="157"/>
      <c r="AM468" s="157"/>
      <c r="AN468" s="157"/>
      <c r="AO468" s="157"/>
      <c r="AP468" s="157"/>
      <c r="AQ468" s="157"/>
      <c r="AR468" s="157"/>
      <c r="AS468" s="157"/>
      <c r="AT468" s="157"/>
      <c r="AU468" s="157"/>
      <c r="AV468" s="157"/>
      <c r="AW468" s="157"/>
      <c r="AX468" s="157"/>
      <c r="AY468" s="157"/>
      <c r="AZ468" s="157"/>
      <c r="BA468" s="157"/>
    </row>
    <row r="469" spans="2:53" s="156" customFormat="1" ht="15" customHeight="1">
      <c r="B469" s="157"/>
      <c r="C469" s="157"/>
      <c r="D469" s="157"/>
      <c r="E469" s="157"/>
      <c r="F469" s="157"/>
      <c r="G469" s="157"/>
      <c r="H469" s="157"/>
      <c r="I469" s="157"/>
      <c r="J469" s="158"/>
      <c r="K469" s="157"/>
      <c r="L469" s="157"/>
      <c r="M469" s="157"/>
      <c r="O469" s="157"/>
      <c r="P469" s="157"/>
      <c r="Q469" s="157"/>
      <c r="R469" s="157"/>
      <c r="S469" s="157"/>
      <c r="T469" s="157"/>
      <c r="U469" s="157"/>
      <c r="V469" s="157"/>
      <c r="W469" s="157"/>
      <c r="X469" s="157"/>
      <c r="Y469" s="157"/>
      <c r="Z469" s="157"/>
      <c r="AA469" s="157"/>
      <c r="AB469" s="157"/>
      <c r="AC469" s="157"/>
      <c r="AD469" s="157"/>
      <c r="AE469" s="157"/>
      <c r="AF469" s="157"/>
      <c r="AG469" s="157"/>
      <c r="AH469" s="157"/>
      <c r="AI469" s="157"/>
      <c r="AJ469" s="157"/>
      <c r="AK469" s="157"/>
      <c r="AL469" s="157"/>
      <c r="AM469" s="157"/>
      <c r="AN469" s="157"/>
      <c r="AO469" s="157"/>
      <c r="AP469" s="157"/>
      <c r="AQ469" s="157"/>
      <c r="AR469" s="157"/>
      <c r="AS469" s="157"/>
      <c r="AT469" s="157"/>
      <c r="AU469" s="157"/>
      <c r="AV469" s="157"/>
      <c r="AW469" s="157"/>
      <c r="AX469" s="157"/>
      <c r="AY469" s="157"/>
      <c r="AZ469" s="157"/>
      <c r="BA469" s="157"/>
    </row>
    <row r="470" spans="2:53" s="156" customFormat="1" ht="15" customHeight="1">
      <c r="B470" s="157"/>
      <c r="C470" s="157"/>
      <c r="D470" s="157"/>
      <c r="E470" s="157"/>
      <c r="F470" s="157"/>
      <c r="G470" s="157"/>
      <c r="H470" s="157"/>
      <c r="I470" s="157"/>
      <c r="J470" s="158"/>
      <c r="K470" s="157"/>
      <c r="L470" s="157"/>
      <c r="M470" s="157"/>
      <c r="O470" s="157"/>
      <c r="P470" s="157"/>
      <c r="Q470" s="157"/>
      <c r="R470" s="157"/>
      <c r="S470" s="157"/>
      <c r="T470" s="157"/>
      <c r="U470" s="157"/>
      <c r="V470" s="157"/>
      <c r="W470" s="157"/>
      <c r="X470" s="157"/>
      <c r="Y470" s="157"/>
      <c r="Z470" s="157"/>
      <c r="AA470" s="157"/>
      <c r="AB470" s="157"/>
      <c r="AC470" s="157"/>
      <c r="AD470" s="157"/>
      <c r="AE470" s="157"/>
      <c r="AF470" s="157"/>
      <c r="AG470" s="157"/>
      <c r="AH470" s="157"/>
      <c r="AI470" s="157"/>
      <c r="AJ470" s="157"/>
      <c r="AK470" s="157"/>
      <c r="AL470" s="157"/>
      <c r="AM470" s="157"/>
      <c r="AN470" s="157"/>
      <c r="AO470" s="157"/>
      <c r="AP470" s="157"/>
      <c r="AQ470" s="157"/>
      <c r="AR470" s="157"/>
      <c r="AS470" s="157"/>
      <c r="AT470" s="157"/>
      <c r="AU470" s="157"/>
      <c r="AV470" s="157"/>
      <c r="AW470" s="157"/>
      <c r="AX470" s="157"/>
      <c r="AY470" s="157"/>
      <c r="AZ470" s="157"/>
      <c r="BA470" s="157"/>
    </row>
    <row r="471" spans="2:53" s="156" customFormat="1" ht="15" customHeight="1">
      <c r="B471" s="157"/>
      <c r="C471" s="157"/>
      <c r="D471" s="157"/>
      <c r="E471" s="157"/>
      <c r="F471" s="157"/>
      <c r="G471" s="157"/>
      <c r="H471" s="157"/>
      <c r="I471" s="157"/>
      <c r="J471" s="158"/>
      <c r="K471" s="157"/>
      <c r="L471" s="157"/>
      <c r="M471" s="157"/>
      <c r="O471" s="157"/>
      <c r="P471" s="157"/>
      <c r="Q471" s="157"/>
      <c r="R471" s="157"/>
      <c r="S471" s="157"/>
      <c r="T471" s="157"/>
      <c r="U471" s="157"/>
      <c r="V471" s="157"/>
      <c r="W471" s="157"/>
      <c r="X471" s="157"/>
      <c r="Y471" s="157"/>
      <c r="Z471" s="157"/>
      <c r="AA471" s="157"/>
      <c r="AB471" s="157"/>
      <c r="AC471" s="157"/>
      <c r="AD471" s="157"/>
      <c r="AE471" s="157"/>
      <c r="AF471" s="157"/>
      <c r="AG471" s="157"/>
      <c r="AH471" s="157"/>
      <c r="AI471" s="157"/>
      <c r="AJ471" s="157"/>
      <c r="AK471" s="157"/>
      <c r="AL471" s="157"/>
      <c r="AM471" s="157"/>
      <c r="AN471" s="157"/>
      <c r="AO471" s="157"/>
      <c r="AP471" s="157"/>
      <c r="AQ471" s="157"/>
      <c r="AR471" s="157"/>
      <c r="AS471" s="157"/>
      <c r="AT471" s="157"/>
      <c r="AU471" s="157"/>
      <c r="AV471" s="157"/>
      <c r="AW471" s="157"/>
      <c r="AX471" s="157"/>
      <c r="AY471" s="157"/>
      <c r="AZ471" s="157"/>
      <c r="BA471" s="157"/>
    </row>
    <row r="472" spans="2:53" s="156" customFormat="1" ht="15" customHeight="1">
      <c r="B472" s="157"/>
      <c r="C472" s="157"/>
      <c r="D472" s="157"/>
      <c r="E472" s="157"/>
      <c r="F472" s="157"/>
      <c r="G472" s="157"/>
      <c r="H472" s="157"/>
      <c r="I472" s="157"/>
      <c r="J472" s="158"/>
      <c r="K472" s="157"/>
      <c r="L472" s="157"/>
      <c r="M472" s="157"/>
      <c r="O472" s="157"/>
      <c r="P472" s="157"/>
      <c r="Q472" s="157"/>
      <c r="R472" s="157"/>
      <c r="S472" s="157"/>
      <c r="T472" s="157"/>
      <c r="U472" s="157"/>
      <c r="V472" s="157"/>
      <c r="W472" s="157"/>
      <c r="X472" s="157"/>
      <c r="Y472" s="157"/>
      <c r="Z472" s="157"/>
      <c r="AA472" s="157"/>
      <c r="AB472" s="157"/>
      <c r="AC472" s="157"/>
      <c r="AD472" s="157"/>
      <c r="AE472" s="157"/>
      <c r="AF472" s="157"/>
      <c r="AG472" s="157"/>
      <c r="AH472" s="157"/>
      <c r="AI472" s="157"/>
      <c r="AJ472" s="157"/>
      <c r="AK472" s="157"/>
      <c r="AL472" s="157"/>
      <c r="AM472" s="157"/>
      <c r="AN472" s="157"/>
      <c r="AO472" s="157"/>
      <c r="AP472" s="157"/>
      <c r="AQ472" s="157"/>
      <c r="AR472" s="157"/>
      <c r="AS472" s="157"/>
      <c r="AT472" s="157"/>
      <c r="AU472" s="157"/>
      <c r="AV472" s="157"/>
      <c r="AW472" s="157"/>
      <c r="AX472" s="157"/>
      <c r="AY472" s="157"/>
      <c r="AZ472" s="157"/>
      <c r="BA472" s="157"/>
    </row>
    <row r="473" spans="2:53" s="156" customFormat="1" ht="15" customHeight="1">
      <c r="B473" s="157"/>
      <c r="C473" s="157"/>
      <c r="D473" s="157"/>
      <c r="E473" s="157"/>
      <c r="F473" s="157"/>
      <c r="G473" s="157"/>
      <c r="H473" s="157"/>
      <c r="I473" s="157"/>
      <c r="J473" s="158"/>
      <c r="K473" s="157"/>
      <c r="L473" s="157"/>
      <c r="M473" s="157"/>
      <c r="O473" s="157"/>
      <c r="P473" s="157"/>
      <c r="Q473" s="157"/>
      <c r="R473" s="157"/>
      <c r="S473" s="157"/>
      <c r="T473" s="157"/>
      <c r="U473" s="157"/>
      <c r="V473" s="157"/>
      <c r="W473" s="157"/>
      <c r="X473" s="157"/>
      <c r="Y473" s="157"/>
      <c r="Z473" s="157"/>
      <c r="AA473" s="157"/>
      <c r="AB473" s="157"/>
      <c r="AC473" s="157"/>
      <c r="AD473" s="157"/>
      <c r="AE473" s="157"/>
      <c r="AF473" s="157"/>
      <c r="AG473" s="157"/>
      <c r="AH473" s="157"/>
      <c r="AI473" s="157"/>
      <c r="AJ473" s="157"/>
      <c r="AK473" s="157"/>
      <c r="AL473" s="157"/>
      <c r="AM473" s="157"/>
      <c r="AN473" s="157"/>
      <c r="AO473" s="157"/>
      <c r="AP473" s="157"/>
      <c r="AQ473" s="157"/>
      <c r="AR473" s="157"/>
      <c r="AS473" s="157"/>
      <c r="AT473" s="157"/>
      <c r="AU473" s="157"/>
      <c r="AV473" s="157"/>
      <c r="AW473" s="157"/>
      <c r="AX473" s="157"/>
      <c r="AY473" s="157"/>
      <c r="AZ473" s="157"/>
      <c r="BA473" s="157"/>
    </row>
    <row r="474" spans="2:53" s="156" customFormat="1" ht="15" customHeight="1">
      <c r="B474" s="157"/>
      <c r="C474" s="157"/>
      <c r="D474" s="157"/>
      <c r="E474" s="157"/>
      <c r="F474" s="157"/>
      <c r="G474" s="157"/>
      <c r="H474" s="157"/>
      <c r="I474" s="157"/>
      <c r="J474" s="158"/>
      <c r="K474" s="157"/>
      <c r="L474" s="157"/>
      <c r="M474" s="157"/>
      <c r="O474" s="157"/>
      <c r="P474" s="157"/>
      <c r="Q474" s="157"/>
      <c r="R474" s="157"/>
      <c r="S474" s="157"/>
      <c r="T474" s="157"/>
      <c r="U474" s="157"/>
      <c r="V474" s="157"/>
      <c r="W474" s="157"/>
      <c r="X474" s="157"/>
      <c r="Y474" s="157"/>
      <c r="Z474" s="157"/>
      <c r="AA474" s="157"/>
      <c r="AB474" s="157"/>
      <c r="AC474" s="157"/>
      <c r="AD474" s="157"/>
      <c r="AE474" s="157"/>
      <c r="AF474" s="157"/>
      <c r="AG474" s="157"/>
      <c r="AH474" s="157"/>
      <c r="AI474" s="157"/>
      <c r="AJ474" s="157"/>
      <c r="AK474" s="157"/>
      <c r="AL474" s="157"/>
      <c r="AM474" s="157"/>
      <c r="AN474" s="157"/>
      <c r="AO474" s="157"/>
      <c r="AP474" s="157"/>
      <c r="AQ474" s="157"/>
      <c r="AR474" s="157"/>
      <c r="AS474" s="157"/>
      <c r="AT474" s="157"/>
      <c r="AU474" s="157"/>
      <c r="AV474" s="157"/>
      <c r="AW474" s="157"/>
      <c r="AX474" s="157"/>
      <c r="AY474" s="157"/>
      <c r="AZ474" s="157"/>
      <c r="BA474" s="157"/>
    </row>
    <row r="475" spans="2:53" s="156" customFormat="1" ht="15" customHeight="1">
      <c r="B475" s="157"/>
      <c r="C475" s="157"/>
      <c r="D475" s="157"/>
      <c r="E475" s="157"/>
      <c r="F475" s="157"/>
      <c r="G475" s="157"/>
      <c r="H475" s="157"/>
      <c r="I475" s="157"/>
      <c r="J475" s="158"/>
      <c r="K475" s="157"/>
      <c r="L475" s="157"/>
      <c r="M475" s="157"/>
      <c r="O475" s="157"/>
      <c r="P475" s="157"/>
      <c r="Q475" s="157"/>
      <c r="R475" s="157"/>
      <c r="S475" s="157"/>
      <c r="T475" s="157"/>
      <c r="U475" s="157"/>
      <c r="V475" s="157"/>
      <c r="W475" s="157"/>
      <c r="X475" s="157"/>
      <c r="Y475" s="157"/>
      <c r="Z475" s="157"/>
      <c r="AA475" s="157"/>
      <c r="AB475" s="157"/>
      <c r="AC475" s="157"/>
      <c r="AD475" s="157"/>
      <c r="AE475" s="157"/>
      <c r="AF475" s="157"/>
      <c r="AG475" s="157"/>
      <c r="AH475" s="157"/>
      <c r="AI475" s="157"/>
      <c r="AJ475" s="157"/>
      <c r="AK475" s="157"/>
      <c r="AL475" s="157"/>
      <c r="AM475" s="157"/>
      <c r="AN475" s="157"/>
      <c r="AO475" s="157"/>
      <c r="AP475" s="157"/>
      <c r="AQ475" s="157"/>
      <c r="AR475" s="157"/>
      <c r="AS475" s="157"/>
      <c r="AT475" s="157"/>
      <c r="AU475" s="157"/>
      <c r="AV475" s="157"/>
      <c r="AW475" s="157"/>
      <c r="AX475" s="157"/>
      <c r="AY475" s="157"/>
      <c r="AZ475" s="157"/>
      <c r="BA475" s="157"/>
    </row>
    <row r="476" spans="2:53" s="156" customFormat="1" ht="15" customHeight="1">
      <c r="B476" s="157"/>
      <c r="C476" s="157"/>
      <c r="D476" s="157"/>
      <c r="E476" s="157"/>
      <c r="F476" s="157"/>
      <c r="G476" s="157"/>
      <c r="H476" s="157"/>
      <c r="I476" s="157"/>
      <c r="J476" s="158"/>
      <c r="K476" s="157"/>
      <c r="L476" s="157"/>
      <c r="M476" s="157"/>
      <c r="O476" s="157"/>
      <c r="P476" s="157"/>
      <c r="Q476" s="157"/>
      <c r="R476" s="157"/>
      <c r="S476" s="157"/>
      <c r="T476" s="157"/>
      <c r="U476" s="157"/>
      <c r="V476" s="157"/>
      <c r="W476" s="157"/>
      <c r="X476" s="157"/>
      <c r="Y476" s="157"/>
      <c r="Z476" s="157"/>
      <c r="AA476" s="157"/>
      <c r="AB476" s="157"/>
      <c r="AC476" s="157"/>
      <c r="AD476" s="157"/>
      <c r="AE476" s="157"/>
      <c r="AF476" s="157"/>
      <c r="AG476" s="157"/>
      <c r="AH476" s="157"/>
      <c r="AI476" s="157"/>
      <c r="AJ476" s="157"/>
      <c r="AK476" s="157"/>
      <c r="AL476" s="157"/>
      <c r="AM476" s="157"/>
      <c r="AN476" s="157"/>
      <c r="AO476" s="157"/>
      <c r="AP476" s="157"/>
      <c r="AQ476" s="157"/>
      <c r="AR476" s="157"/>
      <c r="AS476" s="157"/>
      <c r="AT476" s="157"/>
      <c r="AU476" s="157"/>
      <c r="AV476" s="157"/>
      <c r="AW476" s="157"/>
      <c r="AX476" s="157"/>
      <c r="AY476" s="157"/>
      <c r="AZ476" s="157"/>
      <c r="BA476" s="157"/>
    </row>
    <row r="477" spans="2:53" s="156" customFormat="1" ht="15" customHeight="1">
      <c r="B477" s="157"/>
      <c r="C477" s="157"/>
      <c r="D477" s="157"/>
      <c r="E477" s="157"/>
      <c r="F477" s="157"/>
      <c r="G477" s="157"/>
      <c r="H477" s="157"/>
      <c r="I477" s="157"/>
      <c r="J477" s="158"/>
      <c r="K477" s="157"/>
      <c r="L477" s="157"/>
      <c r="M477" s="157"/>
      <c r="O477" s="157"/>
      <c r="P477" s="157"/>
      <c r="Q477" s="157"/>
      <c r="R477" s="157"/>
      <c r="S477" s="157"/>
      <c r="T477" s="157"/>
      <c r="U477" s="157"/>
      <c r="V477" s="157"/>
      <c r="W477" s="157"/>
      <c r="X477" s="157"/>
      <c r="Y477" s="157"/>
      <c r="Z477" s="157"/>
      <c r="AA477" s="157"/>
      <c r="AB477" s="157"/>
      <c r="AC477" s="157"/>
      <c r="AD477" s="157"/>
      <c r="AE477" s="157"/>
      <c r="AF477" s="157"/>
      <c r="AG477" s="157"/>
      <c r="AH477" s="157"/>
      <c r="AI477" s="157"/>
      <c r="AJ477" s="157"/>
      <c r="AK477" s="157"/>
      <c r="AL477" s="157"/>
      <c r="AM477" s="157"/>
      <c r="AN477" s="157"/>
      <c r="AO477" s="157"/>
      <c r="AP477" s="157"/>
      <c r="AQ477" s="157"/>
      <c r="AR477" s="157"/>
      <c r="AS477" s="157"/>
      <c r="AT477" s="157"/>
      <c r="AU477" s="157"/>
      <c r="AV477" s="157"/>
      <c r="AW477" s="157"/>
      <c r="AX477" s="157"/>
      <c r="AY477" s="157"/>
      <c r="AZ477" s="157"/>
      <c r="BA477" s="157"/>
    </row>
    <row r="478" spans="2:53" s="156" customFormat="1" ht="15" customHeight="1">
      <c r="B478" s="157"/>
      <c r="C478" s="157"/>
      <c r="D478" s="157"/>
      <c r="E478" s="157"/>
      <c r="F478" s="157"/>
      <c r="G478" s="157"/>
      <c r="H478" s="157"/>
      <c r="I478" s="157"/>
      <c r="J478" s="158"/>
      <c r="K478" s="157"/>
      <c r="L478" s="157"/>
      <c r="M478" s="157"/>
      <c r="O478" s="157"/>
      <c r="P478" s="157"/>
      <c r="Q478" s="157"/>
      <c r="R478" s="157"/>
      <c r="S478" s="157"/>
      <c r="T478" s="157"/>
      <c r="U478" s="157"/>
      <c r="V478" s="157"/>
      <c r="W478" s="157"/>
      <c r="X478" s="157"/>
      <c r="Y478" s="157"/>
      <c r="Z478" s="157"/>
      <c r="AA478" s="157"/>
      <c r="AB478" s="157"/>
      <c r="AC478" s="157"/>
      <c r="AD478" s="157"/>
      <c r="AE478" s="157"/>
      <c r="AF478" s="157"/>
      <c r="AG478" s="157"/>
      <c r="AH478" s="157"/>
      <c r="AI478" s="157"/>
      <c r="AJ478" s="157"/>
      <c r="AK478" s="157"/>
      <c r="AL478" s="157"/>
      <c r="AM478" s="157"/>
      <c r="AN478" s="157"/>
      <c r="AO478" s="157"/>
      <c r="AP478" s="157"/>
      <c r="AQ478" s="157"/>
      <c r="AR478" s="157"/>
      <c r="AS478" s="157"/>
      <c r="AT478" s="157"/>
      <c r="AU478" s="157"/>
      <c r="AV478" s="157"/>
      <c r="AW478" s="157"/>
      <c r="AX478" s="157"/>
      <c r="AY478" s="157"/>
      <c r="AZ478" s="157"/>
      <c r="BA478" s="157"/>
    </row>
    <row r="479" spans="2:53" s="156" customFormat="1" ht="15" customHeight="1">
      <c r="B479" s="157"/>
      <c r="C479" s="157"/>
      <c r="D479" s="157"/>
      <c r="E479" s="157"/>
      <c r="F479" s="157"/>
      <c r="G479" s="157"/>
      <c r="H479" s="157"/>
      <c r="I479" s="157"/>
      <c r="J479" s="158"/>
      <c r="K479" s="157"/>
      <c r="L479" s="157"/>
      <c r="M479" s="157"/>
      <c r="O479" s="157"/>
      <c r="P479" s="157"/>
      <c r="Q479" s="157"/>
      <c r="R479" s="157"/>
      <c r="S479" s="157"/>
      <c r="T479" s="157"/>
      <c r="U479" s="157"/>
      <c r="V479" s="157"/>
      <c r="W479" s="157"/>
      <c r="X479" s="157"/>
      <c r="Y479" s="157"/>
      <c r="Z479" s="157"/>
      <c r="AA479" s="157"/>
      <c r="AB479" s="157"/>
      <c r="AC479" s="157"/>
      <c r="AD479" s="157"/>
      <c r="AE479" s="157"/>
      <c r="AF479" s="157"/>
      <c r="AG479" s="157"/>
      <c r="AH479" s="157"/>
      <c r="AI479" s="157"/>
      <c r="AJ479" s="157"/>
      <c r="AK479" s="157"/>
      <c r="AL479" s="157"/>
      <c r="AM479" s="157"/>
      <c r="AN479" s="157"/>
      <c r="AO479" s="157"/>
      <c r="AP479" s="157"/>
      <c r="AQ479" s="157"/>
      <c r="AR479" s="157"/>
      <c r="AS479" s="157"/>
      <c r="AT479" s="157"/>
      <c r="AU479" s="157"/>
      <c r="AV479" s="157"/>
      <c r="AW479" s="157"/>
      <c r="AX479" s="157"/>
      <c r="AY479" s="157"/>
      <c r="AZ479" s="157"/>
      <c r="BA479" s="157"/>
    </row>
    <row r="480" spans="2:53" s="156" customFormat="1" ht="15" customHeight="1">
      <c r="B480" s="157"/>
      <c r="C480" s="157"/>
      <c r="D480" s="157"/>
      <c r="E480" s="157"/>
      <c r="F480" s="157"/>
      <c r="G480" s="157"/>
      <c r="H480" s="157"/>
      <c r="I480" s="157"/>
      <c r="J480" s="158"/>
      <c r="K480" s="157"/>
      <c r="L480" s="157"/>
      <c r="M480" s="157"/>
      <c r="O480" s="157"/>
      <c r="P480" s="157"/>
      <c r="Q480" s="157"/>
      <c r="R480" s="157"/>
      <c r="S480" s="157"/>
      <c r="T480" s="157"/>
      <c r="U480" s="157"/>
      <c r="V480" s="157"/>
      <c r="W480" s="157"/>
      <c r="X480" s="157"/>
      <c r="Y480" s="157"/>
      <c r="Z480" s="157"/>
      <c r="AA480" s="157"/>
      <c r="AB480" s="157"/>
      <c r="AC480" s="157"/>
      <c r="AD480" s="157"/>
      <c r="AE480" s="157"/>
      <c r="AF480" s="157"/>
      <c r="AG480" s="157"/>
      <c r="AH480" s="157"/>
      <c r="AI480" s="157"/>
      <c r="AJ480" s="157"/>
      <c r="AK480" s="157"/>
      <c r="AL480" s="157"/>
      <c r="AM480" s="157"/>
      <c r="AN480" s="157"/>
      <c r="AO480" s="157"/>
      <c r="AP480" s="157"/>
      <c r="AQ480" s="157"/>
      <c r="AR480" s="157"/>
      <c r="AS480" s="157"/>
      <c r="AT480" s="157"/>
      <c r="AU480" s="157"/>
      <c r="AV480" s="157"/>
      <c r="AW480" s="157"/>
      <c r="AX480" s="157"/>
      <c r="AY480" s="157"/>
      <c r="AZ480" s="157"/>
      <c r="BA480" s="157"/>
    </row>
    <row r="481" spans="2:53" s="156" customFormat="1" ht="15" customHeight="1">
      <c r="B481" s="157"/>
      <c r="C481" s="157"/>
      <c r="D481" s="157"/>
      <c r="E481" s="157"/>
      <c r="F481" s="157"/>
      <c r="G481" s="157"/>
      <c r="H481" s="157"/>
      <c r="I481" s="157"/>
      <c r="J481" s="158"/>
      <c r="K481" s="157"/>
      <c r="L481" s="157"/>
      <c r="M481" s="157"/>
      <c r="O481" s="157"/>
      <c r="P481" s="157"/>
      <c r="Q481" s="157"/>
      <c r="R481" s="157"/>
      <c r="S481" s="157"/>
      <c r="T481" s="157"/>
      <c r="U481" s="157"/>
      <c r="V481" s="157"/>
      <c r="W481" s="157"/>
      <c r="X481" s="157"/>
      <c r="Y481" s="157"/>
      <c r="Z481" s="157"/>
      <c r="AA481" s="157"/>
      <c r="AB481" s="157"/>
      <c r="AC481" s="157"/>
      <c r="AD481" s="157"/>
      <c r="AE481" s="157"/>
      <c r="AF481" s="157"/>
      <c r="AG481" s="157"/>
      <c r="AH481" s="157"/>
      <c r="AI481" s="157"/>
      <c r="AJ481" s="157"/>
      <c r="AK481" s="157"/>
      <c r="AL481" s="157"/>
      <c r="AM481" s="157"/>
      <c r="AN481" s="157"/>
      <c r="AO481" s="157"/>
      <c r="AP481" s="157"/>
      <c r="AQ481" s="157"/>
      <c r="AR481" s="157"/>
      <c r="AS481" s="157"/>
      <c r="AT481" s="157"/>
      <c r="AU481" s="157"/>
      <c r="AV481" s="157"/>
      <c r="AW481" s="157"/>
      <c r="AX481" s="157"/>
      <c r="AY481" s="157"/>
      <c r="AZ481" s="157"/>
      <c r="BA481" s="157"/>
    </row>
    <row r="482" spans="2:53" s="156" customFormat="1" ht="15" customHeight="1">
      <c r="B482" s="157"/>
      <c r="C482" s="157"/>
      <c r="D482" s="157"/>
      <c r="E482" s="157"/>
      <c r="F482" s="157"/>
      <c r="G482" s="157"/>
      <c r="H482" s="157"/>
      <c r="I482" s="157"/>
      <c r="J482" s="158"/>
      <c r="K482" s="157"/>
      <c r="L482" s="157"/>
      <c r="M482" s="157"/>
      <c r="O482" s="157"/>
      <c r="P482" s="157"/>
      <c r="Q482" s="157"/>
      <c r="R482" s="157"/>
      <c r="S482" s="157"/>
      <c r="T482" s="157"/>
      <c r="U482" s="157"/>
      <c r="V482" s="157"/>
      <c r="W482" s="157"/>
      <c r="X482" s="157"/>
      <c r="Y482" s="157"/>
      <c r="Z482" s="157"/>
      <c r="AA482" s="157"/>
      <c r="AB482" s="157"/>
      <c r="AC482" s="157"/>
      <c r="AD482" s="157"/>
      <c r="AE482" s="157"/>
      <c r="AF482" s="157"/>
      <c r="AG482" s="157"/>
      <c r="AH482" s="157"/>
      <c r="AI482" s="157"/>
      <c r="AJ482" s="157"/>
      <c r="AK482" s="157"/>
      <c r="AL482" s="157"/>
      <c r="AM482" s="157"/>
      <c r="AN482" s="157"/>
      <c r="AO482" s="157"/>
      <c r="AP482" s="157"/>
      <c r="AQ482" s="157"/>
      <c r="AR482" s="157"/>
      <c r="AS482" s="157"/>
      <c r="AT482" s="157"/>
      <c r="AU482" s="157"/>
      <c r="AV482" s="157"/>
      <c r="AW482" s="157"/>
      <c r="AX482" s="157"/>
      <c r="AY482" s="157"/>
      <c r="AZ482" s="157"/>
      <c r="BA482" s="157"/>
    </row>
    <row r="483" spans="2:53" s="156" customFormat="1" ht="15" customHeight="1">
      <c r="B483" s="157"/>
      <c r="C483" s="157"/>
      <c r="D483" s="157"/>
      <c r="E483" s="157"/>
      <c r="F483" s="157"/>
      <c r="G483" s="157"/>
      <c r="H483" s="157"/>
      <c r="I483" s="157"/>
      <c r="J483" s="158"/>
      <c r="K483" s="157"/>
      <c r="L483" s="157"/>
      <c r="M483" s="157"/>
      <c r="O483" s="157"/>
      <c r="P483" s="157"/>
      <c r="Q483" s="157"/>
      <c r="R483" s="157"/>
      <c r="S483" s="157"/>
      <c r="T483" s="157"/>
      <c r="U483" s="157"/>
      <c r="V483" s="157"/>
      <c r="W483" s="157"/>
      <c r="X483" s="157"/>
      <c r="Y483" s="157"/>
      <c r="Z483" s="157"/>
      <c r="AA483" s="157"/>
      <c r="AB483" s="157"/>
      <c r="AC483" s="157"/>
      <c r="AD483" s="157"/>
      <c r="AE483" s="157"/>
      <c r="AF483" s="157"/>
      <c r="AG483" s="157"/>
      <c r="AH483" s="157"/>
      <c r="AI483" s="157"/>
      <c r="AJ483" s="157"/>
      <c r="AK483" s="157"/>
      <c r="AL483" s="157"/>
      <c r="AM483" s="157"/>
      <c r="AN483" s="157"/>
      <c r="AO483" s="157"/>
      <c r="AP483" s="157"/>
      <c r="AQ483" s="157"/>
      <c r="AR483" s="157"/>
      <c r="AS483" s="157"/>
      <c r="AT483" s="157"/>
      <c r="AU483" s="157"/>
      <c r="AV483" s="157"/>
      <c r="AW483" s="157"/>
      <c r="AX483" s="157"/>
      <c r="AY483" s="157"/>
      <c r="AZ483" s="157"/>
      <c r="BA483" s="157"/>
    </row>
    <row r="484" spans="2:53" s="156" customFormat="1" ht="15" customHeight="1">
      <c r="B484" s="157"/>
      <c r="C484" s="157"/>
      <c r="D484" s="157"/>
      <c r="E484" s="157"/>
      <c r="F484" s="157"/>
      <c r="G484" s="157"/>
      <c r="H484" s="157"/>
      <c r="I484" s="157"/>
      <c r="J484" s="158"/>
      <c r="K484" s="157"/>
      <c r="L484" s="157"/>
      <c r="M484" s="157"/>
      <c r="O484" s="157"/>
      <c r="P484" s="157"/>
      <c r="Q484" s="157"/>
      <c r="R484" s="157"/>
      <c r="S484" s="157"/>
      <c r="T484" s="157"/>
      <c r="U484" s="157"/>
      <c r="V484" s="157"/>
      <c r="W484" s="157"/>
      <c r="X484" s="157"/>
      <c r="Y484" s="157"/>
      <c r="Z484" s="157"/>
      <c r="AA484" s="157"/>
      <c r="AB484" s="157"/>
      <c r="AC484" s="157"/>
      <c r="AD484" s="157"/>
      <c r="AE484" s="157"/>
      <c r="AF484" s="157"/>
      <c r="AG484" s="157"/>
      <c r="AH484" s="157"/>
      <c r="AI484" s="157"/>
      <c r="AJ484" s="157"/>
      <c r="AK484" s="157"/>
      <c r="AL484" s="157"/>
      <c r="AM484" s="157"/>
      <c r="AN484" s="157"/>
      <c r="AO484" s="157"/>
      <c r="AP484" s="157"/>
      <c r="AQ484" s="157"/>
      <c r="AR484" s="157"/>
      <c r="AS484" s="157"/>
      <c r="AT484" s="157"/>
      <c r="AU484" s="157"/>
      <c r="AV484" s="157"/>
      <c r="AW484" s="157"/>
      <c r="AX484" s="157"/>
      <c r="AY484" s="157"/>
      <c r="AZ484" s="157"/>
      <c r="BA484" s="157"/>
    </row>
    <row r="485" spans="2:53" s="156" customFormat="1" ht="15" customHeight="1">
      <c r="B485" s="157"/>
      <c r="C485" s="157"/>
      <c r="D485" s="157"/>
      <c r="E485" s="157"/>
      <c r="F485" s="157"/>
      <c r="G485" s="157"/>
      <c r="H485" s="157"/>
      <c r="I485" s="157"/>
      <c r="J485" s="158"/>
      <c r="K485" s="157"/>
      <c r="L485" s="157"/>
      <c r="M485" s="157"/>
      <c r="O485" s="157"/>
      <c r="P485" s="157"/>
      <c r="Q485" s="157"/>
      <c r="R485" s="157"/>
      <c r="S485" s="157"/>
      <c r="T485" s="157"/>
      <c r="U485" s="157"/>
      <c r="V485" s="157"/>
      <c r="W485" s="157"/>
      <c r="X485" s="157"/>
      <c r="Y485" s="157"/>
      <c r="Z485" s="157"/>
      <c r="AA485" s="157"/>
      <c r="AB485" s="157"/>
      <c r="AC485" s="157"/>
      <c r="AD485" s="157"/>
      <c r="AE485" s="157"/>
      <c r="AF485" s="157"/>
      <c r="AG485" s="157"/>
      <c r="AH485" s="157"/>
      <c r="AI485" s="157"/>
      <c r="AJ485" s="157"/>
      <c r="AK485" s="157"/>
      <c r="AL485" s="157"/>
      <c r="AM485" s="157"/>
      <c r="AN485" s="157"/>
      <c r="AO485" s="157"/>
      <c r="AP485" s="157"/>
      <c r="AQ485" s="157"/>
      <c r="AR485" s="157"/>
      <c r="AS485" s="157"/>
      <c r="AT485" s="157"/>
      <c r="AU485" s="157"/>
      <c r="AV485" s="157"/>
      <c r="AW485" s="157"/>
      <c r="AX485" s="157"/>
      <c r="AY485" s="157"/>
      <c r="AZ485" s="157"/>
      <c r="BA485" s="157"/>
    </row>
    <row r="486" spans="2:53" s="156" customFormat="1" ht="15" customHeight="1">
      <c r="B486" s="157"/>
      <c r="C486" s="157"/>
      <c r="D486" s="157"/>
      <c r="E486" s="157"/>
      <c r="F486" s="157"/>
      <c r="G486" s="157"/>
      <c r="H486" s="157"/>
      <c r="I486" s="157"/>
      <c r="J486" s="158"/>
      <c r="K486" s="157"/>
      <c r="L486" s="157"/>
      <c r="M486" s="157"/>
      <c r="O486" s="157"/>
      <c r="P486" s="157"/>
      <c r="Q486" s="157"/>
      <c r="R486" s="157"/>
      <c r="S486" s="157"/>
      <c r="T486" s="157"/>
      <c r="U486" s="157"/>
      <c r="V486" s="157"/>
      <c r="W486" s="157"/>
      <c r="X486" s="157"/>
      <c r="Y486" s="157"/>
      <c r="Z486" s="157"/>
      <c r="AA486" s="157"/>
      <c r="AB486" s="157"/>
      <c r="AC486" s="157"/>
      <c r="AD486" s="157"/>
      <c r="AE486" s="157"/>
      <c r="AF486" s="157"/>
      <c r="AG486" s="157"/>
      <c r="AH486" s="157"/>
      <c r="AI486" s="157"/>
      <c r="AJ486" s="157"/>
      <c r="AK486" s="157"/>
      <c r="AL486" s="157"/>
      <c r="AM486" s="157"/>
      <c r="AN486" s="157"/>
      <c r="AO486" s="157"/>
      <c r="AP486" s="157"/>
      <c r="AQ486" s="157"/>
      <c r="AR486" s="157"/>
      <c r="AS486" s="157"/>
      <c r="AT486" s="157"/>
      <c r="AU486" s="157"/>
      <c r="AV486" s="157"/>
      <c r="AW486" s="157"/>
      <c r="AX486" s="157"/>
      <c r="AY486" s="157"/>
      <c r="AZ486" s="157"/>
      <c r="BA486" s="157"/>
    </row>
    <row r="487" spans="2:53" s="156" customFormat="1" ht="15" customHeight="1">
      <c r="B487" s="157"/>
      <c r="C487" s="157"/>
      <c r="D487" s="157"/>
      <c r="E487" s="157"/>
      <c r="F487" s="157"/>
      <c r="G487" s="157"/>
      <c r="H487" s="157"/>
      <c r="I487" s="157"/>
      <c r="J487" s="158"/>
      <c r="K487" s="157"/>
      <c r="L487" s="157"/>
      <c r="M487" s="157"/>
      <c r="O487" s="157"/>
      <c r="P487" s="157"/>
      <c r="Q487" s="157"/>
      <c r="R487" s="157"/>
      <c r="S487" s="157"/>
      <c r="T487" s="157"/>
      <c r="U487" s="157"/>
      <c r="V487" s="157"/>
      <c r="W487" s="157"/>
      <c r="X487" s="157"/>
      <c r="Y487" s="157"/>
      <c r="Z487" s="157"/>
      <c r="AA487" s="157"/>
      <c r="AB487" s="157"/>
      <c r="AC487" s="157"/>
      <c r="AD487" s="157"/>
      <c r="AE487" s="157"/>
      <c r="AF487" s="157"/>
      <c r="AG487" s="157"/>
      <c r="AH487" s="157"/>
      <c r="AI487" s="157"/>
      <c r="AJ487" s="157"/>
      <c r="AK487" s="157"/>
      <c r="AL487" s="157"/>
      <c r="AM487" s="157"/>
      <c r="AN487" s="157"/>
      <c r="AO487" s="157"/>
      <c r="AP487" s="157"/>
      <c r="AQ487" s="157"/>
      <c r="AR487" s="157"/>
      <c r="AS487" s="157"/>
      <c r="AT487" s="157"/>
      <c r="AU487" s="157"/>
      <c r="AV487" s="157"/>
      <c r="AW487" s="157"/>
      <c r="AX487" s="157"/>
      <c r="AY487" s="157"/>
      <c r="AZ487" s="157"/>
      <c r="BA487" s="157"/>
    </row>
    <row r="488" spans="2:53" s="156" customFormat="1" ht="15" customHeight="1">
      <c r="B488" s="157"/>
      <c r="C488" s="157"/>
      <c r="D488" s="157"/>
      <c r="E488" s="157"/>
      <c r="F488" s="157"/>
      <c r="G488" s="157"/>
      <c r="H488" s="157"/>
      <c r="I488" s="157"/>
      <c r="J488" s="158"/>
      <c r="K488" s="157"/>
      <c r="L488" s="157"/>
      <c r="M488" s="157"/>
      <c r="O488" s="157"/>
      <c r="P488" s="157"/>
      <c r="Q488" s="157"/>
      <c r="R488" s="157"/>
      <c r="S488" s="157"/>
      <c r="T488" s="157"/>
      <c r="U488" s="157"/>
      <c r="V488" s="157"/>
      <c r="W488" s="157"/>
      <c r="X488" s="157"/>
      <c r="Y488" s="157"/>
      <c r="Z488" s="157"/>
      <c r="AA488" s="157"/>
      <c r="AB488" s="157"/>
      <c r="AC488" s="157"/>
      <c r="AD488" s="157"/>
      <c r="AE488" s="157"/>
      <c r="AF488" s="157"/>
      <c r="AG488" s="157"/>
      <c r="AH488" s="157"/>
      <c r="AI488" s="157"/>
      <c r="AJ488" s="157"/>
      <c r="AK488" s="157"/>
      <c r="AL488" s="157"/>
      <c r="AM488" s="157"/>
      <c r="AN488" s="157"/>
      <c r="AO488" s="157"/>
      <c r="AP488" s="157"/>
      <c r="AQ488" s="157"/>
      <c r="AR488" s="157"/>
      <c r="AS488" s="157"/>
      <c r="AT488" s="157"/>
      <c r="AU488" s="157"/>
      <c r="AV488" s="157"/>
      <c r="AW488" s="157"/>
      <c r="AX488" s="157"/>
      <c r="AY488" s="157"/>
      <c r="AZ488" s="157"/>
      <c r="BA488" s="157"/>
    </row>
    <row r="489" spans="2:53" s="156" customFormat="1" ht="15" customHeight="1">
      <c r="B489" s="157"/>
      <c r="C489" s="157"/>
      <c r="D489" s="157"/>
      <c r="E489" s="157"/>
      <c r="F489" s="157"/>
      <c r="G489" s="157"/>
      <c r="H489" s="157"/>
      <c r="I489" s="157"/>
      <c r="J489" s="158"/>
      <c r="K489" s="157"/>
      <c r="L489" s="157"/>
      <c r="M489" s="157"/>
      <c r="O489" s="157"/>
      <c r="P489" s="157"/>
      <c r="Q489" s="157"/>
      <c r="R489" s="157"/>
      <c r="S489" s="157"/>
      <c r="T489" s="157"/>
      <c r="U489" s="157"/>
      <c r="V489" s="157"/>
      <c r="W489" s="157"/>
      <c r="X489" s="157"/>
      <c r="Y489" s="157"/>
      <c r="Z489" s="157"/>
      <c r="AA489" s="157"/>
      <c r="AB489" s="157"/>
      <c r="AC489" s="157"/>
      <c r="AD489" s="157"/>
      <c r="AE489" s="157"/>
      <c r="AF489" s="157"/>
      <c r="AG489" s="157"/>
      <c r="AH489" s="157"/>
      <c r="AI489" s="157"/>
      <c r="AJ489" s="157"/>
      <c r="AK489" s="157"/>
      <c r="AL489" s="157"/>
      <c r="AM489" s="157"/>
      <c r="AN489" s="157"/>
      <c r="AO489" s="157"/>
      <c r="AP489" s="157"/>
      <c r="AQ489" s="157"/>
      <c r="AR489" s="157"/>
      <c r="AS489" s="157"/>
      <c r="AT489" s="157"/>
      <c r="AU489" s="157"/>
      <c r="AV489" s="157"/>
      <c r="AW489" s="157"/>
      <c r="AX489" s="157"/>
      <c r="AY489" s="157"/>
      <c r="AZ489" s="157"/>
      <c r="BA489" s="157"/>
    </row>
    <row r="490" spans="2:53" s="156" customFormat="1" ht="15" customHeight="1">
      <c r="B490" s="157"/>
      <c r="C490" s="157"/>
      <c r="D490" s="157"/>
      <c r="E490" s="157"/>
      <c r="F490" s="157"/>
      <c r="G490" s="157"/>
      <c r="H490" s="157"/>
      <c r="I490" s="157"/>
      <c r="J490" s="158"/>
      <c r="K490" s="157"/>
      <c r="L490" s="157"/>
      <c r="M490" s="157"/>
      <c r="O490" s="157"/>
      <c r="P490" s="157"/>
      <c r="Q490" s="157"/>
      <c r="R490" s="157"/>
      <c r="S490" s="157"/>
      <c r="T490" s="157"/>
      <c r="U490" s="157"/>
      <c r="V490" s="157"/>
      <c r="W490" s="157"/>
      <c r="X490" s="157"/>
      <c r="Y490" s="157"/>
      <c r="Z490" s="157"/>
      <c r="AA490" s="157"/>
      <c r="AB490" s="157"/>
      <c r="AC490" s="157"/>
      <c r="AD490" s="157"/>
      <c r="AE490" s="157"/>
      <c r="AF490" s="157"/>
      <c r="AG490" s="157"/>
      <c r="AH490" s="157"/>
      <c r="AI490" s="157"/>
      <c r="AJ490" s="157"/>
      <c r="AK490" s="157"/>
      <c r="AL490" s="157"/>
      <c r="AM490" s="157"/>
      <c r="AN490" s="157"/>
      <c r="AO490" s="157"/>
      <c r="AP490" s="157"/>
      <c r="AQ490" s="157"/>
      <c r="AR490" s="157"/>
      <c r="AS490" s="157"/>
      <c r="AT490" s="157"/>
      <c r="AU490" s="157"/>
      <c r="AV490" s="157"/>
      <c r="AW490" s="157"/>
      <c r="AX490" s="157"/>
      <c r="AY490" s="157"/>
      <c r="AZ490" s="157"/>
      <c r="BA490" s="157"/>
    </row>
    <row r="491" spans="2:53" s="156" customFormat="1" ht="15" customHeight="1">
      <c r="B491" s="157"/>
      <c r="C491" s="157"/>
      <c r="D491" s="157"/>
      <c r="E491" s="157"/>
      <c r="F491" s="157"/>
      <c r="G491" s="157"/>
      <c r="H491" s="157"/>
      <c r="I491" s="157"/>
      <c r="J491" s="158"/>
      <c r="K491" s="157"/>
      <c r="L491" s="157"/>
      <c r="M491" s="157"/>
      <c r="O491" s="157"/>
      <c r="P491" s="157"/>
      <c r="Q491" s="157"/>
      <c r="R491" s="157"/>
      <c r="S491" s="157"/>
      <c r="T491" s="157"/>
      <c r="U491" s="157"/>
      <c r="V491" s="157"/>
      <c r="W491" s="157"/>
      <c r="X491" s="157"/>
      <c r="Y491" s="157"/>
      <c r="Z491" s="157"/>
      <c r="AA491" s="157"/>
      <c r="AB491" s="157"/>
      <c r="AC491" s="157"/>
      <c r="AD491" s="157"/>
      <c r="AE491" s="157"/>
      <c r="AF491" s="157"/>
      <c r="AG491" s="157"/>
      <c r="AH491" s="157"/>
      <c r="AI491" s="157"/>
      <c r="AJ491" s="157"/>
      <c r="AK491" s="157"/>
      <c r="AL491" s="157"/>
      <c r="AM491" s="157"/>
      <c r="AN491" s="157"/>
      <c r="AO491" s="157"/>
      <c r="AP491" s="157"/>
      <c r="AQ491" s="157"/>
      <c r="AR491" s="157"/>
      <c r="AS491" s="157"/>
      <c r="AT491" s="157"/>
      <c r="AU491" s="157"/>
      <c r="AV491" s="157"/>
      <c r="AW491" s="157"/>
      <c r="AX491" s="157"/>
      <c r="AY491" s="157"/>
      <c r="AZ491" s="157"/>
      <c r="BA491" s="157"/>
    </row>
    <row r="492" spans="2:53" s="156" customFormat="1" ht="15" customHeight="1">
      <c r="B492" s="157"/>
      <c r="C492" s="157"/>
      <c r="D492" s="157"/>
      <c r="E492" s="157"/>
      <c r="F492" s="157"/>
      <c r="G492" s="157"/>
      <c r="H492" s="157"/>
      <c r="I492" s="157"/>
      <c r="J492" s="158"/>
      <c r="K492" s="157"/>
      <c r="L492" s="157"/>
      <c r="M492" s="157"/>
      <c r="O492" s="157"/>
      <c r="P492" s="157"/>
      <c r="Q492" s="157"/>
      <c r="R492" s="157"/>
      <c r="S492" s="157"/>
      <c r="T492" s="157"/>
      <c r="U492" s="157"/>
      <c r="V492" s="157"/>
      <c r="W492" s="157"/>
      <c r="X492" s="157"/>
      <c r="Y492" s="157"/>
      <c r="Z492" s="157"/>
      <c r="AA492" s="157"/>
      <c r="AB492" s="157"/>
      <c r="AC492" s="157"/>
      <c r="AD492" s="157"/>
      <c r="AE492" s="157"/>
      <c r="AF492" s="157"/>
      <c r="AG492" s="157"/>
      <c r="AH492" s="157"/>
      <c r="AI492" s="157"/>
      <c r="AJ492" s="157"/>
      <c r="AK492" s="157"/>
      <c r="AL492" s="157"/>
      <c r="AM492" s="157"/>
      <c r="AN492" s="157"/>
      <c r="AO492" s="157"/>
      <c r="AP492" s="157"/>
      <c r="AQ492" s="157"/>
      <c r="AR492" s="157"/>
      <c r="AS492" s="157"/>
      <c r="AT492" s="157"/>
      <c r="AU492" s="157"/>
      <c r="AV492" s="157"/>
      <c r="AW492" s="157"/>
      <c r="AX492" s="157"/>
      <c r="AY492" s="157"/>
      <c r="AZ492" s="157"/>
      <c r="BA492" s="157"/>
    </row>
    <row r="493" spans="2:53" s="156" customFormat="1" ht="15" customHeight="1">
      <c r="B493" s="157"/>
      <c r="C493" s="157"/>
      <c r="D493" s="157"/>
      <c r="E493" s="157"/>
      <c r="F493" s="157"/>
      <c r="G493" s="157"/>
      <c r="H493" s="157"/>
      <c r="I493" s="157"/>
      <c r="J493" s="158"/>
      <c r="K493" s="157"/>
      <c r="L493" s="157"/>
      <c r="M493" s="157"/>
      <c r="O493" s="157"/>
      <c r="P493" s="157"/>
      <c r="Q493" s="157"/>
      <c r="R493" s="157"/>
      <c r="S493" s="157"/>
      <c r="T493" s="157"/>
      <c r="U493" s="157"/>
      <c r="V493" s="157"/>
      <c r="W493" s="157"/>
      <c r="X493" s="157"/>
      <c r="Y493" s="157"/>
      <c r="Z493" s="157"/>
      <c r="AA493" s="157"/>
      <c r="AB493" s="157"/>
      <c r="AC493" s="157"/>
      <c r="AD493" s="157"/>
      <c r="AE493" s="157"/>
      <c r="AF493" s="157"/>
      <c r="AG493" s="157"/>
      <c r="AH493" s="157"/>
      <c r="AI493" s="157"/>
      <c r="AJ493" s="157"/>
      <c r="AK493" s="157"/>
      <c r="AL493" s="157"/>
      <c r="AM493" s="157"/>
      <c r="AN493" s="157"/>
      <c r="AO493" s="157"/>
      <c r="AP493" s="157"/>
      <c r="AQ493" s="157"/>
      <c r="AR493" s="157"/>
      <c r="AS493" s="157"/>
      <c r="AT493" s="157"/>
      <c r="AU493" s="157"/>
      <c r="AV493" s="157"/>
      <c r="AW493" s="157"/>
      <c r="AX493" s="157"/>
      <c r="AY493" s="157"/>
      <c r="AZ493" s="157"/>
      <c r="BA493" s="157"/>
    </row>
    <row r="494" spans="2:53" s="156" customFormat="1" ht="15" customHeight="1">
      <c r="B494" s="157"/>
      <c r="C494" s="157"/>
      <c r="D494" s="157"/>
      <c r="E494" s="157"/>
      <c r="F494" s="157"/>
      <c r="G494" s="157"/>
      <c r="H494" s="157"/>
      <c r="I494" s="157"/>
      <c r="J494" s="158"/>
      <c r="K494" s="157"/>
      <c r="L494" s="157"/>
      <c r="M494" s="157"/>
      <c r="O494" s="157"/>
      <c r="P494" s="157"/>
      <c r="Q494" s="157"/>
      <c r="R494" s="157"/>
      <c r="S494" s="157"/>
      <c r="T494" s="157"/>
      <c r="U494" s="157"/>
      <c r="V494" s="157"/>
      <c r="W494" s="157"/>
      <c r="X494" s="157"/>
      <c r="Y494" s="157"/>
      <c r="Z494" s="157"/>
      <c r="AA494" s="157"/>
      <c r="AB494" s="157"/>
      <c r="AC494" s="157"/>
      <c r="AD494" s="157"/>
      <c r="AE494" s="157"/>
      <c r="AF494" s="157"/>
      <c r="AG494" s="157"/>
      <c r="AH494" s="157"/>
      <c r="AI494" s="157"/>
      <c r="AJ494" s="157"/>
      <c r="AK494" s="157"/>
      <c r="AL494" s="157"/>
      <c r="AM494" s="157"/>
      <c r="AN494" s="157"/>
      <c r="AO494" s="157"/>
      <c r="AP494" s="157"/>
      <c r="AQ494" s="157"/>
      <c r="AR494" s="157"/>
      <c r="AS494" s="157"/>
      <c r="AT494" s="157"/>
      <c r="AU494" s="157"/>
      <c r="AV494" s="157"/>
      <c r="AW494" s="157"/>
      <c r="AX494" s="157"/>
      <c r="AY494" s="157"/>
      <c r="AZ494" s="157"/>
      <c r="BA494" s="157"/>
    </row>
    <row r="495" spans="2:53" s="156" customFormat="1" ht="15" customHeight="1">
      <c r="B495" s="157"/>
      <c r="C495" s="157"/>
      <c r="D495" s="157"/>
      <c r="E495" s="157"/>
      <c r="F495" s="157"/>
      <c r="G495" s="157"/>
      <c r="H495" s="157"/>
      <c r="I495" s="157"/>
      <c r="J495" s="158"/>
      <c r="K495" s="157"/>
      <c r="L495" s="157"/>
      <c r="M495" s="157"/>
      <c r="O495" s="157"/>
      <c r="P495" s="157"/>
      <c r="Q495" s="157"/>
      <c r="R495" s="157"/>
      <c r="S495" s="157"/>
      <c r="T495" s="157"/>
      <c r="U495" s="157"/>
      <c r="V495" s="157"/>
      <c r="W495" s="157"/>
      <c r="X495" s="157"/>
      <c r="Y495" s="157"/>
      <c r="Z495" s="157"/>
      <c r="AA495" s="157"/>
      <c r="AB495" s="157"/>
      <c r="AC495" s="157"/>
      <c r="AD495" s="157"/>
      <c r="AE495" s="157"/>
      <c r="AF495" s="157"/>
      <c r="AG495" s="157"/>
      <c r="AH495" s="157"/>
      <c r="AI495" s="157"/>
      <c r="AJ495" s="157"/>
      <c r="AK495" s="157"/>
      <c r="AL495" s="157"/>
      <c r="AM495" s="157"/>
      <c r="AN495" s="157"/>
      <c r="AO495" s="157"/>
      <c r="AP495" s="157"/>
      <c r="AQ495" s="157"/>
      <c r="AR495" s="157"/>
      <c r="AS495" s="157"/>
      <c r="AT495" s="157"/>
      <c r="AU495" s="157"/>
      <c r="AV495" s="157"/>
      <c r="AW495" s="157"/>
      <c r="AX495" s="157"/>
      <c r="AY495" s="157"/>
      <c r="AZ495" s="157"/>
      <c r="BA495" s="157"/>
    </row>
    <row r="496" spans="2:53" s="156" customFormat="1" ht="15" customHeight="1">
      <c r="B496" s="157"/>
      <c r="C496" s="157"/>
      <c r="D496" s="157"/>
      <c r="E496" s="157"/>
      <c r="F496" s="157"/>
      <c r="G496" s="157"/>
      <c r="H496" s="157"/>
      <c r="I496" s="157"/>
      <c r="J496" s="158"/>
      <c r="K496" s="157"/>
      <c r="L496" s="157"/>
      <c r="M496" s="157"/>
      <c r="O496" s="157"/>
      <c r="P496" s="157"/>
      <c r="Q496" s="157"/>
      <c r="R496" s="157"/>
      <c r="S496" s="157"/>
      <c r="T496" s="157"/>
      <c r="U496" s="157"/>
      <c r="V496" s="157"/>
      <c r="W496" s="157"/>
      <c r="X496" s="157"/>
      <c r="Y496" s="157"/>
      <c r="Z496" s="157"/>
      <c r="AA496" s="157"/>
      <c r="AB496" s="157"/>
      <c r="AC496" s="157"/>
      <c r="AD496" s="157"/>
      <c r="AE496" s="157"/>
      <c r="AF496" s="157"/>
      <c r="AG496" s="157"/>
      <c r="AH496" s="157"/>
      <c r="AI496" s="157"/>
      <c r="AJ496" s="157"/>
      <c r="AK496" s="157"/>
      <c r="AL496" s="157"/>
      <c r="AM496" s="157"/>
      <c r="AN496" s="157"/>
      <c r="AO496" s="157"/>
      <c r="AP496" s="157"/>
      <c r="AQ496" s="157"/>
      <c r="AR496" s="157"/>
      <c r="AS496" s="157"/>
      <c r="AT496" s="157"/>
      <c r="AU496" s="157"/>
      <c r="AV496" s="157"/>
      <c r="AW496" s="157"/>
      <c r="AX496" s="157"/>
      <c r="AY496" s="157"/>
      <c r="AZ496" s="157"/>
      <c r="BA496" s="157"/>
    </row>
    <row r="497" spans="2:53" s="156" customFormat="1" ht="15" customHeight="1">
      <c r="B497" s="157"/>
      <c r="C497" s="157"/>
      <c r="D497" s="157"/>
      <c r="E497" s="157"/>
      <c r="F497" s="157"/>
      <c r="G497" s="157"/>
      <c r="H497" s="157"/>
      <c r="I497" s="157"/>
      <c r="J497" s="158"/>
      <c r="K497" s="157"/>
      <c r="L497" s="157"/>
      <c r="M497" s="157"/>
      <c r="O497" s="157"/>
      <c r="P497" s="157"/>
      <c r="Q497" s="157"/>
      <c r="R497" s="157"/>
      <c r="S497" s="157"/>
      <c r="T497" s="157"/>
      <c r="U497" s="157"/>
      <c r="V497" s="157"/>
      <c r="W497" s="157"/>
      <c r="X497" s="157"/>
      <c r="Y497" s="157"/>
      <c r="Z497" s="157"/>
      <c r="AA497" s="157"/>
      <c r="AB497" s="157"/>
      <c r="AC497" s="157"/>
      <c r="AD497" s="157"/>
      <c r="AE497" s="157"/>
      <c r="AF497" s="157"/>
      <c r="AG497" s="157"/>
      <c r="AH497" s="157"/>
      <c r="AI497" s="157"/>
      <c r="AJ497" s="157"/>
      <c r="AK497" s="157"/>
      <c r="AL497" s="157"/>
      <c r="AM497" s="157"/>
      <c r="AN497" s="157"/>
      <c r="AO497" s="157"/>
      <c r="AP497" s="157"/>
      <c r="AQ497" s="157"/>
      <c r="AR497" s="157"/>
      <c r="AS497" s="157"/>
      <c r="AT497" s="157"/>
      <c r="AU497" s="157"/>
      <c r="AV497" s="157"/>
      <c r="AW497" s="157"/>
      <c r="AX497" s="157"/>
      <c r="AY497" s="157"/>
      <c r="AZ497" s="157"/>
      <c r="BA497" s="157"/>
    </row>
    <row r="498" spans="2:53" s="156" customFormat="1" ht="15" customHeight="1">
      <c r="B498" s="157"/>
      <c r="C498" s="157"/>
      <c r="D498" s="157"/>
      <c r="E498" s="157"/>
      <c r="F498" s="157"/>
      <c r="G498" s="157"/>
      <c r="H498" s="157"/>
      <c r="I498" s="157"/>
      <c r="J498" s="158"/>
      <c r="K498" s="157"/>
      <c r="L498" s="157"/>
      <c r="M498" s="157"/>
      <c r="O498" s="157"/>
      <c r="P498" s="157"/>
      <c r="Q498" s="157"/>
      <c r="R498" s="157"/>
      <c r="S498" s="157"/>
      <c r="T498" s="157"/>
      <c r="U498" s="157"/>
      <c r="V498" s="157"/>
      <c r="W498" s="157"/>
      <c r="X498" s="157"/>
      <c r="Y498" s="157"/>
      <c r="Z498" s="157"/>
      <c r="AA498" s="157"/>
      <c r="AB498" s="157"/>
      <c r="AC498" s="157"/>
      <c r="AD498" s="157"/>
      <c r="AE498" s="157"/>
      <c r="AF498" s="157"/>
      <c r="AG498" s="157"/>
      <c r="AH498" s="157"/>
      <c r="AI498" s="157"/>
      <c r="AJ498" s="157"/>
      <c r="AK498" s="157"/>
      <c r="AL498" s="157"/>
      <c r="AM498" s="157"/>
      <c r="AN498" s="157"/>
      <c r="AO498" s="157"/>
      <c r="AP498" s="157"/>
      <c r="AQ498" s="157"/>
      <c r="AR498" s="157"/>
      <c r="AS498" s="157"/>
      <c r="AT498" s="157"/>
      <c r="AU498" s="157"/>
      <c r="AV498" s="157"/>
      <c r="AW498" s="157"/>
      <c r="AX498" s="157"/>
      <c r="AY498" s="157"/>
      <c r="AZ498" s="157"/>
      <c r="BA498" s="157"/>
    </row>
    <row r="499" spans="2:53" s="156" customFormat="1" ht="15" customHeight="1">
      <c r="B499" s="157"/>
      <c r="C499" s="157"/>
      <c r="D499" s="157"/>
      <c r="E499" s="157"/>
      <c r="F499" s="157"/>
      <c r="G499" s="157"/>
      <c r="H499" s="157"/>
      <c r="I499" s="157"/>
      <c r="J499" s="158"/>
      <c r="K499" s="157"/>
      <c r="L499" s="157"/>
      <c r="M499" s="157"/>
      <c r="O499" s="157"/>
      <c r="P499" s="157"/>
      <c r="Q499" s="157"/>
      <c r="R499" s="157"/>
      <c r="S499" s="157"/>
      <c r="T499" s="157"/>
      <c r="U499" s="157"/>
      <c r="V499" s="157"/>
      <c r="W499" s="157"/>
      <c r="X499" s="157"/>
      <c r="Y499" s="157"/>
      <c r="Z499" s="157"/>
      <c r="AA499" s="157"/>
      <c r="AB499" s="157"/>
      <c r="AC499" s="157"/>
      <c r="AD499" s="157"/>
      <c r="AE499" s="157"/>
      <c r="AF499" s="157"/>
      <c r="AG499" s="157"/>
      <c r="AH499" s="157"/>
      <c r="AI499" s="157"/>
      <c r="AJ499" s="157"/>
      <c r="AK499" s="157"/>
      <c r="AL499" s="157"/>
      <c r="AM499" s="157"/>
      <c r="AN499" s="157"/>
      <c r="AO499" s="157"/>
      <c r="AP499" s="157"/>
      <c r="AQ499" s="157"/>
      <c r="AR499" s="157"/>
      <c r="AS499" s="157"/>
      <c r="AT499" s="157"/>
      <c r="AU499" s="157"/>
      <c r="AV499" s="157"/>
      <c r="AW499" s="157"/>
      <c r="AX499" s="157"/>
      <c r="AY499" s="157"/>
      <c r="AZ499" s="157"/>
      <c r="BA499" s="157"/>
    </row>
    <row r="500" spans="2:53" s="156" customFormat="1" ht="15" customHeight="1">
      <c r="B500" s="157"/>
      <c r="C500" s="157"/>
      <c r="D500" s="157"/>
      <c r="E500" s="157"/>
      <c r="F500" s="157"/>
      <c r="G500" s="157"/>
      <c r="H500" s="157"/>
      <c r="I500" s="157"/>
      <c r="J500" s="158"/>
      <c r="K500" s="157"/>
      <c r="L500" s="157"/>
      <c r="M500" s="157"/>
      <c r="O500" s="157"/>
      <c r="P500" s="157"/>
      <c r="Q500" s="157"/>
      <c r="R500" s="157"/>
      <c r="S500" s="157"/>
      <c r="T500" s="157"/>
      <c r="U500" s="157"/>
      <c r="V500" s="157"/>
      <c r="W500" s="157"/>
      <c r="X500" s="157"/>
      <c r="Y500" s="157"/>
      <c r="Z500" s="157"/>
      <c r="AA500" s="157"/>
      <c r="AB500" s="157"/>
      <c r="AC500" s="157"/>
      <c r="AD500" s="157"/>
      <c r="AE500" s="157"/>
      <c r="AF500" s="157"/>
      <c r="AG500" s="157"/>
      <c r="AH500" s="157"/>
      <c r="AI500" s="157"/>
      <c r="AJ500" s="157"/>
      <c r="AK500" s="157"/>
      <c r="AL500" s="157"/>
      <c r="AM500" s="157"/>
      <c r="AN500" s="157"/>
      <c r="AO500" s="157"/>
      <c r="AP500" s="157"/>
      <c r="AQ500" s="157"/>
      <c r="AR500" s="157"/>
      <c r="AS500" s="157"/>
      <c r="AT500" s="157"/>
      <c r="AU500" s="157"/>
      <c r="AV500" s="157"/>
      <c r="AW500" s="157"/>
      <c r="AX500" s="157"/>
      <c r="AY500" s="157"/>
      <c r="AZ500" s="157"/>
      <c r="BA500" s="157"/>
    </row>
    <row r="501" spans="2:53" s="156" customFormat="1" ht="15" customHeight="1">
      <c r="B501" s="157"/>
      <c r="C501" s="157"/>
      <c r="D501" s="157"/>
      <c r="E501" s="157"/>
      <c r="F501" s="157"/>
      <c r="G501" s="157"/>
      <c r="H501" s="157"/>
      <c r="I501" s="157"/>
      <c r="J501" s="158"/>
      <c r="K501" s="157"/>
      <c r="L501" s="157"/>
      <c r="M501" s="157"/>
      <c r="O501" s="157"/>
      <c r="P501" s="157"/>
      <c r="Q501" s="157"/>
      <c r="R501" s="157"/>
      <c r="S501" s="157"/>
      <c r="T501" s="157"/>
      <c r="U501" s="157"/>
      <c r="V501" s="157"/>
      <c r="W501" s="157"/>
      <c r="X501" s="157"/>
      <c r="Y501" s="157"/>
      <c r="Z501" s="157"/>
      <c r="AA501" s="157"/>
      <c r="AB501" s="157"/>
      <c r="AC501" s="157"/>
      <c r="AD501" s="157"/>
      <c r="AE501" s="157"/>
      <c r="AF501" s="157"/>
      <c r="AG501" s="157"/>
      <c r="AH501" s="157"/>
      <c r="AI501" s="157"/>
      <c r="AJ501" s="157"/>
      <c r="AK501" s="157"/>
      <c r="AL501" s="157"/>
      <c r="AM501" s="157"/>
      <c r="AN501" s="157"/>
      <c r="AO501" s="157"/>
      <c r="AP501" s="157"/>
      <c r="AQ501" s="157"/>
      <c r="AR501" s="157"/>
      <c r="AS501" s="157"/>
      <c r="AT501" s="157"/>
      <c r="AU501" s="157"/>
      <c r="AV501" s="157"/>
      <c r="AW501" s="157"/>
      <c r="AX501" s="157"/>
      <c r="AY501" s="157"/>
      <c r="AZ501" s="157"/>
      <c r="BA501" s="157"/>
    </row>
    <row r="502" spans="2:53" s="156" customFormat="1" ht="15" customHeight="1">
      <c r="B502" s="157"/>
      <c r="C502" s="157"/>
      <c r="D502" s="157"/>
      <c r="E502" s="157"/>
      <c r="F502" s="157"/>
      <c r="G502" s="157"/>
      <c r="H502" s="157"/>
      <c r="I502" s="157"/>
      <c r="J502" s="158"/>
      <c r="K502" s="157"/>
      <c r="L502" s="157"/>
      <c r="M502" s="157"/>
      <c r="O502" s="157"/>
      <c r="P502" s="157"/>
      <c r="Q502" s="157"/>
      <c r="R502" s="157"/>
      <c r="S502" s="157"/>
      <c r="T502" s="157"/>
      <c r="U502" s="157"/>
      <c r="V502" s="157"/>
      <c r="W502" s="157"/>
      <c r="X502" s="157"/>
      <c r="Y502" s="157"/>
      <c r="Z502" s="157"/>
      <c r="AA502" s="157"/>
      <c r="AB502" s="157"/>
      <c r="AC502" s="157"/>
      <c r="AD502" s="157"/>
      <c r="AE502" s="157"/>
      <c r="AF502" s="157"/>
      <c r="AG502" s="157"/>
      <c r="AH502" s="157"/>
      <c r="AI502" s="157"/>
      <c r="AJ502" s="157"/>
      <c r="AK502" s="157"/>
      <c r="AL502" s="157"/>
      <c r="AM502" s="157"/>
      <c r="AN502" s="157"/>
      <c r="AO502" s="157"/>
      <c r="AP502" s="157"/>
      <c r="AQ502" s="157"/>
      <c r="AR502" s="157"/>
      <c r="AS502" s="157"/>
      <c r="AT502" s="157"/>
      <c r="AU502" s="157"/>
      <c r="AV502" s="157"/>
      <c r="AW502" s="157"/>
      <c r="AX502" s="157"/>
      <c r="AY502" s="157"/>
      <c r="AZ502" s="157"/>
      <c r="BA502" s="157"/>
    </row>
    <row r="503" spans="2:53" s="156" customFormat="1" ht="15" customHeight="1">
      <c r="B503" s="157"/>
      <c r="C503" s="157"/>
      <c r="D503" s="157"/>
      <c r="E503" s="157"/>
      <c r="F503" s="157"/>
      <c r="G503" s="157"/>
      <c r="H503" s="157"/>
      <c r="I503" s="157"/>
      <c r="J503" s="158"/>
      <c r="K503" s="157"/>
      <c r="L503" s="157"/>
      <c r="M503" s="157"/>
      <c r="O503" s="157"/>
      <c r="P503" s="157"/>
      <c r="Q503" s="157"/>
      <c r="R503" s="157"/>
      <c r="S503" s="157"/>
      <c r="T503" s="157"/>
      <c r="U503" s="157"/>
      <c r="V503" s="157"/>
      <c r="W503" s="157"/>
      <c r="X503" s="157"/>
      <c r="Y503" s="157"/>
      <c r="Z503" s="157"/>
      <c r="AA503" s="157"/>
      <c r="AB503" s="157"/>
      <c r="AC503" s="157"/>
      <c r="AD503" s="157"/>
      <c r="AE503" s="157"/>
      <c r="AF503" s="157"/>
      <c r="AG503" s="157"/>
      <c r="AH503" s="157"/>
      <c r="AI503" s="157"/>
      <c r="AJ503" s="157"/>
      <c r="AK503" s="157"/>
      <c r="AL503" s="157"/>
      <c r="AM503" s="157"/>
      <c r="AN503" s="157"/>
      <c r="AO503" s="157"/>
      <c r="AP503" s="157"/>
      <c r="AQ503" s="157"/>
      <c r="AR503" s="157"/>
      <c r="AS503" s="157"/>
      <c r="AT503" s="157"/>
      <c r="AU503" s="157"/>
      <c r="AV503" s="157"/>
      <c r="AW503" s="157"/>
      <c r="AX503" s="157"/>
      <c r="AY503" s="157"/>
      <c r="AZ503" s="157"/>
      <c r="BA503" s="157"/>
    </row>
    <row r="504" spans="2:53" s="156" customFormat="1" ht="15" customHeight="1">
      <c r="B504" s="157"/>
      <c r="C504" s="157"/>
      <c r="D504" s="157"/>
      <c r="E504" s="157"/>
      <c r="F504" s="157"/>
      <c r="G504" s="157"/>
      <c r="H504" s="157"/>
      <c r="I504" s="157"/>
      <c r="J504" s="158"/>
      <c r="K504" s="157"/>
      <c r="L504" s="157"/>
      <c r="M504" s="157"/>
      <c r="O504" s="157"/>
      <c r="P504" s="157"/>
      <c r="Q504" s="157"/>
      <c r="R504" s="157"/>
      <c r="S504" s="157"/>
      <c r="T504" s="157"/>
      <c r="U504" s="157"/>
      <c r="V504" s="157"/>
      <c r="W504" s="157"/>
      <c r="X504" s="157"/>
      <c r="Y504" s="157"/>
      <c r="Z504" s="157"/>
      <c r="AA504" s="157"/>
      <c r="AB504" s="157"/>
      <c r="AC504" s="157"/>
      <c r="AD504" s="157"/>
      <c r="AE504" s="157"/>
      <c r="AF504" s="157"/>
      <c r="AG504" s="157"/>
      <c r="AH504" s="157"/>
      <c r="AI504" s="157"/>
      <c r="AJ504" s="157"/>
      <c r="AK504" s="157"/>
      <c r="AL504" s="157"/>
      <c r="AM504" s="157"/>
      <c r="AN504" s="157"/>
      <c r="AO504" s="157"/>
      <c r="AP504" s="157"/>
      <c r="AQ504" s="157"/>
      <c r="AR504" s="157"/>
      <c r="AS504" s="157"/>
      <c r="AT504" s="157"/>
      <c r="AU504" s="157"/>
      <c r="AV504" s="157"/>
      <c r="AW504" s="157"/>
      <c r="AX504" s="157"/>
      <c r="AY504" s="157"/>
      <c r="AZ504" s="157"/>
      <c r="BA504" s="157"/>
    </row>
    <row r="505" spans="2:53" s="156" customFormat="1" ht="15" customHeight="1">
      <c r="B505" s="157"/>
      <c r="C505" s="157"/>
      <c r="D505" s="157"/>
      <c r="E505" s="157"/>
      <c r="F505" s="157"/>
      <c r="G505" s="157"/>
      <c r="H505" s="157"/>
      <c r="I505" s="157"/>
      <c r="J505" s="158"/>
      <c r="K505" s="157"/>
      <c r="L505" s="157"/>
      <c r="M505" s="157"/>
      <c r="O505" s="157"/>
      <c r="P505" s="157"/>
      <c r="Q505" s="157"/>
      <c r="R505" s="157"/>
      <c r="S505" s="157"/>
      <c r="T505" s="157"/>
      <c r="U505" s="157"/>
      <c r="V505" s="157"/>
      <c r="W505" s="157"/>
      <c r="X505" s="157"/>
      <c r="Y505" s="157"/>
      <c r="Z505" s="157"/>
      <c r="AA505" s="157"/>
      <c r="AB505" s="157"/>
      <c r="AC505" s="157"/>
      <c r="AD505" s="157"/>
      <c r="AE505" s="157"/>
      <c r="AF505" s="157"/>
      <c r="AG505" s="157"/>
      <c r="AH505" s="157"/>
      <c r="AI505" s="157"/>
      <c r="AJ505" s="157"/>
      <c r="AK505" s="157"/>
      <c r="AL505" s="157"/>
      <c r="AM505" s="157"/>
      <c r="AN505" s="157"/>
      <c r="AO505" s="157"/>
      <c r="AP505" s="157"/>
      <c r="AQ505" s="157"/>
      <c r="AR505" s="157"/>
      <c r="AS505" s="157"/>
      <c r="AT505" s="157"/>
      <c r="AU505" s="157"/>
      <c r="AV505" s="157"/>
      <c r="AW505" s="157"/>
      <c r="AX505" s="157"/>
      <c r="AY505" s="157"/>
      <c r="AZ505" s="157"/>
      <c r="BA505" s="157"/>
    </row>
    <row r="506" spans="2:53" s="156" customFormat="1" ht="15" customHeight="1">
      <c r="B506" s="157"/>
      <c r="C506" s="157"/>
      <c r="D506" s="157"/>
      <c r="E506" s="157"/>
      <c r="F506" s="157"/>
      <c r="G506" s="157"/>
      <c r="H506" s="157"/>
      <c r="I506" s="157"/>
      <c r="J506" s="158"/>
      <c r="K506" s="157"/>
      <c r="L506" s="157"/>
      <c r="M506" s="157"/>
      <c r="O506" s="157"/>
      <c r="P506" s="157"/>
      <c r="Q506" s="157"/>
      <c r="R506" s="157"/>
      <c r="S506" s="157"/>
      <c r="T506" s="157"/>
      <c r="U506" s="157"/>
      <c r="V506" s="157"/>
      <c r="W506" s="157"/>
      <c r="X506" s="157"/>
      <c r="Y506" s="157"/>
      <c r="Z506" s="157"/>
      <c r="AA506" s="157"/>
      <c r="AB506" s="157"/>
      <c r="AC506" s="157"/>
      <c r="AD506" s="157"/>
      <c r="AE506" s="157"/>
      <c r="AF506" s="157"/>
      <c r="AG506" s="157"/>
      <c r="AH506" s="157"/>
      <c r="AI506" s="157"/>
      <c r="AJ506" s="157"/>
      <c r="AK506" s="157"/>
      <c r="AL506" s="157"/>
      <c r="AM506" s="157"/>
      <c r="AN506" s="157"/>
      <c r="AO506" s="157"/>
      <c r="AP506" s="157"/>
      <c r="AQ506" s="157"/>
      <c r="AR506" s="157"/>
      <c r="AS506" s="157"/>
      <c r="AT506" s="157"/>
      <c r="AU506" s="157"/>
      <c r="AV506" s="157"/>
      <c r="AW506" s="157"/>
      <c r="AX506" s="157"/>
      <c r="AY506" s="157"/>
      <c r="AZ506" s="157"/>
      <c r="BA506" s="157"/>
    </row>
    <row r="507" spans="2:53" s="156" customFormat="1" ht="15" customHeight="1">
      <c r="B507" s="157"/>
      <c r="C507" s="157"/>
      <c r="D507" s="157"/>
      <c r="E507" s="157"/>
      <c r="F507" s="157"/>
      <c r="G507" s="157"/>
      <c r="H507" s="157"/>
      <c r="I507" s="157"/>
      <c r="J507" s="158"/>
      <c r="K507" s="157"/>
      <c r="L507" s="157"/>
      <c r="M507" s="157"/>
      <c r="O507" s="157"/>
      <c r="P507" s="157"/>
      <c r="Q507" s="157"/>
      <c r="R507" s="157"/>
      <c r="S507" s="157"/>
      <c r="T507" s="157"/>
      <c r="U507" s="157"/>
      <c r="V507" s="157"/>
      <c r="W507" s="157"/>
      <c r="X507" s="157"/>
      <c r="Y507" s="157"/>
      <c r="Z507" s="157"/>
      <c r="AA507" s="157"/>
      <c r="AB507" s="157"/>
      <c r="AC507" s="157"/>
      <c r="AD507" s="157"/>
      <c r="AE507" s="157"/>
      <c r="AF507" s="157"/>
      <c r="AG507" s="157"/>
      <c r="AH507" s="157"/>
      <c r="AI507" s="157"/>
      <c r="AJ507" s="157"/>
      <c r="AK507" s="157"/>
      <c r="AL507" s="157"/>
      <c r="AM507" s="157"/>
      <c r="AN507" s="157"/>
      <c r="AO507" s="157"/>
      <c r="AP507" s="157"/>
      <c r="AQ507" s="157"/>
      <c r="AR507" s="157"/>
      <c r="AS507" s="157"/>
      <c r="AT507" s="157"/>
      <c r="AU507" s="157"/>
      <c r="AV507" s="157"/>
      <c r="AW507" s="157"/>
      <c r="AX507" s="157"/>
      <c r="AY507" s="157"/>
      <c r="AZ507" s="157"/>
      <c r="BA507" s="157"/>
    </row>
    <row r="508" spans="2:53" s="156" customFormat="1" ht="15" customHeight="1">
      <c r="B508" s="157"/>
      <c r="C508" s="157"/>
      <c r="D508" s="157"/>
      <c r="E508" s="157"/>
      <c r="F508" s="157"/>
      <c r="G508" s="157"/>
      <c r="H508" s="157"/>
      <c r="I508" s="157"/>
      <c r="J508" s="158"/>
      <c r="K508" s="157"/>
      <c r="L508" s="157"/>
      <c r="M508" s="157"/>
      <c r="O508" s="157"/>
      <c r="P508" s="157"/>
      <c r="Q508" s="157"/>
      <c r="R508" s="157"/>
      <c r="S508" s="157"/>
      <c r="T508" s="157"/>
      <c r="U508" s="157"/>
      <c r="V508" s="157"/>
      <c r="W508" s="157"/>
      <c r="X508" s="157"/>
      <c r="Y508" s="157"/>
      <c r="Z508" s="157"/>
      <c r="AA508" s="157"/>
      <c r="AB508" s="157"/>
      <c r="AC508" s="157"/>
      <c r="AD508" s="157"/>
      <c r="AE508" s="157"/>
      <c r="AF508" s="157"/>
      <c r="AG508" s="157"/>
      <c r="AH508" s="157"/>
      <c r="AI508" s="157"/>
      <c r="AJ508" s="157"/>
      <c r="AK508" s="157"/>
      <c r="AL508" s="157"/>
      <c r="AM508" s="157"/>
      <c r="AN508" s="157"/>
      <c r="AO508" s="157"/>
      <c r="AP508" s="157"/>
      <c r="AQ508" s="157"/>
      <c r="AR508" s="157"/>
      <c r="AS508" s="157"/>
      <c r="AT508" s="157"/>
      <c r="AU508" s="157"/>
      <c r="AV508" s="157"/>
      <c r="AW508" s="157"/>
      <c r="AX508" s="157"/>
      <c r="AY508" s="157"/>
      <c r="AZ508" s="157"/>
      <c r="BA508" s="157"/>
    </row>
    <row r="509" spans="2:53" s="156" customFormat="1" ht="15" customHeight="1">
      <c r="B509" s="157"/>
      <c r="C509" s="157"/>
      <c r="D509" s="157"/>
      <c r="E509" s="157"/>
      <c r="F509" s="157"/>
      <c r="G509" s="157"/>
      <c r="H509" s="157"/>
      <c r="I509" s="157"/>
      <c r="J509" s="158"/>
      <c r="K509" s="157"/>
      <c r="L509" s="157"/>
      <c r="M509" s="157"/>
      <c r="O509" s="157"/>
      <c r="P509" s="157"/>
      <c r="Q509" s="157"/>
      <c r="R509" s="157"/>
      <c r="S509" s="157"/>
      <c r="T509" s="157"/>
      <c r="U509" s="157"/>
      <c r="V509" s="157"/>
      <c r="W509" s="157"/>
      <c r="X509" s="157"/>
      <c r="Y509" s="157"/>
      <c r="Z509" s="157"/>
      <c r="AA509" s="157"/>
      <c r="AB509" s="157"/>
      <c r="AC509" s="157"/>
      <c r="AD509" s="157"/>
      <c r="AE509" s="157"/>
      <c r="AF509" s="157"/>
      <c r="AG509" s="157"/>
      <c r="AH509" s="157"/>
      <c r="AI509" s="157"/>
      <c r="AJ509" s="157"/>
      <c r="AK509" s="157"/>
      <c r="AL509" s="157"/>
      <c r="AM509" s="157"/>
      <c r="AN509" s="157"/>
      <c r="AO509" s="157"/>
      <c r="AP509" s="157"/>
      <c r="AQ509" s="157"/>
      <c r="AR509" s="157"/>
      <c r="AS509" s="157"/>
      <c r="AT509" s="157"/>
      <c r="AU509" s="157"/>
      <c r="AV509" s="157"/>
      <c r="AW509" s="157"/>
      <c r="AX509" s="157"/>
      <c r="AY509" s="157"/>
      <c r="AZ509" s="157"/>
      <c r="BA509" s="157"/>
    </row>
    <row r="510" spans="2:53" s="156" customFormat="1" ht="15" customHeight="1">
      <c r="B510" s="157"/>
      <c r="C510" s="157"/>
      <c r="D510" s="157"/>
      <c r="E510" s="157"/>
      <c r="F510" s="157"/>
      <c r="G510" s="157"/>
      <c r="H510" s="157"/>
      <c r="I510" s="157"/>
      <c r="J510" s="158"/>
      <c r="K510" s="157"/>
      <c r="L510" s="157"/>
      <c r="M510" s="157"/>
      <c r="O510" s="157"/>
      <c r="P510" s="157"/>
      <c r="Q510" s="157"/>
      <c r="R510" s="157"/>
      <c r="S510" s="157"/>
      <c r="T510" s="157"/>
      <c r="U510" s="157"/>
      <c r="V510" s="157"/>
      <c r="W510" s="157"/>
      <c r="X510" s="157"/>
      <c r="Y510" s="157"/>
      <c r="Z510" s="157"/>
      <c r="AA510" s="157"/>
      <c r="AB510" s="157"/>
      <c r="AC510" s="157"/>
      <c r="AD510" s="157"/>
      <c r="AE510" s="157"/>
      <c r="AF510" s="157"/>
      <c r="AG510" s="157"/>
      <c r="AH510" s="157"/>
      <c r="AI510" s="157"/>
      <c r="AJ510" s="157"/>
      <c r="AK510" s="157"/>
      <c r="AL510" s="157"/>
      <c r="AM510" s="157"/>
      <c r="AN510" s="157"/>
      <c r="AO510" s="157"/>
      <c r="AP510" s="157"/>
      <c r="AQ510" s="157"/>
      <c r="AR510" s="157"/>
      <c r="AS510" s="157"/>
      <c r="AT510" s="157"/>
      <c r="AU510" s="157"/>
      <c r="AV510" s="157"/>
      <c r="AW510" s="157"/>
      <c r="AX510" s="157"/>
      <c r="AY510" s="157"/>
      <c r="AZ510" s="157"/>
      <c r="BA510" s="157"/>
    </row>
    <row r="511" spans="2:53" s="156" customFormat="1" ht="15" customHeight="1">
      <c r="B511" s="157"/>
      <c r="C511" s="157"/>
      <c r="D511" s="157"/>
      <c r="E511" s="157"/>
      <c r="F511" s="157"/>
      <c r="G511" s="157"/>
      <c r="H511" s="157"/>
      <c r="I511" s="157"/>
      <c r="J511" s="158"/>
      <c r="K511" s="157"/>
      <c r="L511" s="157"/>
      <c r="M511" s="157"/>
      <c r="O511" s="157"/>
      <c r="P511" s="157"/>
      <c r="Q511" s="157"/>
      <c r="R511" s="157"/>
      <c r="S511" s="157"/>
      <c r="T511" s="157"/>
      <c r="U511" s="157"/>
      <c r="V511" s="157"/>
      <c r="W511" s="157"/>
      <c r="X511" s="157"/>
      <c r="Y511" s="157"/>
      <c r="Z511" s="157"/>
      <c r="AA511" s="157"/>
      <c r="AB511" s="157"/>
      <c r="AC511" s="157"/>
      <c r="AD511" s="157"/>
      <c r="AE511" s="157"/>
      <c r="AF511" s="157"/>
      <c r="AG511" s="157"/>
      <c r="AH511" s="157"/>
      <c r="AI511" s="157"/>
      <c r="AJ511" s="157"/>
      <c r="AK511" s="157"/>
      <c r="AL511" s="157"/>
      <c r="AM511" s="157"/>
      <c r="AN511" s="157"/>
      <c r="AO511" s="157"/>
      <c r="AP511" s="157"/>
      <c r="AQ511" s="157"/>
      <c r="AR511" s="157"/>
      <c r="AS511" s="157"/>
      <c r="AT511" s="157"/>
      <c r="AU511" s="157"/>
      <c r="AV511" s="157"/>
      <c r="AW511" s="157"/>
      <c r="AX511" s="157"/>
      <c r="AY511" s="157"/>
      <c r="AZ511" s="157"/>
      <c r="BA511" s="157"/>
    </row>
    <row r="512" spans="2:53" s="156" customFormat="1" ht="15" customHeight="1">
      <c r="B512" s="157"/>
      <c r="C512" s="157"/>
      <c r="D512" s="157"/>
      <c r="E512" s="157"/>
      <c r="F512" s="157"/>
      <c r="G512" s="157"/>
      <c r="H512" s="157"/>
      <c r="I512" s="157"/>
      <c r="J512" s="158"/>
      <c r="K512" s="157"/>
      <c r="L512" s="157"/>
      <c r="M512" s="157"/>
      <c r="O512" s="157"/>
      <c r="P512" s="157"/>
      <c r="Q512" s="157"/>
      <c r="R512" s="157"/>
      <c r="S512" s="157"/>
      <c r="T512" s="157"/>
      <c r="U512" s="157"/>
      <c r="V512" s="157"/>
      <c r="W512" s="157"/>
      <c r="X512" s="157"/>
      <c r="Y512" s="157"/>
      <c r="Z512" s="157"/>
      <c r="AA512" s="157"/>
      <c r="AB512" s="157"/>
      <c r="AC512" s="157"/>
      <c r="AD512" s="157"/>
      <c r="AE512" s="157"/>
      <c r="AF512" s="157"/>
      <c r="AG512" s="157"/>
      <c r="AH512" s="157"/>
      <c r="AI512" s="157"/>
      <c r="AJ512" s="157"/>
      <c r="AK512" s="157"/>
      <c r="AL512" s="157"/>
      <c r="AM512" s="157"/>
      <c r="AN512" s="157"/>
      <c r="AO512" s="157"/>
      <c r="AP512" s="157"/>
      <c r="AQ512" s="157"/>
      <c r="AR512" s="157"/>
      <c r="AS512" s="157"/>
      <c r="AT512" s="157"/>
      <c r="AU512" s="157"/>
      <c r="AV512" s="157"/>
      <c r="AW512" s="157"/>
      <c r="AX512" s="157"/>
      <c r="AY512" s="157"/>
      <c r="AZ512" s="157"/>
      <c r="BA512" s="157"/>
    </row>
    <row r="513" spans="2:53" s="156" customFormat="1" ht="15" customHeight="1">
      <c r="B513" s="157"/>
      <c r="C513" s="157"/>
      <c r="D513" s="157"/>
      <c r="E513" s="157"/>
      <c r="F513" s="157"/>
      <c r="G513" s="157"/>
      <c r="H513" s="157"/>
      <c r="I513" s="157"/>
      <c r="J513" s="158"/>
      <c r="K513" s="157"/>
      <c r="L513" s="157"/>
      <c r="M513" s="157"/>
      <c r="O513" s="157"/>
      <c r="P513" s="157"/>
      <c r="Q513" s="157"/>
      <c r="R513" s="157"/>
      <c r="S513" s="157"/>
      <c r="T513" s="157"/>
      <c r="U513" s="157"/>
      <c r="V513" s="157"/>
      <c r="W513" s="157"/>
      <c r="X513" s="157"/>
      <c r="Y513" s="157"/>
      <c r="Z513" s="157"/>
      <c r="AA513" s="157"/>
      <c r="AB513" s="157"/>
      <c r="AC513" s="157"/>
      <c r="AD513" s="157"/>
      <c r="AE513" s="157"/>
      <c r="AF513" s="157"/>
      <c r="AG513" s="157"/>
      <c r="AH513" s="157"/>
      <c r="AI513" s="157"/>
      <c r="AJ513" s="157"/>
      <c r="AK513" s="157"/>
      <c r="AL513" s="157"/>
      <c r="AM513" s="157"/>
      <c r="AN513" s="157"/>
      <c r="AO513" s="157"/>
      <c r="AP513" s="157"/>
      <c r="AQ513" s="157"/>
      <c r="AR513" s="157"/>
      <c r="AS513" s="157"/>
      <c r="AT513" s="157"/>
      <c r="AU513" s="157"/>
      <c r="AV513" s="157"/>
      <c r="AW513" s="157"/>
      <c r="AX513" s="157"/>
      <c r="AY513" s="157"/>
      <c r="AZ513" s="157"/>
      <c r="BA513" s="157"/>
    </row>
    <row r="514" spans="2:53" s="156" customFormat="1" ht="15" customHeight="1">
      <c r="B514" s="157"/>
      <c r="C514" s="157"/>
      <c r="D514" s="157"/>
      <c r="E514" s="157"/>
      <c r="F514" s="157"/>
      <c r="G514" s="157"/>
      <c r="H514" s="157"/>
      <c r="I514" s="157"/>
      <c r="J514" s="158"/>
      <c r="K514" s="157"/>
      <c r="L514" s="157"/>
      <c r="M514" s="157"/>
      <c r="O514" s="157"/>
      <c r="P514" s="157"/>
      <c r="Q514" s="157"/>
      <c r="R514" s="157"/>
      <c r="S514" s="157"/>
      <c r="T514" s="157"/>
      <c r="U514" s="157"/>
      <c r="V514" s="157"/>
      <c r="W514" s="157"/>
      <c r="X514" s="157"/>
      <c r="Y514" s="157"/>
      <c r="Z514" s="157"/>
      <c r="AA514" s="157"/>
      <c r="AB514" s="157"/>
      <c r="AC514" s="157"/>
      <c r="AD514" s="157"/>
      <c r="AE514" s="157"/>
      <c r="AF514" s="157"/>
      <c r="AG514" s="157"/>
      <c r="AH514" s="157"/>
      <c r="AI514" s="157"/>
      <c r="AJ514" s="157"/>
      <c r="AK514" s="157"/>
      <c r="AL514" s="157"/>
      <c r="AM514" s="157"/>
      <c r="AN514" s="157"/>
      <c r="AO514" s="157"/>
      <c r="AP514" s="157"/>
      <c r="AQ514" s="157"/>
      <c r="AR514" s="157"/>
      <c r="AS514" s="157"/>
      <c r="AT514" s="157"/>
      <c r="AU514" s="157"/>
      <c r="AV514" s="157"/>
      <c r="AW514" s="157"/>
      <c r="AX514" s="157"/>
      <c r="AY514" s="157"/>
      <c r="AZ514" s="157"/>
      <c r="BA514" s="157"/>
    </row>
    <row r="515" spans="2:53" s="156" customFormat="1" ht="15" customHeight="1">
      <c r="B515" s="157"/>
      <c r="C515" s="157"/>
      <c r="D515" s="157"/>
      <c r="E515" s="157"/>
      <c r="F515" s="157"/>
      <c r="G515" s="157"/>
      <c r="H515" s="157"/>
      <c r="I515" s="157"/>
      <c r="J515" s="158"/>
      <c r="K515" s="157"/>
      <c r="L515" s="157"/>
      <c r="M515" s="157"/>
      <c r="O515" s="157"/>
      <c r="P515" s="157"/>
      <c r="Q515" s="157"/>
      <c r="R515" s="157"/>
      <c r="S515" s="157"/>
      <c r="T515" s="157"/>
      <c r="U515" s="157"/>
      <c r="V515" s="157"/>
      <c r="W515" s="157"/>
      <c r="X515" s="157"/>
      <c r="Y515" s="157"/>
      <c r="Z515" s="157"/>
      <c r="AA515" s="157"/>
      <c r="AB515" s="157"/>
      <c r="AC515" s="157"/>
      <c r="AD515" s="157"/>
      <c r="AE515" s="157"/>
      <c r="AF515" s="157"/>
      <c r="AG515" s="157"/>
      <c r="AH515" s="157"/>
      <c r="AI515" s="157"/>
      <c r="AJ515" s="157"/>
      <c r="AK515" s="157"/>
      <c r="AL515" s="157"/>
      <c r="AM515" s="157"/>
      <c r="AN515" s="157"/>
      <c r="AO515" s="157"/>
      <c r="AP515" s="157"/>
      <c r="AQ515" s="157"/>
      <c r="AR515" s="157"/>
      <c r="AS515" s="157"/>
      <c r="AT515" s="157"/>
      <c r="AU515" s="157"/>
      <c r="AV515" s="157"/>
      <c r="AW515" s="157"/>
      <c r="AX515" s="157"/>
      <c r="AY515" s="157"/>
      <c r="AZ515" s="157"/>
      <c r="BA515" s="157"/>
    </row>
    <row r="516" spans="2:53" s="156" customFormat="1" ht="15" customHeight="1">
      <c r="B516" s="157"/>
      <c r="C516" s="157"/>
      <c r="D516" s="157"/>
      <c r="E516" s="157"/>
      <c r="F516" s="157"/>
      <c r="G516" s="157"/>
      <c r="H516" s="157"/>
      <c r="I516" s="157"/>
      <c r="J516" s="158"/>
      <c r="K516" s="157"/>
      <c r="L516" s="157"/>
      <c r="M516" s="157"/>
      <c r="O516" s="157"/>
      <c r="P516" s="157"/>
      <c r="Q516" s="157"/>
      <c r="R516" s="157"/>
      <c r="S516" s="157"/>
      <c r="T516" s="157"/>
      <c r="U516" s="157"/>
      <c r="V516" s="157"/>
      <c r="W516" s="157"/>
      <c r="X516" s="157"/>
      <c r="Y516" s="157"/>
      <c r="Z516" s="157"/>
      <c r="AA516" s="157"/>
      <c r="AB516" s="157"/>
      <c r="AC516" s="157"/>
      <c r="AD516" s="157"/>
      <c r="AE516" s="157"/>
      <c r="AF516" s="157"/>
      <c r="AG516" s="157"/>
      <c r="AH516" s="157"/>
      <c r="AI516" s="157"/>
      <c r="AJ516" s="157"/>
      <c r="AK516" s="157"/>
      <c r="AL516" s="157"/>
      <c r="AM516" s="157"/>
      <c r="AN516" s="157"/>
      <c r="AO516" s="157"/>
      <c r="AP516" s="157"/>
      <c r="AQ516" s="157"/>
      <c r="AR516" s="157"/>
      <c r="AS516" s="157"/>
      <c r="AT516" s="157"/>
      <c r="AU516" s="157"/>
      <c r="AV516" s="157"/>
      <c r="AW516" s="157"/>
      <c r="AX516" s="157"/>
      <c r="AY516" s="157"/>
      <c r="AZ516" s="157"/>
      <c r="BA516" s="157"/>
    </row>
    <row r="517" spans="2:53" s="156" customFormat="1" ht="15" customHeight="1">
      <c r="B517" s="157"/>
      <c r="C517" s="157"/>
      <c r="D517" s="157"/>
      <c r="E517" s="157"/>
      <c r="F517" s="157"/>
      <c r="G517" s="157"/>
      <c r="H517" s="157"/>
      <c r="I517" s="157"/>
      <c r="J517" s="158"/>
      <c r="K517" s="157"/>
      <c r="L517" s="157"/>
      <c r="M517" s="157"/>
      <c r="O517" s="157"/>
      <c r="P517" s="157"/>
      <c r="Q517" s="157"/>
      <c r="R517" s="157"/>
      <c r="S517" s="157"/>
      <c r="T517" s="157"/>
      <c r="U517" s="157"/>
      <c r="V517" s="157"/>
      <c r="W517" s="157"/>
      <c r="X517" s="157"/>
      <c r="Y517" s="157"/>
      <c r="Z517" s="157"/>
      <c r="AA517" s="157"/>
      <c r="AB517" s="157"/>
      <c r="AC517" s="157"/>
      <c r="AD517" s="157"/>
      <c r="AE517" s="157"/>
      <c r="AF517" s="157"/>
      <c r="AG517" s="157"/>
      <c r="AH517" s="157"/>
      <c r="AI517" s="157"/>
      <c r="AJ517" s="157"/>
      <c r="AK517" s="157"/>
      <c r="AL517" s="157"/>
      <c r="AM517" s="157"/>
      <c r="AN517" s="157"/>
      <c r="AO517" s="157"/>
      <c r="AP517" s="157"/>
      <c r="AQ517" s="157"/>
      <c r="AR517" s="157"/>
      <c r="AS517" s="157"/>
      <c r="AT517" s="157"/>
      <c r="AU517" s="157"/>
      <c r="AV517" s="157"/>
      <c r="AW517" s="157"/>
      <c r="AX517" s="157"/>
      <c r="AY517" s="157"/>
      <c r="AZ517" s="157"/>
      <c r="BA517" s="157"/>
    </row>
    <row r="518" spans="2:53" s="156" customFormat="1" ht="15" customHeight="1">
      <c r="B518" s="157"/>
      <c r="C518" s="157"/>
      <c r="D518" s="157"/>
      <c r="E518" s="157"/>
      <c r="F518" s="157"/>
      <c r="G518" s="157"/>
      <c r="H518" s="157"/>
      <c r="I518" s="157"/>
      <c r="J518" s="158"/>
      <c r="K518" s="157"/>
      <c r="L518" s="157"/>
      <c r="M518" s="157"/>
      <c r="O518" s="157"/>
      <c r="P518" s="157"/>
      <c r="Q518" s="157"/>
      <c r="R518" s="157"/>
      <c r="S518" s="157"/>
      <c r="T518" s="157"/>
      <c r="U518" s="157"/>
      <c r="V518" s="157"/>
      <c r="W518" s="157"/>
      <c r="X518" s="157"/>
      <c r="Y518" s="157"/>
      <c r="Z518" s="157"/>
      <c r="AA518" s="157"/>
      <c r="AB518" s="157"/>
      <c r="AC518" s="157"/>
      <c r="AD518" s="157"/>
      <c r="AE518" s="157"/>
      <c r="AF518" s="157"/>
      <c r="AG518" s="157"/>
      <c r="AH518" s="157"/>
      <c r="AI518" s="157"/>
      <c r="AJ518" s="157"/>
      <c r="AK518" s="157"/>
      <c r="AL518" s="157"/>
      <c r="AM518" s="157"/>
      <c r="AN518" s="157"/>
      <c r="AO518" s="157"/>
      <c r="AP518" s="157"/>
      <c r="AQ518" s="157"/>
      <c r="AR518" s="157"/>
      <c r="AS518" s="157"/>
      <c r="AT518" s="157"/>
      <c r="AU518" s="157"/>
      <c r="AV518" s="157"/>
      <c r="AW518" s="157"/>
      <c r="AX518" s="157"/>
      <c r="AY518" s="157"/>
      <c r="AZ518" s="157"/>
      <c r="BA518" s="157"/>
    </row>
    <row r="519" spans="2:53" s="156" customFormat="1" ht="15" customHeight="1">
      <c r="B519" s="157"/>
      <c r="C519" s="157"/>
      <c r="D519" s="157"/>
      <c r="E519" s="157"/>
      <c r="F519" s="157"/>
      <c r="G519" s="157"/>
      <c r="H519" s="157"/>
      <c r="I519" s="157"/>
      <c r="J519" s="158"/>
      <c r="K519" s="157"/>
      <c r="L519" s="157"/>
      <c r="M519" s="157"/>
      <c r="O519" s="157"/>
      <c r="P519" s="157"/>
      <c r="Q519" s="157"/>
      <c r="R519" s="157"/>
      <c r="S519" s="157"/>
      <c r="T519" s="157"/>
      <c r="U519" s="157"/>
      <c r="V519" s="157"/>
      <c r="W519" s="157"/>
      <c r="X519" s="157"/>
      <c r="Y519" s="157"/>
      <c r="Z519" s="157"/>
      <c r="AA519" s="157"/>
      <c r="AB519" s="157"/>
      <c r="AC519" s="157"/>
      <c r="AD519" s="157"/>
      <c r="AE519" s="157"/>
      <c r="AF519" s="157"/>
      <c r="AG519" s="157"/>
      <c r="AH519" s="157"/>
      <c r="AI519" s="157"/>
      <c r="AJ519" s="157"/>
      <c r="AK519" s="157"/>
      <c r="AL519" s="157"/>
      <c r="AM519" s="157"/>
      <c r="AN519" s="157"/>
      <c r="AO519" s="157"/>
      <c r="AP519" s="157"/>
      <c r="AQ519" s="157"/>
      <c r="AR519" s="157"/>
      <c r="AS519" s="157"/>
      <c r="AT519" s="157"/>
      <c r="AU519" s="157"/>
      <c r="AV519" s="157"/>
      <c r="AW519" s="157"/>
      <c r="AX519" s="157"/>
      <c r="AY519" s="157"/>
      <c r="AZ519" s="157"/>
      <c r="BA519" s="157"/>
    </row>
    <row r="520" spans="2:53" s="156" customFormat="1" ht="15" customHeight="1">
      <c r="B520" s="157"/>
      <c r="C520" s="157"/>
      <c r="D520" s="157"/>
      <c r="E520" s="157"/>
      <c r="F520" s="157"/>
      <c r="G520" s="157"/>
      <c r="H520" s="157"/>
      <c r="I520" s="157"/>
      <c r="J520" s="158"/>
      <c r="K520" s="157"/>
      <c r="L520" s="157"/>
      <c r="M520" s="157"/>
      <c r="O520" s="157"/>
      <c r="P520" s="157"/>
      <c r="Q520" s="157"/>
      <c r="R520" s="157"/>
      <c r="S520" s="157"/>
      <c r="T520" s="157"/>
      <c r="U520" s="157"/>
      <c r="V520" s="157"/>
      <c r="W520" s="157"/>
      <c r="X520" s="157"/>
      <c r="Y520" s="157"/>
      <c r="Z520" s="157"/>
      <c r="AA520" s="157"/>
      <c r="AB520" s="157"/>
      <c r="AC520" s="157"/>
      <c r="AD520" s="157"/>
      <c r="AE520" s="157"/>
      <c r="AF520" s="157"/>
      <c r="AG520" s="157"/>
      <c r="AH520" s="157"/>
      <c r="AI520" s="157"/>
      <c r="AJ520" s="157"/>
      <c r="AK520" s="157"/>
      <c r="AL520" s="157"/>
      <c r="AM520" s="157"/>
      <c r="AN520" s="157"/>
      <c r="AO520" s="157"/>
      <c r="AP520" s="157"/>
      <c r="AQ520" s="157"/>
      <c r="AR520" s="157"/>
      <c r="AS520" s="157"/>
      <c r="AT520" s="157"/>
      <c r="AU520" s="157"/>
      <c r="AV520" s="157"/>
      <c r="AW520" s="157"/>
      <c r="AX520" s="157"/>
      <c r="AY520" s="157"/>
      <c r="AZ520" s="157"/>
      <c r="BA520" s="157"/>
    </row>
    <row r="521" spans="2:53" s="156" customFormat="1" ht="15" customHeight="1">
      <c r="B521" s="157"/>
      <c r="C521" s="157"/>
      <c r="D521" s="157"/>
      <c r="E521" s="157"/>
      <c r="F521" s="157"/>
      <c r="G521" s="157"/>
      <c r="H521" s="157"/>
      <c r="I521" s="157"/>
      <c r="J521" s="158"/>
      <c r="K521" s="157"/>
      <c r="L521" s="157"/>
      <c r="M521" s="157"/>
      <c r="O521" s="157"/>
      <c r="P521" s="157"/>
      <c r="Q521" s="157"/>
      <c r="R521" s="157"/>
      <c r="S521" s="157"/>
      <c r="T521" s="157"/>
      <c r="U521" s="157"/>
      <c r="V521" s="157"/>
      <c r="W521" s="157"/>
      <c r="X521" s="157"/>
      <c r="Y521" s="157"/>
      <c r="Z521" s="157"/>
      <c r="AA521" s="157"/>
      <c r="AB521" s="157"/>
      <c r="AC521" s="157"/>
      <c r="AD521" s="157"/>
      <c r="AE521" s="157"/>
      <c r="AF521" s="157"/>
      <c r="AG521" s="157"/>
      <c r="AH521" s="157"/>
      <c r="AI521" s="157"/>
      <c r="AJ521" s="157"/>
      <c r="AK521" s="157"/>
      <c r="AL521" s="157"/>
      <c r="AM521" s="157"/>
      <c r="AN521" s="157"/>
      <c r="AO521" s="157"/>
      <c r="AP521" s="157"/>
      <c r="AQ521" s="157"/>
      <c r="AR521" s="157"/>
      <c r="AS521" s="157"/>
      <c r="AT521" s="157"/>
      <c r="AU521" s="157"/>
      <c r="AV521" s="157"/>
      <c r="AW521" s="157"/>
      <c r="AX521" s="157"/>
      <c r="AY521" s="157"/>
      <c r="AZ521" s="157"/>
      <c r="BA521" s="157"/>
    </row>
    <row r="522" spans="2:53" s="156" customFormat="1" ht="15" customHeight="1">
      <c r="B522" s="157"/>
      <c r="C522" s="157"/>
      <c r="D522" s="157"/>
      <c r="E522" s="157"/>
      <c r="F522" s="157"/>
      <c r="G522" s="157"/>
      <c r="H522" s="157"/>
      <c r="I522" s="157"/>
      <c r="J522" s="158"/>
      <c r="K522" s="157"/>
      <c r="L522" s="157"/>
      <c r="M522" s="157"/>
      <c r="O522" s="157"/>
      <c r="P522" s="157"/>
      <c r="Q522" s="157"/>
      <c r="R522" s="157"/>
      <c r="S522" s="157"/>
      <c r="T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row>
    <row r="523" spans="2:53" s="156" customFormat="1" ht="15" customHeight="1">
      <c r="B523" s="157"/>
      <c r="C523" s="157"/>
      <c r="D523" s="157"/>
      <c r="E523" s="157"/>
      <c r="F523" s="157"/>
      <c r="G523" s="157"/>
      <c r="H523" s="157"/>
      <c r="I523" s="157"/>
      <c r="J523" s="158"/>
      <c r="K523" s="157"/>
      <c r="L523" s="157"/>
      <c r="M523" s="157"/>
      <c r="O523" s="157"/>
      <c r="P523" s="157"/>
      <c r="Q523" s="157"/>
      <c r="R523" s="157"/>
      <c r="S523" s="157"/>
      <c r="T523" s="157"/>
      <c r="U523" s="157"/>
      <c r="V523" s="157"/>
      <c r="W523" s="157"/>
      <c r="X523" s="157"/>
      <c r="Y523" s="157"/>
      <c r="Z523" s="157"/>
      <c r="AA523" s="157"/>
      <c r="AB523" s="157"/>
      <c r="AC523" s="157"/>
      <c r="AD523" s="157"/>
      <c r="AE523" s="157"/>
      <c r="AF523" s="157"/>
      <c r="AG523" s="157"/>
      <c r="AH523" s="157"/>
      <c r="AI523" s="157"/>
      <c r="AJ523" s="157"/>
      <c r="AK523" s="157"/>
      <c r="AL523" s="157"/>
      <c r="AM523" s="157"/>
      <c r="AN523" s="157"/>
      <c r="AO523" s="157"/>
      <c r="AP523" s="157"/>
      <c r="AQ523" s="157"/>
      <c r="AR523" s="157"/>
      <c r="AS523" s="157"/>
      <c r="AT523" s="157"/>
      <c r="AU523" s="157"/>
      <c r="AV523" s="157"/>
      <c r="AW523" s="157"/>
      <c r="AX523" s="157"/>
      <c r="AY523" s="157"/>
      <c r="AZ523" s="157"/>
      <c r="BA523" s="157"/>
    </row>
    <row r="524" spans="2:53" s="156" customFormat="1" ht="15" customHeight="1">
      <c r="B524" s="157"/>
      <c r="C524" s="157"/>
      <c r="D524" s="157"/>
      <c r="E524" s="157"/>
      <c r="F524" s="157"/>
      <c r="G524" s="157"/>
      <c r="H524" s="157"/>
      <c r="I524" s="157"/>
      <c r="J524" s="158"/>
      <c r="K524" s="157"/>
      <c r="L524" s="157"/>
      <c r="M524" s="157"/>
      <c r="O524" s="157"/>
      <c r="P524" s="157"/>
      <c r="Q524" s="157"/>
      <c r="R524" s="157"/>
      <c r="S524" s="157"/>
      <c r="T524" s="157"/>
      <c r="U524" s="157"/>
      <c r="V524" s="157"/>
      <c r="W524" s="157"/>
      <c r="X524" s="157"/>
      <c r="Y524" s="157"/>
      <c r="Z524" s="157"/>
      <c r="AA524" s="157"/>
      <c r="AB524" s="157"/>
      <c r="AC524" s="157"/>
      <c r="AD524" s="157"/>
      <c r="AE524" s="157"/>
      <c r="AF524" s="157"/>
      <c r="AG524" s="157"/>
      <c r="AH524" s="157"/>
      <c r="AI524" s="157"/>
      <c r="AJ524" s="157"/>
      <c r="AK524" s="157"/>
      <c r="AL524" s="157"/>
      <c r="AM524" s="157"/>
      <c r="AN524" s="157"/>
      <c r="AO524" s="157"/>
      <c r="AP524" s="157"/>
      <c r="AQ524" s="157"/>
      <c r="AR524" s="157"/>
      <c r="AS524" s="157"/>
      <c r="AT524" s="157"/>
      <c r="AU524" s="157"/>
      <c r="AV524" s="157"/>
      <c r="AW524" s="157"/>
      <c r="AX524" s="157"/>
      <c r="AY524" s="157"/>
      <c r="AZ524" s="157"/>
      <c r="BA524" s="157"/>
    </row>
    <row r="525" spans="2:53" s="156" customFormat="1" ht="15" customHeight="1">
      <c r="B525" s="157"/>
      <c r="C525" s="157"/>
      <c r="D525" s="157"/>
      <c r="E525" s="157"/>
      <c r="F525" s="157"/>
      <c r="G525" s="157"/>
      <c r="H525" s="157"/>
      <c r="I525" s="157"/>
      <c r="J525" s="158"/>
      <c r="K525" s="157"/>
      <c r="L525" s="157"/>
      <c r="M525" s="157"/>
      <c r="O525" s="157"/>
      <c r="P525" s="157"/>
      <c r="Q525" s="157"/>
      <c r="R525" s="157"/>
      <c r="S525" s="157"/>
      <c r="T525" s="157"/>
      <c r="U525" s="157"/>
      <c r="V525" s="157"/>
      <c r="W525" s="157"/>
      <c r="X525" s="157"/>
      <c r="Y525" s="157"/>
      <c r="Z525" s="157"/>
      <c r="AA525" s="157"/>
      <c r="AB525" s="157"/>
      <c r="AC525" s="157"/>
      <c r="AD525" s="157"/>
      <c r="AE525" s="157"/>
      <c r="AF525" s="157"/>
      <c r="AG525" s="157"/>
      <c r="AH525" s="157"/>
      <c r="AI525" s="157"/>
      <c r="AJ525" s="157"/>
      <c r="AK525" s="157"/>
      <c r="AL525" s="157"/>
      <c r="AM525" s="157"/>
      <c r="AN525" s="157"/>
      <c r="AO525" s="157"/>
      <c r="AP525" s="157"/>
      <c r="AQ525" s="157"/>
      <c r="AR525" s="157"/>
      <c r="AS525" s="157"/>
      <c r="AT525" s="157"/>
      <c r="AU525" s="157"/>
      <c r="AV525" s="157"/>
      <c r="AW525" s="157"/>
      <c r="AX525" s="157"/>
      <c r="AY525" s="157"/>
      <c r="AZ525" s="157"/>
      <c r="BA525" s="157"/>
    </row>
    <row r="526" spans="2:53" s="156" customFormat="1" ht="15" customHeight="1">
      <c r="B526" s="157"/>
      <c r="C526" s="157"/>
      <c r="D526" s="157"/>
      <c r="E526" s="157"/>
      <c r="F526" s="157"/>
      <c r="G526" s="157"/>
      <c r="H526" s="157"/>
      <c r="I526" s="157"/>
      <c r="J526" s="158"/>
      <c r="K526" s="157"/>
      <c r="L526" s="157"/>
      <c r="M526" s="157"/>
      <c r="O526" s="157"/>
      <c r="P526" s="157"/>
      <c r="Q526" s="157"/>
      <c r="R526" s="157"/>
      <c r="S526" s="157"/>
      <c r="T526" s="157"/>
      <c r="U526" s="157"/>
      <c r="V526" s="157"/>
      <c r="W526" s="157"/>
      <c r="X526" s="157"/>
      <c r="Y526" s="157"/>
      <c r="Z526" s="157"/>
      <c r="AA526" s="157"/>
      <c r="AB526" s="157"/>
      <c r="AC526" s="157"/>
      <c r="AD526" s="157"/>
      <c r="AE526" s="157"/>
      <c r="AF526" s="157"/>
      <c r="AG526" s="157"/>
      <c r="AH526" s="157"/>
      <c r="AI526" s="157"/>
      <c r="AJ526" s="157"/>
      <c r="AK526" s="157"/>
      <c r="AL526" s="157"/>
      <c r="AM526" s="157"/>
      <c r="AN526" s="157"/>
      <c r="AO526" s="157"/>
      <c r="AP526" s="157"/>
      <c r="AQ526" s="157"/>
      <c r="AR526" s="157"/>
      <c r="AS526" s="157"/>
      <c r="AT526" s="157"/>
      <c r="AU526" s="157"/>
      <c r="AV526" s="157"/>
      <c r="AW526" s="157"/>
      <c r="AX526" s="157"/>
      <c r="AY526" s="157"/>
      <c r="AZ526" s="157"/>
      <c r="BA526" s="157"/>
    </row>
    <row r="527" spans="2:53" s="156" customFormat="1" ht="15" customHeight="1">
      <c r="B527" s="157"/>
      <c r="C527" s="157"/>
      <c r="D527" s="157"/>
      <c r="E527" s="157"/>
      <c r="F527" s="157"/>
      <c r="G527" s="157"/>
      <c r="H527" s="157"/>
      <c r="I527" s="157"/>
      <c r="J527" s="158"/>
      <c r="K527" s="157"/>
      <c r="L527" s="157"/>
      <c r="M527" s="157"/>
      <c r="O527" s="157"/>
      <c r="P527" s="157"/>
      <c r="Q527" s="157"/>
      <c r="R527" s="157"/>
      <c r="S527" s="157"/>
      <c r="T527" s="157"/>
      <c r="U527" s="157"/>
      <c r="V527" s="157"/>
      <c r="W527" s="157"/>
      <c r="X527" s="157"/>
      <c r="Y527" s="157"/>
      <c r="Z527" s="157"/>
      <c r="AA527" s="157"/>
      <c r="AB527" s="157"/>
      <c r="AC527" s="157"/>
      <c r="AD527" s="157"/>
      <c r="AE527" s="157"/>
      <c r="AF527" s="157"/>
      <c r="AG527" s="157"/>
      <c r="AH527" s="157"/>
      <c r="AI527" s="157"/>
      <c r="AJ527" s="157"/>
      <c r="AK527" s="157"/>
      <c r="AL527" s="157"/>
      <c r="AM527" s="157"/>
      <c r="AN527" s="157"/>
      <c r="AO527" s="157"/>
      <c r="AP527" s="157"/>
      <c r="AQ527" s="157"/>
      <c r="AR527" s="157"/>
      <c r="AS527" s="157"/>
      <c r="AT527" s="157"/>
      <c r="AU527" s="157"/>
      <c r="AV527" s="157"/>
      <c r="AW527" s="157"/>
      <c r="AX527" s="157"/>
      <c r="AY527" s="157"/>
      <c r="AZ527" s="157"/>
      <c r="BA527" s="157"/>
    </row>
    <row r="528" spans="2:53" s="156" customFormat="1" ht="15" customHeight="1">
      <c r="B528" s="157"/>
      <c r="C528" s="157"/>
      <c r="D528" s="157"/>
      <c r="E528" s="157"/>
      <c r="F528" s="157"/>
      <c r="G528" s="157"/>
      <c r="H528" s="157"/>
      <c r="I528" s="157"/>
      <c r="J528" s="158"/>
      <c r="K528" s="157"/>
      <c r="L528" s="157"/>
      <c r="M528" s="157"/>
      <c r="O528" s="157"/>
      <c r="P528" s="157"/>
      <c r="Q528" s="157"/>
      <c r="R528" s="157"/>
      <c r="S528" s="157"/>
      <c r="T528" s="157"/>
      <c r="U528" s="157"/>
      <c r="V528" s="157"/>
      <c r="W528" s="157"/>
      <c r="X528" s="157"/>
      <c r="Y528" s="157"/>
      <c r="Z528" s="157"/>
      <c r="AA528" s="157"/>
      <c r="AB528" s="157"/>
      <c r="AC528" s="157"/>
      <c r="AD528" s="157"/>
      <c r="AE528" s="157"/>
      <c r="AF528" s="157"/>
      <c r="AG528" s="157"/>
      <c r="AH528" s="157"/>
      <c r="AI528" s="157"/>
      <c r="AJ528" s="157"/>
      <c r="AK528" s="157"/>
      <c r="AL528" s="157"/>
      <c r="AM528" s="157"/>
      <c r="AN528" s="157"/>
      <c r="AO528" s="157"/>
      <c r="AP528" s="157"/>
      <c r="AQ528" s="157"/>
      <c r="AR528" s="157"/>
      <c r="AS528" s="157"/>
      <c r="AT528" s="157"/>
      <c r="AU528" s="157"/>
      <c r="AV528" s="157"/>
      <c r="AW528" s="157"/>
      <c r="AX528" s="157"/>
      <c r="AY528" s="157"/>
      <c r="AZ528" s="157"/>
      <c r="BA528" s="157"/>
    </row>
    <row r="529" spans="2:53" s="156" customFormat="1" ht="15" customHeight="1">
      <c r="B529" s="157"/>
      <c r="C529" s="157"/>
      <c r="D529" s="157"/>
      <c r="E529" s="157"/>
      <c r="F529" s="157"/>
      <c r="G529" s="157"/>
      <c r="H529" s="157"/>
      <c r="I529" s="157"/>
      <c r="J529" s="158"/>
      <c r="K529" s="157"/>
      <c r="L529" s="157"/>
      <c r="M529" s="157"/>
      <c r="O529" s="157"/>
      <c r="P529" s="157"/>
      <c r="Q529" s="157"/>
      <c r="R529" s="157"/>
      <c r="S529" s="157"/>
      <c r="T529" s="157"/>
      <c r="U529" s="157"/>
      <c r="V529" s="157"/>
      <c r="W529" s="157"/>
      <c r="X529" s="157"/>
      <c r="Y529" s="157"/>
      <c r="Z529" s="157"/>
      <c r="AA529" s="157"/>
      <c r="AB529" s="157"/>
      <c r="AC529" s="157"/>
      <c r="AD529" s="157"/>
      <c r="AE529" s="157"/>
      <c r="AF529" s="157"/>
      <c r="AG529" s="157"/>
      <c r="AH529" s="157"/>
      <c r="AI529" s="157"/>
      <c r="AJ529" s="157"/>
      <c r="AK529" s="157"/>
      <c r="AL529" s="157"/>
      <c r="AM529" s="157"/>
      <c r="AN529" s="157"/>
      <c r="AO529" s="157"/>
      <c r="AP529" s="157"/>
      <c r="AQ529" s="157"/>
      <c r="AR529" s="157"/>
      <c r="AS529" s="157"/>
      <c r="AT529" s="157"/>
      <c r="AU529" s="157"/>
      <c r="AV529" s="157"/>
      <c r="AW529" s="157"/>
      <c r="AX529" s="157"/>
      <c r="AY529" s="157"/>
      <c r="AZ529" s="157"/>
      <c r="BA529" s="157"/>
    </row>
    <row r="530" spans="2:53" s="156" customFormat="1" ht="15" customHeight="1">
      <c r="B530" s="157"/>
      <c r="C530" s="157"/>
      <c r="D530" s="157"/>
      <c r="E530" s="157"/>
      <c r="F530" s="157"/>
      <c r="G530" s="157"/>
      <c r="H530" s="157"/>
      <c r="I530" s="157"/>
      <c r="J530" s="158"/>
      <c r="K530" s="157"/>
      <c r="L530" s="157"/>
      <c r="M530" s="157"/>
      <c r="O530" s="157"/>
      <c r="P530" s="157"/>
      <c r="Q530" s="157"/>
      <c r="R530" s="157"/>
      <c r="S530" s="157"/>
      <c r="T530" s="157"/>
      <c r="U530" s="157"/>
      <c r="V530" s="157"/>
      <c r="W530" s="157"/>
      <c r="X530" s="157"/>
      <c r="Y530" s="157"/>
      <c r="Z530" s="157"/>
      <c r="AA530" s="157"/>
      <c r="AB530" s="157"/>
      <c r="AC530" s="157"/>
      <c r="AD530" s="157"/>
      <c r="AE530" s="157"/>
      <c r="AF530" s="157"/>
      <c r="AG530" s="157"/>
      <c r="AH530" s="157"/>
      <c r="AI530" s="157"/>
      <c r="AJ530" s="157"/>
      <c r="AK530" s="157"/>
      <c r="AL530" s="157"/>
      <c r="AM530" s="157"/>
      <c r="AN530" s="157"/>
      <c r="AO530" s="157"/>
      <c r="AP530" s="157"/>
      <c r="AQ530" s="157"/>
      <c r="AR530" s="157"/>
      <c r="AS530" s="157"/>
      <c r="AT530" s="157"/>
      <c r="AU530" s="157"/>
      <c r="AV530" s="157"/>
      <c r="AW530" s="157"/>
      <c r="AX530" s="157"/>
      <c r="AY530" s="157"/>
      <c r="AZ530" s="157"/>
      <c r="BA530" s="157"/>
    </row>
    <row r="531" spans="2:53" s="156" customFormat="1" ht="15" customHeight="1">
      <c r="B531" s="157"/>
      <c r="C531" s="157"/>
      <c r="D531" s="157"/>
      <c r="E531" s="157"/>
      <c r="F531" s="157"/>
      <c r="G531" s="157"/>
      <c r="H531" s="157"/>
      <c r="I531" s="157"/>
      <c r="J531" s="158"/>
      <c r="K531" s="157"/>
      <c r="L531" s="157"/>
      <c r="M531" s="157"/>
      <c r="O531" s="157"/>
      <c r="P531" s="157"/>
      <c r="Q531" s="157"/>
      <c r="R531" s="157"/>
      <c r="S531" s="157"/>
      <c r="T531" s="157"/>
      <c r="U531" s="157"/>
      <c r="V531" s="157"/>
      <c r="W531" s="157"/>
      <c r="X531" s="157"/>
      <c r="Y531" s="157"/>
      <c r="Z531" s="157"/>
      <c r="AA531" s="157"/>
      <c r="AB531" s="157"/>
      <c r="AC531" s="157"/>
      <c r="AD531" s="157"/>
      <c r="AE531" s="157"/>
      <c r="AF531" s="157"/>
      <c r="AG531" s="157"/>
      <c r="AH531" s="157"/>
      <c r="AI531" s="157"/>
      <c r="AJ531" s="157"/>
      <c r="AK531" s="157"/>
      <c r="AL531" s="157"/>
      <c r="AM531" s="157"/>
      <c r="AN531" s="157"/>
      <c r="AO531" s="157"/>
      <c r="AP531" s="157"/>
      <c r="AQ531" s="157"/>
      <c r="AR531" s="157"/>
      <c r="AS531" s="157"/>
      <c r="AT531" s="157"/>
      <c r="AU531" s="157"/>
      <c r="AV531" s="157"/>
      <c r="AW531" s="157"/>
      <c r="AX531" s="157"/>
      <c r="AY531" s="157"/>
      <c r="AZ531" s="157"/>
      <c r="BA531" s="157"/>
    </row>
    <row r="532" spans="2:53" s="156" customFormat="1" ht="15" customHeight="1">
      <c r="B532" s="157"/>
      <c r="C532" s="157"/>
      <c r="D532" s="157"/>
      <c r="E532" s="157"/>
      <c r="F532" s="157"/>
      <c r="G532" s="157"/>
      <c r="H532" s="157"/>
      <c r="I532" s="157"/>
      <c r="J532" s="158"/>
      <c r="K532" s="157"/>
      <c r="L532" s="157"/>
      <c r="M532" s="157"/>
      <c r="O532" s="157"/>
      <c r="P532" s="157"/>
      <c r="Q532" s="157"/>
      <c r="R532" s="157"/>
      <c r="S532" s="157"/>
      <c r="T532" s="157"/>
      <c r="U532" s="157"/>
      <c r="V532" s="157"/>
      <c r="W532" s="157"/>
      <c r="X532" s="157"/>
      <c r="Y532" s="157"/>
      <c r="Z532" s="157"/>
      <c r="AA532" s="157"/>
      <c r="AB532" s="157"/>
      <c r="AC532" s="157"/>
      <c r="AD532" s="157"/>
      <c r="AE532" s="157"/>
      <c r="AF532" s="157"/>
      <c r="AG532" s="157"/>
      <c r="AH532" s="157"/>
      <c r="AI532" s="157"/>
      <c r="AJ532" s="157"/>
      <c r="AK532" s="157"/>
      <c r="AL532" s="157"/>
      <c r="AM532" s="157"/>
      <c r="AN532" s="157"/>
      <c r="AO532" s="157"/>
      <c r="AP532" s="157"/>
      <c r="AQ532" s="157"/>
      <c r="AR532" s="157"/>
      <c r="AS532" s="157"/>
      <c r="AT532" s="157"/>
      <c r="AU532" s="157"/>
      <c r="AV532" s="157"/>
      <c r="AW532" s="157"/>
      <c r="AX532" s="157"/>
      <c r="AY532" s="157"/>
      <c r="AZ532" s="157"/>
      <c r="BA532" s="157"/>
    </row>
    <row r="533" spans="2:53" s="156" customFormat="1" ht="15" customHeight="1">
      <c r="B533" s="157"/>
      <c r="C533" s="157"/>
      <c r="D533" s="157"/>
      <c r="E533" s="157"/>
      <c r="F533" s="157"/>
      <c r="G533" s="157"/>
      <c r="H533" s="157"/>
      <c r="I533" s="157"/>
      <c r="J533" s="158"/>
      <c r="K533" s="157"/>
      <c r="L533" s="157"/>
      <c r="M533" s="157"/>
      <c r="O533" s="157"/>
      <c r="P533" s="157"/>
      <c r="Q533" s="157"/>
      <c r="R533" s="157"/>
      <c r="S533" s="157"/>
      <c r="T533" s="157"/>
      <c r="U533" s="157"/>
      <c r="V533" s="157"/>
      <c r="W533" s="157"/>
      <c r="X533" s="157"/>
      <c r="Y533" s="157"/>
      <c r="Z533" s="157"/>
      <c r="AA533" s="157"/>
      <c r="AB533" s="157"/>
      <c r="AC533" s="157"/>
      <c r="AD533" s="157"/>
      <c r="AE533" s="157"/>
      <c r="AF533" s="157"/>
      <c r="AG533" s="157"/>
      <c r="AH533" s="157"/>
      <c r="AI533" s="157"/>
      <c r="AJ533" s="157"/>
      <c r="AK533" s="157"/>
      <c r="AL533" s="157"/>
      <c r="AM533" s="157"/>
      <c r="AN533" s="157"/>
      <c r="AO533" s="157"/>
      <c r="AP533" s="157"/>
      <c r="AQ533" s="157"/>
      <c r="AR533" s="157"/>
      <c r="AS533" s="157"/>
      <c r="AT533" s="157"/>
      <c r="AU533" s="157"/>
      <c r="AV533" s="157"/>
      <c r="AW533" s="157"/>
      <c r="AX533" s="157"/>
      <c r="AY533" s="157"/>
      <c r="AZ533" s="157"/>
      <c r="BA533" s="157"/>
    </row>
    <row r="534" spans="2:53" s="156" customFormat="1" ht="15" customHeight="1">
      <c r="B534" s="157"/>
      <c r="C534" s="157"/>
      <c r="D534" s="157"/>
      <c r="E534" s="157"/>
      <c r="F534" s="157"/>
      <c r="G534" s="157"/>
      <c r="H534" s="157"/>
      <c r="I534" s="157"/>
      <c r="J534" s="158"/>
      <c r="K534" s="157"/>
      <c r="L534" s="157"/>
      <c r="M534" s="157"/>
      <c r="O534" s="157"/>
      <c r="P534" s="157"/>
      <c r="Q534" s="157"/>
      <c r="R534" s="157"/>
      <c r="S534" s="157"/>
      <c r="T534" s="157"/>
      <c r="U534" s="157"/>
      <c r="V534" s="157"/>
      <c r="W534" s="157"/>
      <c r="X534" s="157"/>
      <c r="Y534" s="157"/>
      <c r="Z534" s="157"/>
      <c r="AA534" s="157"/>
      <c r="AB534" s="157"/>
      <c r="AC534" s="157"/>
      <c r="AD534" s="157"/>
      <c r="AE534" s="157"/>
      <c r="AF534" s="157"/>
      <c r="AG534" s="157"/>
      <c r="AH534" s="157"/>
      <c r="AI534" s="157"/>
      <c r="AJ534" s="157"/>
      <c r="AK534" s="157"/>
      <c r="AL534" s="157"/>
      <c r="AM534" s="157"/>
      <c r="AN534" s="157"/>
      <c r="AO534" s="157"/>
      <c r="AP534" s="157"/>
      <c r="AQ534" s="157"/>
      <c r="AR534" s="157"/>
      <c r="AS534" s="157"/>
      <c r="AT534" s="157"/>
      <c r="AU534" s="157"/>
      <c r="AV534" s="157"/>
      <c r="AW534" s="157"/>
      <c r="AX534" s="157"/>
      <c r="AY534" s="157"/>
      <c r="AZ534" s="157"/>
      <c r="BA534" s="157"/>
    </row>
    <row r="535" spans="2:53" s="156" customFormat="1" ht="15" customHeight="1">
      <c r="B535" s="157"/>
      <c r="C535" s="157"/>
      <c r="D535" s="157"/>
      <c r="E535" s="157"/>
      <c r="F535" s="157"/>
      <c r="G535" s="157"/>
      <c r="H535" s="157"/>
      <c r="I535" s="157"/>
      <c r="J535" s="158"/>
      <c r="K535" s="157"/>
      <c r="L535" s="157"/>
      <c r="M535" s="157"/>
      <c r="O535" s="157"/>
      <c r="P535" s="157"/>
      <c r="Q535" s="157"/>
      <c r="R535" s="157"/>
      <c r="S535" s="157"/>
      <c r="T535" s="157"/>
      <c r="U535" s="157"/>
      <c r="V535" s="157"/>
      <c r="W535" s="157"/>
      <c r="X535" s="157"/>
      <c r="Y535" s="157"/>
      <c r="Z535" s="157"/>
      <c r="AA535" s="157"/>
      <c r="AB535" s="157"/>
      <c r="AC535" s="157"/>
      <c r="AD535" s="157"/>
      <c r="AE535" s="157"/>
      <c r="AF535" s="157"/>
      <c r="AG535" s="157"/>
      <c r="AH535" s="157"/>
      <c r="AI535" s="157"/>
      <c r="AJ535" s="157"/>
      <c r="AK535" s="157"/>
      <c r="AL535" s="157"/>
      <c r="AM535" s="157"/>
      <c r="AN535" s="157"/>
      <c r="AO535" s="157"/>
      <c r="AP535" s="157"/>
      <c r="AQ535" s="157"/>
      <c r="AR535" s="157"/>
      <c r="AS535" s="157"/>
      <c r="AT535" s="157"/>
      <c r="AU535" s="157"/>
      <c r="AV535" s="157"/>
      <c r="AW535" s="157"/>
      <c r="AX535" s="157"/>
      <c r="AY535" s="157"/>
      <c r="AZ535" s="157"/>
      <c r="BA535" s="157"/>
    </row>
    <row r="536" spans="2:53" s="156" customFormat="1" ht="15" customHeight="1">
      <c r="B536" s="157"/>
      <c r="C536" s="157"/>
      <c r="D536" s="157"/>
      <c r="E536" s="157"/>
      <c r="F536" s="157"/>
      <c r="G536" s="157"/>
      <c r="H536" s="157"/>
      <c r="I536" s="157"/>
      <c r="J536" s="158"/>
      <c r="K536" s="157"/>
      <c r="L536" s="157"/>
      <c r="M536" s="157"/>
      <c r="O536" s="157"/>
      <c r="P536" s="157"/>
      <c r="Q536" s="157"/>
      <c r="R536" s="157"/>
      <c r="S536" s="157"/>
      <c r="T536" s="157"/>
      <c r="U536" s="157"/>
      <c r="V536" s="157"/>
      <c r="W536" s="157"/>
      <c r="X536" s="157"/>
      <c r="Y536" s="157"/>
      <c r="Z536" s="157"/>
      <c r="AA536" s="157"/>
      <c r="AB536" s="157"/>
      <c r="AC536" s="157"/>
      <c r="AD536" s="157"/>
      <c r="AE536" s="157"/>
      <c r="AF536" s="157"/>
      <c r="AG536" s="157"/>
      <c r="AH536" s="157"/>
      <c r="AI536" s="157"/>
      <c r="AJ536" s="157"/>
      <c r="AK536" s="157"/>
      <c r="AL536" s="157"/>
      <c r="AM536" s="157"/>
      <c r="AN536" s="157"/>
      <c r="AO536" s="157"/>
      <c r="AP536" s="157"/>
      <c r="AQ536" s="157"/>
      <c r="AR536" s="157"/>
      <c r="AS536" s="157"/>
      <c r="AT536" s="157"/>
      <c r="AU536" s="157"/>
      <c r="AV536" s="157"/>
      <c r="AW536" s="157"/>
      <c r="AX536" s="157"/>
      <c r="AY536" s="157"/>
      <c r="AZ536" s="157"/>
      <c r="BA536" s="157"/>
    </row>
    <row r="537" spans="2:53" s="156" customFormat="1" ht="15" customHeight="1">
      <c r="B537" s="157"/>
      <c r="C537" s="157"/>
      <c r="D537" s="157"/>
      <c r="E537" s="157"/>
      <c r="F537" s="157"/>
      <c r="G537" s="157"/>
      <c r="H537" s="157"/>
      <c r="I537" s="157"/>
      <c r="J537" s="158"/>
      <c r="K537" s="157"/>
      <c r="L537" s="157"/>
      <c r="M537" s="157"/>
      <c r="O537" s="157"/>
      <c r="P537" s="157"/>
      <c r="Q537" s="157"/>
      <c r="R537" s="157"/>
      <c r="S537" s="157"/>
      <c r="T537" s="157"/>
      <c r="U537" s="157"/>
      <c r="V537" s="157"/>
      <c r="W537" s="157"/>
      <c r="X537" s="157"/>
      <c r="Y537" s="157"/>
      <c r="Z537" s="157"/>
      <c r="AA537" s="157"/>
      <c r="AB537" s="157"/>
      <c r="AC537" s="157"/>
      <c r="AD537" s="157"/>
      <c r="AE537" s="157"/>
      <c r="AF537" s="157"/>
      <c r="AG537" s="157"/>
      <c r="AH537" s="157"/>
      <c r="AI537" s="157"/>
      <c r="AJ537" s="157"/>
      <c r="AK537" s="157"/>
      <c r="AL537" s="157"/>
      <c r="AM537" s="157"/>
      <c r="AN537" s="157"/>
      <c r="AO537" s="157"/>
      <c r="AP537" s="157"/>
      <c r="AQ537" s="157"/>
      <c r="AR537" s="157"/>
      <c r="AS537" s="157"/>
      <c r="AT537" s="157"/>
      <c r="AU537" s="157"/>
      <c r="AV537" s="157"/>
      <c r="AW537" s="157"/>
      <c r="AX537" s="157"/>
      <c r="AY537" s="157"/>
      <c r="AZ537" s="157"/>
      <c r="BA537" s="157"/>
    </row>
    <row r="538" spans="2:53" s="156" customFormat="1" ht="15" customHeight="1">
      <c r="B538" s="157"/>
      <c r="C538" s="157"/>
      <c r="D538" s="157"/>
      <c r="E538" s="157"/>
      <c r="F538" s="157"/>
      <c r="G538" s="157"/>
      <c r="H538" s="157"/>
      <c r="I538" s="157"/>
      <c r="J538" s="158"/>
      <c r="K538" s="157"/>
      <c r="L538" s="157"/>
      <c r="M538" s="157"/>
      <c r="O538" s="157"/>
      <c r="P538" s="157"/>
      <c r="Q538" s="157"/>
      <c r="R538" s="157"/>
      <c r="S538" s="157"/>
      <c r="T538" s="157"/>
      <c r="U538" s="157"/>
      <c r="V538" s="157"/>
      <c r="W538" s="157"/>
      <c r="X538" s="157"/>
      <c r="Y538" s="157"/>
      <c r="Z538" s="157"/>
      <c r="AA538" s="157"/>
      <c r="AB538" s="157"/>
      <c r="AC538" s="157"/>
      <c r="AD538" s="157"/>
      <c r="AE538" s="157"/>
      <c r="AF538" s="157"/>
      <c r="AG538" s="157"/>
      <c r="AH538" s="157"/>
      <c r="AI538" s="157"/>
      <c r="AJ538" s="157"/>
      <c r="AK538" s="157"/>
      <c r="AL538" s="157"/>
      <c r="AM538" s="157"/>
      <c r="AN538" s="157"/>
      <c r="AO538" s="157"/>
      <c r="AP538" s="157"/>
      <c r="AQ538" s="157"/>
      <c r="AR538" s="157"/>
      <c r="AS538" s="157"/>
      <c r="AT538" s="157"/>
      <c r="AU538" s="157"/>
      <c r="AV538" s="157"/>
      <c r="AW538" s="157"/>
      <c r="AX538" s="157"/>
      <c r="AY538" s="157"/>
      <c r="AZ538" s="157"/>
      <c r="BA538" s="157"/>
    </row>
    <row r="539" spans="2:53" s="156" customFormat="1" ht="15" customHeight="1">
      <c r="B539" s="157"/>
      <c r="C539" s="157"/>
      <c r="D539" s="157"/>
      <c r="E539" s="157"/>
      <c r="F539" s="157"/>
      <c r="G539" s="157"/>
      <c r="H539" s="157"/>
      <c r="I539" s="157"/>
      <c r="J539" s="158"/>
      <c r="K539" s="157"/>
      <c r="L539" s="157"/>
      <c r="M539" s="157"/>
      <c r="O539" s="157"/>
      <c r="P539" s="157"/>
      <c r="Q539" s="157"/>
      <c r="R539" s="157"/>
      <c r="S539" s="157"/>
      <c r="T539" s="157"/>
      <c r="U539" s="157"/>
      <c r="V539" s="157"/>
      <c r="W539" s="157"/>
      <c r="X539" s="157"/>
      <c r="Y539" s="157"/>
      <c r="Z539" s="157"/>
      <c r="AA539" s="157"/>
      <c r="AB539" s="157"/>
      <c r="AC539" s="157"/>
      <c r="AD539" s="157"/>
      <c r="AE539" s="157"/>
      <c r="AF539" s="157"/>
      <c r="AG539" s="157"/>
      <c r="AH539" s="157"/>
      <c r="AI539" s="157"/>
      <c r="AJ539" s="157"/>
      <c r="AK539" s="157"/>
      <c r="AL539" s="157"/>
      <c r="AM539" s="157"/>
      <c r="AN539" s="157"/>
      <c r="AO539" s="157"/>
      <c r="AP539" s="157"/>
      <c r="AQ539" s="157"/>
      <c r="AR539" s="157"/>
      <c r="AS539" s="157"/>
      <c r="AT539" s="157"/>
      <c r="AU539" s="157"/>
      <c r="AV539" s="157"/>
      <c r="AW539" s="157"/>
      <c r="AX539" s="157"/>
      <c r="AY539" s="157"/>
      <c r="AZ539" s="157"/>
      <c r="BA539" s="157"/>
    </row>
    <row r="540" spans="2:53" s="156" customFormat="1" ht="15" customHeight="1">
      <c r="B540" s="157"/>
      <c r="C540" s="157"/>
      <c r="D540" s="157"/>
      <c r="E540" s="157"/>
      <c r="F540" s="157"/>
      <c r="G540" s="157"/>
      <c r="H540" s="157"/>
      <c r="I540" s="157"/>
      <c r="J540" s="158"/>
      <c r="K540" s="157"/>
      <c r="L540" s="157"/>
      <c r="M540" s="157"/>
      <c r="O540" s="157"/>
      <c r="P540" s="157"/>
      <c r="Q540" s="157"/>
      <c r="R540" s="157"/>
      <c r="S540" s="157"/>
      <c r="T540" s="157"/>
      <c r="U540" s="157"/>
      <c r="V540" s="157"/>
      <c r="W540" s="157"/>
      <c r="X540" s="157"/>
      <c r="Y540" s="157"/>
      <c r="Z540" s="157"/>
      <c r="AA540" s="157"/>
      <c r="AB540" s="157"/>
      <c r="AC540" s="157"/>
      <c r="AD540" s="157"/>
      <c r="AE540" s="157"/>
      <c r="AF540" s="157"/>
      <c r="AG540" s="157"/>
      <c r="AH540" s="157"/>
      <c r="AI540" s="157"/>
      <c r="AJ540" s="157"/>
      <c r="AK540" s="157"/>
      <c r="AL540" s="157"/>
      <c r="AM540" s="157"/>
      <c r="AN540" s="157"/>
      <c r="AO540" s="157"/>
      <c r="AP540" s="157"/>
      <c r="AQ540" s="157"/>
      <c r="AR540" s="157"/>
      <c r="AS540" s="157"/>
      <c r="AT540" s="157"/>
      <c r="AU540" s="157"/>
      <c r="AV540" s="157"/>
      <c r="AW540" s="157"/>
      <c r="AX540" s="157"/>
      <c r="AY540" s="157"/>
      <c r="AZ540" s="157"/>
      <c r="BA540" s="157"/>
    </row>
    <row r="541" spans="2:53" s="156" customFormat="1" ht="15" customHeight="1">
      <c r="B541" s="157"/>
      <c r="C541" s="157"/>
      <c r="D541" s="157"/>
      <c r="E541" s="157"/>
      <c r="F541" s="157"/>
      <c r="G541" s="157"/>
      <c r="H541" s="157"/>
      <c r="I541" s="157"/>
      <c r="J541" s="158"/>
      <c r="K541" s="157"/>
      <c r="L541" s="157"/>
      <c r="M541" s="157"/>
      <c r="O541" s="157"/>
      <c r="P541" s="157"/>
      <c r="Q541" s="157"/>
      <c r="R541" s="157"/>
      <c r="S541" s="157"/>
      <c r="T541" s="157"/>
      <c r="U541" s="157"/>
      <c r="V541" s="157"/>
      <c r="W541" s="157"/>
      <c r="X541" s="157"/>
      <c r="Y541" s="157"/>
      <c r="Z541" s="157"/>
      <c r="AA541" s="157"/>
      <c r="AB541" s="157"/>
      <c r="AC541" s="157"/>
      <c r="AD541" s="157"/>
      <c r="AE541" s="157"/>
      <c r="AF541" s="157"/>
      <c r="AG541" s="157"/>
      <c r="AH541" s="157"/>
      <c r="AI541" s="157"/>
      <c r="AJ541" s="157"/>
      <c r="AK541" s="157"/>
      <c r="AL541" s="157"/>
      <c r="AM541" s="157"/>
      <c r="AN541" s="157"/>
      <c r="AO541" s="157"/>
      <c r="AP541" s="157"/>
      <c r="AQ541" s="157"/>
      <c r="AR541" s="157"/>
      <c r="AS541" s="157"/>
      <c r="AT541" s="157"/>
      <c r="AU541" s="157"/>
      <c r="AV541" s="157"/>
      <c r="AW541" s="157"/>
      <c r="AX541" s="157"/>
      <c r="AY541" s="157"/>
      <c r="AZ541" s="157"/>
      <c r="BA541" s="157"/>
    </row>
    <row r="542" spans="2:53" s="156" customFormat="1" ht="15" customHeight="1">
      <c r="B542" s="157"/>
      <c r="C542" s="157"/>
      <c r="D542" s="157"/>
      <c r="E542" s="157"/>
      <c r="F542" s="157"/>
      <c r="G542" s="157"/>
      <c r="H542" s="157"/>
      <c r="I542" s="157"/>
      <c r="J542" s="158"/>
      <c r="K542" s="157"/>
      <c r="L542" s="157"/>
      <c r="M542" s="157"/>
      <c r="O542" s="157"/>
      <c r="P542" s="157"/>
      <c r="Q542" s="157"/>
      <c r="R542" s="157"/>
      <c r="S542" s="157"/>
      <c r="T542" s="157"/>
      <c r="U542" s="157"/>
      <c r="V542" s="157"/>
      <c r="W542" s="157"/>
      <c r="X542" s="157"/>
      <c r="Y542" s="157"/>
      <c r="Z542" s="157"/>
      <c r="AA542" s="157"/>
      <c r="AB542" s="157"/>
      <c r="AC542" s="157"/>
      <c r="AD542" s="157"/>
      <c r="AE542" s="157"/>
      <c r="AF542" s="157"/>
      <c r="AG542" s="157"/>
      <c r="AH542" s="157"/>
      <c r="AI542" s="157"/>
      <c r="AJ542" s="157"/>
      <c r="AK542" s="157"/>
      <c r="AL542" s="157"/>
      <c r="AM542" s="157"/>
      <c r="AN542" s="157"/>
      <c r="AO542" s="157"/>
      <c r="AP542" s="157"/>
      <c r="AQ542" s="157"/>
      <c r="AR542" s="157"/>
      <c r="AS542" s="157"/>
      <c r="AT542" s="157"/>
      <c r="AU542" s="157"/>
      <c r="AV542" s="157"/>
      <c r="AW542" s="157"/>
      <c r="AX542" s="157"/>
      <c r="AY542" s="157"/>
      <c r="AZ542" s="157"/>
      <c r="BA542" s="157"/>
    </row>
    <row r="543" spans="2:53" s="156" customFormat="1" ht="15" customHeight="1">
      <c r="B543" s="157"/>
      <c r="C543" s="157"/>
      <c r="D543" s="157"/>
      <c r="E543" s="157"/>
      <c r="F543" s="157"/>
      <c r="G543" s="157"/>
      <c r="H543" s="157"/>
      <c r="I543" s="157"/>
      <c r="J543" s="158"/>
      <c r="K543" s="157"/>
      <c r="L543" s="157"/>
      <c r="M543" s="157"/>
      <c r="O543" s="157"/>
      <c r="P543" s="157"/>
      <c r="Q543" s="157"/>
      <c r="R543" s="157"/>
      <c r="S543" s="157"/>
      <c r="T543" s="157"/>
      <c r="U543" s="157"/>
      <c r="V543" s="157"/>
      <c r="W543" s="157"/>
      <c r="X543" s="157"/>
      <c r="Y543" s="157"/>
      <c r="Z543" s="157"/>
      <c r="AA543" s="157"/>
      <c r="AB543" s="157"/>
      <c r="AC543" s="157"/>
      <c r="AD543" s="157"/>
      <c r="AE543" s="157"/>
      <c r="AF543" s="157"/>
      <c r="AG543" s="157"/>
      <c r="AH543" s="157"/>
      <c r="AI543" s="157"/>
      <c r="AJ543" s="157"/>
      <c r="AK543" s="157"/>
      <c r="AL543" s="157"/>
      <c r="AM543" s="157"/>
      <c r="AN543" s="157"/>
      <c r="AO543" s="157"/>
      <c r="AP543" s="157"/>
      <c r="AQ543" s="157"/>
      <c r="AR543" s="157"/>
      <c r="AS543" s="157"/>
      <c r="AT543" s="157"/>
      <c r="AU543" s="157"/>
      <c r="AV543" s="157"/>
      <c r="AW543" s="157"/>
      <c r="AX543" s="157"/>
      <c r="AY543" s="157"/>
      <c r="AZ543" s="157"/>
      <c r="BA543" s="157"/>
    </row>
    <row r="544" spans="2:53" s="156" customFormat="1" ht="15" customHeight="1">
      <c r="B544" s="157"/>
      <c r="C544" s="157"/>
      <c r="D544" s="157"/>
      <c r="E544" s="157"/>
      <c r="F544" s="157"/>
      <c r="G544" s="157"/>
      <c r="H544" s="157"/>
      <c r="I544" s="157"/>
      <c r="J544" s="158"/>
      <c r="K544" s="157"/>
      <c r="L544" s="157"/>
      <c r="M544" s="157"/>
      <c r="O544" s="157"/>
      <c r="P544" s="157"/>
      <c r="Q544" s="157"/>
      <c r="R544" s="157"/>
      <c r="S544" s="157"/>
      <c r="T544" s="157"/>
      <c r="U544" s="157"/>
      <c r="V544" s="157"/>
      <c r="W544" s="157"/>
      <c r="X544" s="157"/>
      <c r="Y544" s="157"/>
      <c r="Z544" s="157"/>
      <c r="AA544" s="157"/>
      <c r="AB544" s="157"/>
      <c r="AC544" s="157"/>
      <c r="AD544" s="157"/>
      <c r="AE544" s="157"/>
      <c r="AF544" s="157"/>
      <c r="AG544" s="157"/>
      <c r="AH544" s="157"/>
      <c r="AI544" s="157"/>
      <c r="AJ544" s="157"/>
      <c r="AK544" s="157"/>
      <c r="AL544" s="157"/>
      <c r="AM544" s="157"/>
      <c r="AN544" s="157"/>
      <c r="AO544" s="157"/>
      <c r="AP544" s="157"/>
      <c r="AQ544" s="157"/>
      <c r="AR544" s="157"/>
      <c r="AS544" s="157"/>
      <c r="AT544" s="157"/>
      <c r="AU544" s="157"/>
      <c r="AV544" s="157"/>
      <c r="AW544" s="157"/>
      <c r="AX544" s="157"/>
      <c r="AY544" s="157"/>
      <c r="AZ544" s="157"/>
      <c r="BA544" s="157"/>
    </row>
    <row r="545" spans="2:53" s="156" customFormat="1" ht="15" customHeight="1">
      <c r="B545" s="157"/>
      <c r="C545" s="157"/>
      <c r="D545" s="157"/>
      <c r="E545" s="157"/>
      <c r="F545" s="157"/>
      <c r="G545" s="157"/>
      <c r="H545" s="157"/>
      <c r="I545" s="157"/>
      <c r="J545" s="158"/>
      <c r="K545" s="157"/>
      <c r="L545" s="157"/>
      <c r="M545" s="157"/>
      <c r="O545" s="157"/>
      <c r="P545" s="157"/>
      <c r="Q545" s="157"/>
      <c r="R545" s="157"/>
      <c r="S545" s="157"/>
      <c r="T545" s="157"/>
      <c r="U545" s="157"/>
      <c r="V545" s="157"/>
      <c r="W545" s="157"/>
      <c r="X545" s="157"/>
      <c r="Y545" s="157"/>
      <c r="Z545" s="157"/>
      <c r="AA545" s="157"/>
      <c r="AB545" s="157"/>
      <c r="AC545" s="157"/>
      <c r="AD545" s="157"/>
      <c r="AE545" s="157"/>
      <c r="AF545" s="157"/>
      <c r="AG545" s="157"/>
      <c r="AH545" s="157"/>
      <c r="AI545" s="157"/>
      <c r="AJ545" s="157"/>
      <c r="AK545" s="157"/>
      <c r="AL545" s="157"/>
      <c r="AM545" s="157"/>
      <c r="AN545" s="157"/>
      <c r="AO545" s="157"/>
      <c r="AP545" s="157"/>
      <c r="AQ545" s="157"/>
      <c r="AR545" s="157"/>
      <c r="AS545" s="157"/>
      <c r="AT545" s="157"/>
      <c r="AU545" s="157"/>
      <c r="AV545" s="157"/>
      <c r="AW545" s="157"/>
      <c r="AX545" s="157"/>
      <c r="AY545" s="157"/>
      <c r="AZ545" s="157"/>
      <c r="BA545" s="157"/>
    </row>
    <row r="546" spans="2:53" s="156" customFormat="1" ht="15" customHeight="1">
      <c r="B546" s="157"/>
      <c r="C546" s="157"/>
      <c r="D546" s="157"/>
      <c r="E546" s="157"/>
      <c r="F546" s="157"/>
      <c r="G546" s="157"/>
      <c r="H546" s="157"/>
      <c r="I546" s="157"/>
      <c r="J546" s="158"/>
      <c r="K546" s="157"/>
      <c r="L546" s="157"/>
      <c r="M546" s="157"/>
      <c r="O546" s="157"/>
      <c r="P546" s="157"/>
      <c r="Q546" s="157"/>
      <c r="R546" s="157"/>
      <c r="S546" s="157"/>
      <c r="T546" s="157"/>
      <c r="U546" s="157"/>
      <c r="V546" s="157"/>
      <c r="W546" s="157"/>
      <c r="X546" s="157"/>
      <c r="Y546" s="157"/>
      <c r="Z546" s="157"/>
      <c r="AA546" s="157"/>
      <c r="AB546" s="157"/>
      <c r="AC546" s="157"/>
      <c r="AD546" s="157"/>
      <c r="AE546" s="157"/>
      <c r="AF546" s="157"/>
      <c r="AG546" s="157"/>
      <c r="AH546" s="157"/>
      <c r="AI546" s="157"/>
      <c r="AJ546" s="157"/>
      <c r="AK546" s="157"/>
      <c r="AL546" s="157"/>
      <c r="AM546" s="157"/>
      <c r="AN546" s="157"/>
      <c r="AO546" s="157"/>
      <c r="AP546" s="157"/>
      <c r="AQ546" s="157"/>
      <c r="AR546" s="157"/>
      <c r="AS546" s="157"/>
      <c r="AT546" s="157"/>
      <c r="AU546" s="157"/>
      <c r="AV546" s="157"/>
      <c r="AW546" s="157"/>
      <c r="AX546" s="157"/>
      <c r="AY546" s="157"/>
      <c r="AZ546" s="157"/>
      <c r="BA546" s="157"/>
    </row>
    <row r="547" spans="2:53" s="156" customFormat="1" ht="15" customHeight="1">
      <c r="B547" s="157"/>
      <c r="C547" s="157"/>
      <c r="D547" s="157"/>
      <c r="E547" s="157"/>
      <c r="F547" s="157"/>
      <c r="G547" s="157"/>
      <c r="H547" s="157"/>
      <c r="I547" s="157"/>
      <c r="J547" s="158"/>
      <c r="K547" s="157"/>
      <c r="L547" s="157"/>
      <c r="M547" s="157"/>
      <c r="O547" s="157"/>
      <c r="P547" s="157"/>
      <c r="Q547" s="157"/>
      <c r="R547" s="157"/>
      <c r="S547" s="157"/>
      <c r="T547" s="157"/>
      <c r="U547" s="157"/>
      <c r="V547" s="157"/>
      <c r="W547" s="157"/>
      <c r="X547" s="157"/>
      <c r="Y547" s="157"/>
      <c r="Z547" s="157"/>
      <c r="AA547" s="157"/>
      <c r="AB547" s="157"/>
      <c r="AC547" s="157"/>
      <c r="AD547" s="157"/>
      <c r="AE547" s="157"/>
      <c r="AF547" s="157"/>
      <c r="AG547" s="157"/>
      <c r="AH547" s="157"/>
      <c r="AI547" s="157"/>
      <c r="AJ547" s="157"/>
      <c r="AK547" s="157"/>
      <c r="AL547" s="157"/>
      <c r="AM547" s="157"/>
      <c r="AN547" s="157"/>
      <c r="AO547" s="157"/>
      <c r="AP547" s="157"/>
      <c r="AQ547" s="157"/>
      <c r="AR547" s="157"/>
      <c r="AS547" s="157"/>
      <c r="AT547" s="157"/>
      <c r="AU547" s="157"/>
      <c r="AV547" s="157"/>
      <c r="AW547" s="157"/>
      <c r="AX547" s="157"/>
      <c r="AY547" s="157"/>
      <c r="AZ547" s="157"/>
      <c r="BA547" s="157"/>
    </row>
    <row r="548" spans="2:53" s="156" customFormat="1" ht="15" customHeight="1">
      <c r="B548" s="157"/>
      <c r="C548" s="157"/>
      <c r="D548" s="157"/>
      <c r="E548" s="157"/>
      <c r="F548" s="157"/>
      <c r="G548" s="157"/>
      <c r="H548" s="157"/>
      <c r="I548" s="157"/>
      <c r="J548" s="158"/>
      <c r="K548" s="157"/>
      <c r="L548" s="157"/>
      <c r="M548" s="157"/>
      <c r="O548" s="157"/>
      <c r="P548" s="157"/>
      <c r="Q548" s="157"/>
      <c r="R548" s="157"/>
      <c r="S548" s="157"/>
      <c r="T548" s="157"/>
      <c r="U548" s="157"/>
      <c r="V548" s="157"/>
      <c r="W548" s="157"/>
      <c r="X548" s="157"/>
      <c r="Y548" s="157"/>
      <c r="Z548" s="157"/>
      <c r="AA548" s="157"/>
      <c r="AB548" s="157"/>
      <c r="AC548" s="157"/>
      <c r="AD548" s="157"/>
      <c r="AE548" s="157"/>
      <c r="AF548" s="157"/>
      <c r="AG548" s="157"/>
      <c r="AH548" s="157"/>
      <c r="AI548" s="157"/>
      <c r="AJ548" s="157"/>
      <c r="AK548" s="157"/>
      <c r="AL548" s="157"/>
      <c r="AM548" s="157"/>
      <c r="AN548" s="157"/>
      <c r="AO548" s="157"/>
      <c r="AP548" s="157"/>
      <c r="AQ548" s="157"/>
      <c r="AR548" s="157"/>
      <c r="AS548" s="157"/>
      <c r="AT548" s="157"/>
      <c r="AU548" s="157"/>
      <c r="AV548" s="157"/>
      <c r="AW548" s="157"/>
      <c r="AX548" s="157"/>
      <c r="AY548" s="157"/>
      <c r="AZ548" s="157"/>
      <c r="BA548" s="157"/>
    </row>
    <row r="549" spans="2:53" s="156" customFormat="1" ht="15" customHeight="1">
      <c r="B549" s="157"/>
      <c r="C549" s="157"/>
      <c r="D549" s="157"/>
      <c r="E549" s="157"/>
      <c r="F549" s="157"/>
      <c r="G549" s="157"/>
      <c r="H549" s="157"/>
      <c r="I549" s="157"/>
      <c r="J549" s="158"/>
      <c r="K549" s="157"/>
      <c r="L549" s="157"/>
      <c r="M549" s="157"/>
      <c r="O549" s="157"/>
      <c r="P549" s="157"/>
      <c r="Q549" s="157"/>
      <c r="R549" s="157"/>
      <c r="S549" s="157"/>
      <c r="T549" s="157"/>
      <c r="U549" s="157"/>
      <c r="V549" s="157"/>
      <c r="W549" s="157"/>
      <c r="X549" s="157"/>
      <c r="Y549" s="157"/>
      <c r="Z549" s="157"/>
      <c r="AA549" s="157"/>
      <c r="AB549" s="157"/>
      <c r="AC549" s="157"/>
      <c r="AD549" s="157"/>
      <c r="AE549" s="157"/>
      <c r="AF549" s="157"/>
      <c r="AG549" s="157"/>
      <c r="AH549" s="157"/>
      <c r="AI549" s="157"/>
      <c r="AJ549" s="157"/>
      <c r="AK549" s="157"/>
      <c r="AL549" s="157"/>
      <c r="AM549" s="157"/>
      <c r="AN549" s="157"/>
      <c r="AO549" s="157"/>
      <c r="AP549" s="157"/>
      <c r="AQ549" s="157"/>
      <c r="AR549" s="157"/>
      <c r="AS549" s="157"/>
      <c r="AT549" s="157"/>
      <c r="AU549" s="157"/>
      <c r="AV549" s="157"/>
      <c r="AW549" s="157"/>
      <c r="AX549" s="157"/>
      <c r="AY549" s="157"/>
      <c r="AZ549" s="157"/>
      <c r="BA549" s="157"/>
    </row>
    <row r="550" spans="2:53" s="156" customFormat="1" ht="15" customHeight="1">
      <c r="B550" s="157"/>
      <c r="C550" s="157"/>
      <c r="D550" s="157"/>
      <c r="E550" s="157"/>
      <c r="F550" s="157"/>
      <c r="G550" s="157"/>
      <c r="H550" s="157"/>
      <c r="I550" s="157"/>
      <c r="J550" s="158"/>
      <c r="K550" s="157"/>
      <c r="L550" s="157"/>
      <c r="M550" s="157"/>
      <c r="O550" s="157"/>
      <c r="P550" s="157"/>
      <c r="Q550" s="157"/>
      <c r="R550" s="157"/>
      <c r="S550" s="157"/>
      <c r="T550" s="157"/>
      <c r="U550" s="157"/>
      <c r="V550" s="157"/>
      <c r="W550" s="157"/>
      <c r="X550" s="157"/>
      <c r="Y550" s="157"/>
      <c r="Z550" s="157"/>
      <c r="AA550" s="157"/>
      <c r="AB550" s="157"/>
      <c r="AC550" s="157"/>
      <c r="AD550" s="157"/>
      <c r="AE550" s="157"/>
      <c r="AF550" s="157"/>
      <c r="AG550" s="157"/>
      <c r="AH550" s="157"/>
      <c r="AI550" s="157"/>
      <c r="AJ550" s="157"/>
      <c r="AK550" s="157"/>
      <c r="AL550" s="157"/>
      <c r="AM550" s="157"/>
      <c r="AN550" s="157"/>
      <c r="AO550" s="157"/>
      <c r="AP550" s="157"/>
      <c r="AQ550" s="157"/>
      <c r="AR550" s="157"/>
      <c r="AS550" s="157"/>
      <c r="AT550" s="157"/>
      <c r="AU550" s="157"/>
      <c r="AV550" s="157"/>
      <c r="AW550" s="157"/>
      <c r="AX550" s="157"/>
      <c r="AY550" s="157"/>
      <c r="AZ550" s="157"/>
      <c r="BA550" s="157"/>
    </row>
    <row r="551" spans="2:53" s="156" customFormat="1" ht="15" customHeight="1">
      <c r="B551" s="157"/>
      <c r="C551" s="157"/>
      <c r="D551" s="157"/>
      <c r="E551" s="157"/>
      <c r="F551" s="157"/>
      <c r="G551" s="157"/>
      <c r="H551" s="157"/>
      <c r="I551" s="157"/>
      <c r="J551" s="158"/>
      <c r="K551" s="157"/>
      <c r="L551" s="157"/>
      <c r="M551" s="157"/>
      <c r="O551" s="157"/>
      <c r="P551" s="157"/>
      <c r="Q551" s="157"/>
      <c r="R551" s="157"/>
      <c r="S551" s="157"/>
      <c r="T551" s="157"/>
      <c r="U551" s="157"/>
      <c r="V551" s="157"/>
      <c r="W551" s="157"/>
      <c r="X551" s="157"/>
      <c r="Y551" s="157"/>
      <c r="Z551" s="157"/>
      <c r="AA551" s="157"/>
      <c r="AB551" s="157"/>
      <c r="AC551" s="157"/>
      <c r="AD551" s="157"/>
      <c r="AE551" s="157"/>
      <c r="AF551" s="157"/>
      <c r="AG551" s="157"/>
      <c r="AH551" s="157"/>
      <c r="AI551" s="157"/>
      <c r="AJ551" s="157"/>
      <c r="AK551" s="157"/>
      <c r="AL551" s="157"/>
      <c r="AM551" s="157"/>
      <c r="AN551" s="157"/>
      <c r="AO551" s="157"/>
      <c r="AP551" s="157"/>
      <c r="AQ551" s="157"/>
      <c r="AR551" s="157"/>
      <c r="AS551" s="157"/>
      <c r="AT551" s="157"/>
      <c r="AU551" s="157"/>
      <c r="AV551" s="157"/>
      <c r="AW551" s="157"/>
      <c r="AX551" s="157"/>
      <c r="AY551" s="157"/>
      <c r="AZ551" s="157"/>
      <c r="BA551" s="157"/>
    </row>
    <row r="552" spans="2:53" s="156" customFormat="1" ht="15" customHeight="1">
      <c r="B552" s="157"/>
      <c r="C552" s="157"/>
      <c r="D552" s="157"/>
      <c r="E552" s="157"/>
      <c r="F552" s="157"/>
      <c r="G552" s="157"/>
      <c r="H552" s="157"/>
      <c r="I552" s="157"/>
      <c r="J552" s="158"/>
      <c r="K552" s="157"/>
      <c r="L552" s="157"/>
      <c r="M552" s="157"/>
      <c r="O552" s="157"/>
      <c r="P552" s="157"/>
      <c r="Q552" s="157"/>
      <c r="R552" s="157"/>
      <c r="S552" s="157"/>
      <c r="T552" s="157"/>
      <c r="U552" s="157"/>
      <c r="V552" s="157"/>
      <c r="W552" s="157"/>
      <c r="X552" s="157"/>
      <c r="Y552" s="157"/>
      <c r="Z552" s="157"/>
      <c r="AA552" s="157"/>
      <c r="AB552" s="157"/>
      <c r="AC552" s="157"/>
      <c r="AD552" s="157"/>
      <c r="AE552" s="157"/>
      <c r="AF552" s="157"/>
      <c r="AG552" s="157"/>
      <c r="AH552" s="157"/>
      <c r="AI552" s="157"/>
      <c r="AJ552" s="157"/>
      <c r="AK552" s="157"/>
      <c r="AL552" s="157"/>
      <c r="AM552" s="157"/>
      <c r="AN552" s="157"/>
      <c r="AO552" s="157"/>
      <c r="AP552" s="157"/>
      <c r="AQ552" s="157"/>
      <c r="AR552" s="157"/>
      <c r="AS552" s="157"/>
      <c r="AT552" s="157"/>
      <c r="AU552" s="157"/>
      <c r="AV552" s="157"/>
      <c r="AW552" s="157"/>
      <c r="AX552" s="157"/>
      <c r="AY552" s="157"/>
      <c r="AZ552" s="157"/>
      <c r="BA552" s="157"/>
    </row>
    <row r="553" spans="2:53" s="156" customFormat="1" ht="15" customHeight="1">
      <c r="B553" s="157"/>
      <c r="C553" s="157"/>
      <c r="D553" s="157"/>
      <c r="E553" s="157"/>
      <c r="F553" s="157"/>
      <c r="G553" s="157"/>
      <c r="H553" s="157"/>
      <c r="I553" s="157"/>
      <c r="J553" s="158"/>
      <c r="K553" s="157"/>
      <c r="L553" s="157"/>
      <c r="M553" s="157"/>
      <c r="O553" s="157"/>
      <c r="P553" s="157"/>
      <c r="Q553" s="157"/>
      <c r="R553" s="157"/>
      <c r="S553" s="157"/>
      <c r="T553" s="157"/>
      <c r="U553" s="157"/>
      <c r="V553" s="157"/>
      <c r="W553" s="157"/>
      <c r="X553" s="157"/>
      <c r="Y553" s="157"/>
      <c r="Z553" s="157"/>
      <c r="AA553" s="157"/>
      <c r="AB553" s="157"/>
      <c r="AC553" s="157"/>
      <c r="AD553" s="157"/>
      <c r="AE553" s="157"/>
      <c r="AF553" s="157"/>
      <c r="AG553" s="157"/>
      <c r="AH553" s="157"/>
      <c r="AI553" s="157"/>
      <c r="AJ553" s="157"/>
      <c r="AK553" s="157"/>
      <c r="AL553" s="157"/>
      <c r="AM553" s="157"/>
      <c r="AN553" s="157"/>
      <c r="AO553" s="157"/>
      <c r="AP553" s="157"/>
      <c r="AQ553" s="157"/>
      <c r="AR553" s="157"/>
      <c r="AS553" s="157"/>
      <c r="AT553" s="157"/>
      <c r="AU553" s="157"/>
      <c r="AV553" s="157"/>
      <c r="AW553" s="157"/>
      <c r="AX553" s="157"/>
      <c r="AY553" s="157"/>
      <c r="AZ553" s="157"/>
      <c r="BA553" s="157"/>
    </row>
    <row r="554" spans="2:53" s="156" customFormat="1" ht="15" customHeight="1">
      <c r="B554" s="157"/>
      <c r="C554" s="157"/>
      <c r="D554" s="157"/>
      <c r="E554" s="157"/>
      <c r="F554" s="157"/>
      <c r="G554" s="157"/>
      <c r="H554" s="157"/>
      <c r="I554" s="157"/>
      <c r="J554" s="158"/>
      <c r="K554" s="157"/>
      <c r="L554" s="157"/>
      <c r="M554" s="157"/>
      <c r="O554" s="157"/>
      <c r="P554" s="157"/>
      <c r="Q554" s="157"/>
      <c r="R554" s="157"/>
      <c r="S554" s="157"/>
      <c r="T554" s="157"/>
      <c r="U554" s="157"/>
      <c r="V554" s="157"/>
      <c r="W554" s="157"/>
      <c r="X554" s="157"/>
      <c r="Y554" s="157"/>
      <c r="Z554" s="157"/>
      <c r="AA554" s="157"/>
      <c r="AB554" s="157"/>
      <c r="AC554" s="157"/>
      <c r="AD554" s="157"/>
      <c r="AE554" s="157"/>
      <c r="AF554" s="157"/>
      <c r="AG554" s="157"/>
      <c r="AH554" s="157"/>
      <c r="AI554" s="157"/>
      <c r="AJ554" s="157"/>
      <c r="AK554" s="157"/>
      <c r="AL554" s="157"/>
      <c r="AM554" s="157"/>
      <c r="AN554" s="157"/>
      <c r="AO554" s="157"/>
      <c r="AP554" s="157"/>
      <c r="AQ554" s="157"/>
      <c r="AR554" s="157"/>
      <c r="AS554" s="157"/>
      <c r="AT554" s="157"/>
      <c r="AU554" s="157"/>
      <c r="AV554" s="157"/>
      <c r="AW554" s="157"/>
      <c r="AX554" s="157"/>
      <c r="AY554" s="157"/>
      <c r="AZ554" s="157"/>
      <c r="BA554" s="157"/>
    </row>
    <row r="555" spans="2:53" s="156" customFormat="1" ht="15" customHeight="1">
      <c r="B555" s="157"/>
      <c r="C555" s="157"/>
      <c r="D555" s="157"/>
      <c r="E555" s="157"/>
      <c r="F555" s="157"/>
      <c r="G555" s="157"/>
      <c r="H555" s="157"/>
      <c r="I555" s="157"/>
      <c r="J555" s="158"/>
      <c r="K555" s="157"/>
      <c r="L555" s="157"/>
      <c r="M555" s="157"/>
      <c r="O555" s="157"/>
      <c r="P555" s="157"/>
      <c r="Q555" s="157"/>
      <c r="R555" s="157"/>
      <c r="S555" s="157"/>
      <c r="T555" s="157"/>
      <c r="U555" s="157"/>
      <c r="V555" s="157"/>
      <c r="W555" s="157"/>
      <c r="X555" s="157"/>
      <c r="Y555" s="157"/>
      <c r="Z555" s="157"/>
      <c r="AA555" s="157"/>
      <c r="AB555" s="157"/>
      <c r="AC555" s="157"/>
      <c r="AD555" s="157"/>
      <c r="AE555" s="157"/>
      <c r="AF555" s="157"/>
      <c r="AG555" s="157"/>
      <c r="AH555" s="157"/>
      <c r="AI555" s="157"/>
      <c r="AJ555" s="157"/>
      <c r="AK555" s="157"/>
      <c r="AL555" s="157"/>
      <c r="AM555" s="157"/>
      <c r="AN555" s="157"/>
      <c r="AO555" s="157"/>
      <c r="AP555" s="157"/>
      <c r="AQ555" s="157"/>
      <c r="AR555" s="157"/>
      <c r="AS555" s="157"/>
      <c r="AT555" s="157"/>
      <c r="AU555" s="157"/>
      <c r="AV555" s="157"/>
      <c r="AW555" s="157"/>
      <c r="AX555" s="157"/>
      <c r="AY555" s="157"/>
      <c r="AZ555" s="157"/>
      <c r="BA555" s="157"/>
    </row>
    <row r="556" spans="2:53" s="156" customFormat="1" ht="15" customHeight="1">
      <c r="B556" s="157"/>
      <c r="C556" s="157"/>
      <c r="D556" s="157"/>
      <c r="E556" s="157"/>
      <c r="F556" s="157"/>
      <c r="G556" s="157"/>
      <c r="H556" s="157"/>
      <c r="I556" s="157"/>
      <c r="J556" s="158"/>
      <c r="K556" s="157"/>
      <c r="L556" s="157"/>
      <c r="M556" s="157"/>
      <c r="O556" s="157"/>
      <c r="P556" s="157"/>
      <c r="Q556" s="157"/>
      <c r="R556" s="157"/>
      <c r="S556" s="157"/>
      <c r="T556" s="157"/>
      <c r="U556" s="157"/>
      <c r="V556" s="157"/>
      <c r="W556" s="157"/>
      <c r="X556" s="157"/>
      <c r="Y556" s="157"/>
      <c r="Z556" s="157"/>
      <c r="AA556" s="157"/>
      <c r="AB556" s="157"/>
      <c r="AC556" s="157"/>
      <c r="AD556" s="157"/>
      <c r="AE556" s="157"/>
      <c r="AF556" s="157"/>
      <c r="AG556" s="157"/>
      <c r="AH556" s="157"/>
      <c r="AI556" s="157"/>
      <c r="AJ556" s="157"/>
      <c r="AK556" s="157"/>
      <c r="AL556" s="157"/>
      <c r="AM556" s="157"/>
      <c r="AN556" s="157"/>
      <c r="AO556" s="157"/>
      <c r="AP556" s="157"/>
      <c r="AQ556" s="157"/>
      <c r="AR556" s="157"/>
      <c r="AS556" s="157"/>
      <c r="AT556" s="157"/>
      <c r="AU556" s="157"/>
      <c r="AV556" s="157"/>
      <c r="AW556" s="157"/>
      <c r="AX556" s="157"/>
      <c r="AY556" s="157"/>
      <c r="AZ556" s="157"/>
      <c r="BA556" s="157"/>
    </row>
    <row r="557" spans="2:53" s="156" customFormat="1" ht="15" customHeight="1">
      <c r="B557" s="157"/>
      <c r="C557" s="157"/>
      <c r="D557" s="157"/>
      <c r="E557" s="157"/>
      <c r="F557" s="157"/>
      <c r="G557" s="157"/>
      <c r="H557" s="157"/>
      <c r="I557" s="157"/>
      <c r="J557" s="158"/>
      <c r="K557" s="157"/>
      <c r="L557" s="157"/>
      <c r="M557" s="157"/>
      <c r="O557" s="157"/>
      <c r="P557" s="157"/>
      <c r="Q557" s="157"/>
      <c r="R557" s="157"/>
      <c r="S557" s="157"/>
      <c r="T557" s="157"/>
      <c r="U557" s="157"/>
      <c r="V557" s="157"/>
      <c r="W557" s="157"/>
      <c r="X557" s="157"/>
      <c r="Y557" s="157"/>
      <c r="Z557" s="157"/>
      <c r="AA557" s="157"/>
      <c r="AB557" s="157"/>
      <c r="AC557" s="157"/>
      <c r="AD557" s="157"/>
      <c r="AE557" s="157"/>
      <c r="AF557" s="157"/>
      <c r="AG557" s="157"/>
      <c r="AH557" s="157"/>
      <c r="AI557" s="157"/>
      <c r="AJ557" s="157"/>
      <c r="AK557" s="157"/>
      <c r="AL557" s="157"/>
      <c r="AM557" s="157"/>
      <c r="AN557" s="157"/>
      <c r="AO557" s="157"/>
      <c r="AP557" s="157"/>
      <c r="AQ557" s="157"/>
      <c r="AR557" s="157"/>
      <c r="AS557" s="157"/>
      <c r="AT557" s="157"/>
      <c r="AU557" s="157"/>
      <c r="AV557" s="157"/>
      <c r="AW557" s="157"/>
      <c r="AX557" s="157"/>
      <c r="AY557" s="157"/>
      <c r="AZ557" s="157"/>
      <c r="BA557" s="157"/>
    </row>
    <row r="558" spans="2:53" s="156" customFormat="1" ht="15" customHeight="1">
      <c r="B558" s="157"/>
      <c r="C558" s="157"/>
      <c r="D558" s="157"/>
      <c r="E558" s="157"/>
      <c r="F558" s="157"/>
      <c r="G558" s="157"/>
      <c r="H558" s="157"/>
      <c r="I558" s="157"/>
      <c r="J558" s="158"/>
      <c r="K558" s="157"/>
      <c r="L558" s="157"/>
      <c r="M558" s="157"/>
      <c r="O558" s="157"/>
      <c r="P558" s="157"/>
      <c r="Q558" s="157"/>
      <c r="R558" s="157"/>
      <c r="S558" s="157"/>
      <c r="T558" s="157"/>
      <c r="U558" s="157"/>
      <c r="V558" s="157"/>
      <c r="W558" s="157"/>
      <c r="X558" s="157"/>
      <c r="Y558" s="157"/>
      <c r="Z558" s="157"/>
      <c r="AA558" s="157"/>
      <c r="AB558" s="157"/>
      <c r="AC558" s="157"/>
      <c r="AD558" s="157"/>
      <c r="AE558" s="157"/>
      <c r="AF558" s="157"/>
      <c r="AG558" s="157"/>
      <c r="AH558" s="157"/>
      <c r="AI558" s="157"/>
      <c r="AJ558" s="157"/>
      <c r="AK558" s="157"/>
      <c r="AL558" s="157"/>
      <c r="AM558" s="157"/>
      <c r="AN558" s="157"/>
      <c r="AO558" s="157"/>
      <c r="AP558" s="157"/>
      <c r="AQ558" s="157"/>
      <c r="AR558" s="157"/>
      <c r="AS558" s="157"/>
      <c r="AT558" s="157"/>
      <c r="AU558" s="157"/>
      <c r="AV558" s="157"/>
      <c r="AW558" s="157"/>
      <c r="AX558" s="157"/>
      <c r="AY558" s="157"/>
      <c r="AZ558" s="157"/>
      <c r="BA558" s="157"/>
    </row>
    <row r="559" spans="2:53" s="156" customFormat="1" ht="15" customHeight="1">
      <c r="B559" s="157"/>
      <c r="C559" s="157"/>
      <c r="D559" s="157"/>
      <c r="E559" s="157"/>
      <c r="F559" s="157"/>
      <c r="G559" s="157"/>
      <c r="H559" s="157"/>
      <c r="I559" s="157"/>
      <c r="J559" s="158"/>
      <c r="K559" s="157"/>
      <c r="L559" s="157"/>
      <c r="M559" s="157"/>
      <c r="O559" s="157"/>
      <c r="P559" s="157"/>
      <c r="Q559" s="157"/>
      <c r="R559" s="157"/>
      <c r="S559" s="157"/>
      <c r="T559" s="157"/>
      <c r="U559" s="157"/>
      <c r="V559" s="157"/>
      <c r="W559" s="157"/>
      <c r="X559" s="157"/>
      <c r="Y559" s="157"/>
      <c r="Z559" s="157"/>
      <c r="AA559" s="157"/>
      <c r="AB559" s="157"/>
      <c r="AC559" s="157"/>
      <c r="AD559" s="157"/>
      <c r="AE559" s="157"/>
      <c r="AF559" s="157"/>
      <c r="AG559" s="157"/>
      <c r="AH559" s="157"/>
      <c r="AI559" s="157"/>
      <c r="AJ559" s="157"/>
      <c r="AK559" s="157"/>
      <c r="AL559" s="157"/>
      <c r="AM559" s="157"/>
      <c r="AN559" s="157"/>
      <c r="AO559" s="157"/>
      <c r="AP559" s="157"/>
      <c r="AQ559" s="157"/>
      <c r="AR559" s="157"/>
      <c r="AS559" s="157"/>
      <c r="AT559" s="157"/>
      <c r="AU559" s="157"/>
      <c r="AV559" s="157"/>
      <c r="AW559" s="157"/>
      <c r="AX559" s="157"/>
      <c r="AY559" s="157"/>
      <c r="AZ559" s="157"/>
      <c r="BA559" s="157"/>
    </row>
    <row r="560" spans="2:53" s="156" customFormat="1" ht="15" customHeight="1">
      <c r="B560" s="157"/>
      <c r="C560" s="157"/>
      <c r="D560" s="157"/>
      <c r="E560" s="157"/>
      <c r="F560" s="157"/>
      <c r="G560" s="157"/>
      <c r="H560" s="157"/>
      <c r="I560" s="157"/>
      <c r="J560" s="158"/>
      <c r="K560" s="157"/>
      <c r="L560" s="157"/>
      <c r="M560" s="157"/>
      <c r="O560" s="157"/>
      <c r="P560" s="157"/>
      <c r="Q560" s="157"/>
      <c r="R560" s="157"/>
      <c r="S560" s="157"/>
      <c r="T560" s="157"/>
      <c r="U560" s="157"/>
      <c r="V560" s="157"/>
      <c r="W560" s="157"/>
      <c r="X560" s="157"/>
      <c r="Y560" s="157"/>
      <c r="Z560" s="157"/>
      <c r="AA560" s="157"/>
      <c r="AB560" s="157"/>
      <c r="AC560" s="157"/>
      <c r="AD560" s="157"/>
      <c r="AE560" s="157"/>
      <c r="AF560" s="157"/>
      <c r="AG560" s="157"/>
      <c r="AH560" s="157"/>
      <c r="AI560" s="157"/>
      <c r="AJ560" s="157"/>
      <c r="AK560" s="157"/>
      <c r="AL560" s="157"/>
      <c r="AM560" s="157"/>
      <c r="AN560" s="157"/>
      <c r="AO560" s="157"/>
      <c r="AP560" s="157"/>
      <c r="AQ560" s="157"/>
      <c r="AR560" s="157"/>
      <c r="AS560" s="157"/>
      <c r="AT560" s="157"/>
      <c r="AU560" s="157"/>
      <c r="AV560" s="157"/>
      <c r="AW560" s="157"/>
      <c r="AX560" s="157"/>
      <c r="AY560" s="157"/>
      <c r="AZ560" s="157"/>
      <c r="BA560" s="157"/>
    </row>
    <row r="561" spans="2:53" s="156" customFormat="1" ht="15" customHeight="1">
      <c r="B561" s="157"/>
      <c r="C561" s="157"/>
      <c r="D561" s="157"/>
      <c r="E561" s="157"/>
      <c r="F561" s="157"/>
      <c r="G561" s="157"/>
      <c r="H561" s="157"/>
      <c r="I561" s="157"/>
      <c r="J561" s="158"/>
      <c r="K561" s="157"/>
      <c r="L561" s="157"/>
      <c r="M561" s="157"/>
      <c r="O561" s="157"/>
      <c r="P561" s="157"/>
      <c r="Q561" s="157"/>
      <c r="R561" s="157"/>
      <c r="S561" s="157"/>
      <c r="T561" s="157"/>
      <c r="U561" s="157"/>
      <c r="V561" s="157"/>
      <c r="W561" s="157"/>
      <c r="X561" s="157"/>
      <c r="Y561" s="157"/>
      <c r="Z561" s="157"/>
      <c r="AA561" s="157"/>
      <c r="AB561" s="157"/>
      <c r="AC561" s="157"/>
      <c r="AD561" s="157"/>
      <c r="AE561" s="157"/>
      <c r="AF561" s="157"/>
      <c r="AG561" s="157"/>
      <c r="AH561" s="157"/>
      <c r="AI561" s="157"/>
      <c r="AJ561" s="157"/>
      <c r="AK561" s="157"/>
      <c r="AL561" s="157"/>
      <c r="AM561" s="157"/>
      <c r="AN561" s="157"/>
      <c r="AO561" s="157"/>
      <c r="AP561" s="157"/>
      <c r="AQ561" s="157"/>
      <c r="AR561" s="157"/>
      <c r="AS561" s="157"/>
      <c r="AT561" s="157"/>
      <c r="AU561" s="157"/>
      <c r="AV561" s="157"/>
      <c r="AW561" s="157"/>
      <c r="AX561" s="157"/>
      <c r="AY561" s="157"/>
      <c r="AZ561" s="157"/>
      <c r="BA561" s="157"/>
    </row>
    <row r="562" spans="2:53" s="156" customFormat="1" ht="15" customHeight="1">
      <c r="B562" s="157"/>
      <c r="C562" s="157"/>
      <c r="D562" s="157"/>
      <c r="E562" s="157"/>
      <c r="F562" s="157"/>
      <c r="G562" s="157"/>
      <c r="H562" s="157"/>
      <c r="I562" s="157"/>
      <c r="J562" s="158"/>
      <c r="K562" s="157"/>
      <c r="L562" s="157"/>
      <c r="M562" s="157"/>
      <c r="O562" s="157"/>
      <c r="P562" s="157"/>
      <c r="Q562" s="157"/>
      <c r="R562" s="157"/>
      <c r="S562" s="157"/>
      <c r="T562" s="157"/>
      <c r="U562" s="157"/>
      <c r="V562" s="157"/>
      <c r="W562" s="157"/>
      <c r="X562" s="157"/>
      <c r="Y562" s="157"/>
      <c r="Z562" s="157"/>
      <c r="AA562" s="157"/>
      <c r="AB562" s="157"/>
      <c r="AC562" s="157"/>
      <c r="AD562" s="157"/>
      <c r="AE562" s="157"/>
      <c r="AF562" s="157"/>
      <c r="AG562" s="157"/>
      <c r="AH562" s="157"/>
      <c r="AI562" s="157"/>
      <c r="AJ562" s="157"/>
      <c r="AK562" s="157"/>
      <c r="AL562" s="157"/>
      <c r="AM562" s="157"/>
      <c r="AN562" s="157"/>
      <c r="AO562" s="157"/>
      <c r="AP562" s="157"/>
      <c r="AQ562" s="157"/>
      <c r="AR562" s="157"/>
      <c r="AS562" s="157"/>
      <c r="AT562" s="157"/>
      <c r="AU562" s="157"/>
      <c r="AV562" s="157"/>
      <c r="AW562" s="157"/>
      <c r="AX562" s="157"/>
      <c r="AY562" s="157"/>
      <c r="AZ562" s="157"/>
      <c r="BA562" s="157"/>
    </row>
    <row r="563" spans="2:53" s="156" customFormat="1" ht="15" customHeight="1">
      <c r="B563" s="157"/>
      <c r="C563" s="157"/>
      <c r="D563" s="157"/>
      <c r="E563" s="157"/>
      <c r="F563" s="157"/>
      <c r="G563" s="157"/>
      <c r="H563" s="157"/>
      <c r="I563" s="157"/>
      <c r="J563" s="158"/>
      <c r="K563" s="157"/>
      <c r="L563" s="157"/>
      <c r="M563" s="157"/>
      <c r="O563" s="157"/>
      <c r="P563" s="157"/>
      <c r="Q563" s="157"/>
      <c r="R563" s="157"/>
      <c r="S563" s="157"/>
      <c r="T563" s="157"/>
      <c r="U563" s="157"/>
      <c r="V563" s="157"/>
      <c r="W563" s="157"/>
      <c r="X563" s="157"/>
      <c r="Y563" s="157"/>
      <c r="Z563" s="157"/>
      <c r="AA563" s="157"/>
      <c r="AB563" s="157"/>
      <c r="AC563" s="157"/>
      <c r="AD563" s="157"/>
      <c r="AE563" s="157"/>
      <c r="AF563" s="157"/>
      <c r="AG563" s="157"/>
      <c r="AH563" s="157"/>
      <c r="AI563" s="157"/>
      <c r="AJ563" s="157"/>
      <c r="AK563" s="157"/>
      <c r="AL563" s="157"/>
      <c r="AM563" s="157"/>
      <c r="AN563" s="157"/>
      <c r="AO563" s="157"/>
      <c r="AP563" s="157"/>
      <c r="AQ563" s="157"/>
      <c r="AR563" s="157"/>
      <c r="AS563" s="157"/>
      <c r="AT563" s="157"/>
      <c r="AU563" s="157"/>
      <c r="AV563" s="157"/>
      <c r="AW563" s="157"/>
      <c r="AX563" s="157"/>
      <c r="AY563" s="157"/>
      <c r="AZ563" s="157"/>
      <c r="BA563" s="157"/>
    </row>
    <row r="564" spans="2:53" s="156" customFormat="1" ht="15" customHeight="1">
      <c r="B564" s="157"/>
      <c r="C564" s="157"/>
      <c r="D564" s="157"/>
      <c r="E564" s="157"/>
      <c r="F564" s="157"/>
      <c r="G564" s="157"/>
      <c r="H564" s="157"/>
      <c r="I564" s="157"/>
      <c r="J564" s="158"/>
      <c r="K564" s="157"/>
      <c r="L564" s="157"/>
      <c r="M564" s="157"/>
      <c r="O564" s="157"/>
      <c r="P564" s="157"/>
      <c r="Q564" s="157"/>
      <c r="R564" s="157"/>
      <c r="S564" s="157"/>
      <c r="T564" s="157"/>
      <c r="U564" s="157"/>
      <c r="V564" s="157"/>
      <c r="W564" s="157"/>
      <c r="X564" s="157"/>
      <c r="Y564" s="157"/>
      <c r="Z564" s="157"/>
      <c r="AA564" s="157"/>
      <c r="AB564" s="157"/>
      <c r="AC564" s="157"/>
      <c r="AD564" s="157"/>
      <c r="AE564" s="157"/>
      <c r="AF564" s="157"/>
      <c r="AG564" s="157"/>
      <c r="AH564" s="157"/>
      <c r="AI564" s="157"/>
      <c r="AJ564" s="157"/>
      <c r="AK564" s="157"/>
      <c r="AL564" s="157"/>
      <c r="AM564" s="157"/>
      <c r="AN564" s="157"/>
      <c r="AO564" s="157"/>
      <c r="AP564" s="157"/>
      <c r="AQ564" s="157"/>
      <c r="AR564" s="157"/>
      <c r="AS564" s="157"/>
      <c r="AT564" s="157"/>
      <c r="AU564" s="157"/>
      <c r="AV564" s="157"/>
      <c r="AW564" s="157"/>
      <c r="AX564" s="157"/>
      <c r="AY564" s="157"/>
      <c r="AZ564" s="157"/>
      <c r="BA564" s="157"/>
    </row>
    <row r="565" spans="2:53" s="156" customFormat="1" ht="15" customHeight="1">
      <c r="B565" s="157"/>
      <c r="C565" s="157"/>
      <c r="D565" s="157"/>
      <c r="E565" s="157"/>
      <c r="F565" s="157"/>
      <c r="G565" s="157"/>
      <c r="H565" s="157"/>
      <c r="I565" s="157"/>
      <c r="J565" s="158"/>
      <c r="K565" s="157"/>
      <c r="L565" s="157"/>
      <c r="M565" s="157"/>
      <c r="O565" s="157"/>
      <c r="P565" s="157"/>
      <c r="Q565" s="157"/>
      <c r="R565" s="157"/>
      <c r="S565" s="157"/>
      <c r="T565" s="157"/>
      <c r="U565" s="157"/>
      <c r="V565" s="157"/>
      <c r="W565" s="157"/>
      <c r="X565" s="157"/>
      <c r="Y565" s="157"/>
      <c r="Z565" s="157"/>
      <c r="AA565" s="157"/>
      <c r="AB565" s="157"/>
      <c r="AC565" s="157"/>
      <c r="AD565" s="157"/>
      <c r="AE565" s="157"/>
      <c r="AF565" s="157"/>
      <c r="AG565" s="157"/>
      <c r="AH565" s="157"/>
      <c r="AI565" s="157"/>
      <c r="AJ565" s="157"/>
      <c r="AK565" s="157"/>
      <c r="AL565" s="157"/>
      <c r="AM565" s="157"/>
      <c r="AN565" s="157"/>
      <c r="AO565" s="157"/>
      <c r="AP565" s="157"/>
      <c r="AQ565" s="157"/>
      <c r="AR565" s="157"/>
      <c r="AS565" s="157"/>
      <c r="AT565" s="157"/>
      <c r="AU565" s="157"/>
      <c r="AV565" s="157"/>
      <c r="AW565" s="157"/>
      <c r="AX565" s="157"/>
      <c r="AY565" s="157"/>
      <c r="AZ565" s="157"/>
      <c r="BA565" s="157"/>
    </row>
    <row r="566" spans="2:53" s="156" customFormat="1" ht="15" customHeight="1">
      <c r="B566" s="157"/>
      <c r="C566" s="157"/>
      <c r="D566" s="157"/>
      <c r="E566" s="157"/>
      <c r="F566" s="157"/>
      <c r="G566" s="157"/>
      <c r="H566" s="157"/>
      <c r="I566" s="157"/>
      <c r="J566" s="158"/>
      <c r="K566" s="157"/>
      <c r="L566" s="157"/>
      <c r="M566" s="157"/>
      <c r="O566" s="157"/>
      <c r="P566" s="157"/>
      <c r="Q566" s="157"/>
      <c r="R566" s="157"/>
      <c r="S566" s="157"/>
      <c r="T566" s="157"/>
      <c r="U566" s="157"/>
      <c r="V566" s="157"/>
      <c r="W566" s="157"/>
      <c r="X566" s="157"/>
      <c r="Y566" s="157"/>
      <c r="Z566" s="157"/>
      <c r="AA566" s="157"/>
      <c r="AB566" s="157"/>
      <c r="AC566" s="157"/>
      <c r="AD566" s="157"/>
      <c r="AE566" s="157"/>
      <c r="AF566" s="157"/>
      <c r="AG566" s="157"/>
      <c r="AH566" s="157"/>
      <c r="AI566" s="157"/>
      <c r="AJ566" s="157"/>
      <c r="AK566" s="157"/>
      <c r="AL566" s="157"/>
      <c r="AM566" s="157"/>
      <c r="AN566" s="157"/>
      <c r="AO566" s="157"/>
      <c r="AP566" s="157"/>
      <c r="AQ566" s="157"/>
      <c r="AR566" s="157"/>
      <c r="AS566" s="157"/>
      <c r="AT566" s="157"/>
      <c r="AU566" s="157"/>
      <c r="AV566" s="157"/>
      <c r="AW566" s="157"/>
      <c r="AX566" s="157"/>
      <c r="AY566" s="157"/>
      <c r="AZ566" s="157"/>
      <c r="BA566" s="157"/>
    </row>
    <row r="567" spans="2:53" s="156" customFormat="1" ht="15" customHeight="1">
      <c r="B567" s="157"/>
      <c r="C567" s="157"/>
      <c r="D567" s="157"/>
      <c r="E567" s="157"/>
      <c r="F567" s="157"/>
      <c r="G567" s="157"/>
      <c r="H567" s="157"/>
      <c r="I567" s="157"/>
      <c r="J567" s="158"/>
      <c r="K567" s="157"/>
      <c r="L567" s="157"/>
      <c r="M567" s="157"/>
      <c r="O567" s="157"/>
      <c r="P567" s="157"/>
      <c r="Q567" s="157"/>
      <c r="R567" s="157"/>
      <c r="S567" s="157"/>
      <c r="T567" s="157"/>
      <c r="U567" s="157"/>
      <c r="V567" s="157"/>
      <c r="W567" s="157"/>
      <c r="X567" s="157"/>
      <c r="Y567" s="157"/>
      <c r="Z567" s="157"/>
      <c r="AA567" s="157"/>
      <c r="AB567" s="157"/>
      <c r="AC567" s="157"/>
      <c r="AD567" s="157"/>
      <c r="AE567" s="157"/>
      <c r="AF567" s="157"/>
      <c r="AG567" s="157"/>
      <c r="AH567" s="157"/>
      <c r="AI567" s="157"/>
      <c r="AJ567" s="157"/>
      <c r="AK567" s="157"/>
      <c r="AL567" s="157"/>
      <c r="AM567" s="157"/>
      <c r="AN567" s="157"/>
      <c r="AO567" s="157"/>
      <c r="AP567" s="157"/>
      <c r="AQ567" s="157"/>
      <c r="AR567" s="157"/>
      <c r="AS567" s="157"/>
      <c r="AT567" s="157"/>
      <c r="AU567" s="157"/>
      <c r="AV567" s="157"/>
      <c r="AW567" s="157"/>
      <c r="AX567" s="157"/>
      <c r="AY567" s="157"/>
      <c r="AZ567" s="157"/>
      <c r="BA567" s="157"/>
    </row>
    <row r="568" spans="2:53" s="156" customFormat="1" ht="15" customHeight="1">
      <c r="B568" s="157"/>
      <c r="C568" s="157"/>
      <c r="D568" s="157"/>
      <c r="E568" s="157"/>
      <c r="F568" s="157"/>
      <c r="G568" s="157"/>
      <c r="H568" s="157"/>
      <c r="I568" s="157"/>
      <c r="J568" s="158"/>
      <c r="K568" s="157"/>
      <c r="L568" s="157"/>
      <c r="M568" s="157"/>
      <c r="O568" s="157"/>
      <c r="P568" s="157"/>
      <c r="Q568" s="157"/>
      <c r="R568" s="157"/>
      <c r="S568" s="157"/>
      <c r="T568" s="157"/>
      <c r="U568" s="157"/>
      <c r="V568" s="157"/>
      <c r="W568" s="157"/>
      <c r="X568" s="157"/>
      <c r="Y568" s="157"/>
      <c r="Z568" s="157"/>
      <c r="AA568" s="157"/>
      <c r="AB568" s="157"/>
      <c r="AC568" s="157"/>
      <c r="AD568" s="157"/>
      <c r="AE568" s="157"/>
      <c r="AF568" s="157"/>
      <c r="AG568" s="157"/>
      <c r="AH568" s="157"/>
      <c r="AI568" s="157"/>
      <c r="AJ568" s="157"/>
      <c r="AK568" s="157"/>
      <c r="AL568" s="157"/>
      <c r="AM568" s="157"/>
      <c r="AN568" s="157"/>
      <c r="AO568" s="157"/>
      <c r="AP568" s="157"/>
      <c r="AQ568" s="157"/>
      <c r="AR568" s="157"/>
      <c r="AS568" s="157"/>
      <c r="AT568" s="157"/>
      <c r="AU568" s="157"/>
      <c r="AV568" s="157"/>
      <c r="AW568" s="157"/>
      <c r="AX568" s="157"/>
      <c r="AY568" s="157"/>
      <c r="AZ568" s="157"/>
      <c r="BA568" s="157"/>
    </row>
    <row r="569" spans="2:53" s="156" customFormat="1" ht="15" customHeight="1">
      <c r="B569" s="157"/>
      <c r="C569" s="157"/>
      <c r="D569" s="157"/>
      <c r="E569" s="157"/>
      <c r="F569" s="157"/>
      <c r="G569" s="157"/>
      <c r="H569" s="157"/>
      <c r="I569" s="157"/>
      <c r="J569" s="158"/>
      <c r="K569" s="157"/>
      <c r="L569" s="157"/>
      <c r="M569" s="157"/>
      <c r="O569" s="157"/>
      <c r="P569" s="157"/>
      <c r="Q569" s="157"/>
      <c r="R569" s="157"/>
      <c r="S569" s="157"/>
      <c r="T569" s="157"/>
      <c r="U569" s="157"/>
      <c r="V569" s="157"/>
      <c r="W569" s="157"/>
      <c r="X569" s="157"/>
      <c r="Y569" s="157"/>
      <c r="Z569" s="157"/>
      <c r="AA569" s="157"/>
      <c r="AB569" s="157"/>
      <c r="AC569" s="157"/>
      <c r="AD569" s="157"/>
      <c r="AE569" s="157"/>
      <c r="AF569" s="157"/>
      <c r="AG569" s="157"/>
      <c r="AH569" s="157"/>
      <c r="AI569" s="157"/>
      <c r="AJ569" s="157"/>
      <c r="AK569" s="157"/>
      <c r="AL569" s="157"/>
      <c r="AM569" s="157"/>
      <c r="AN569" s="157"/>
      <c r="AO569" s="157"/>
      <c r="AP569" s="157"/>
      <c r="AQ569" s="157"/>
      <c r="AR569" s="157"/>
      <c r="AS569" s="157"/>
      <c r="AT569" s="157"/>
      <c r="AU569" s="157"/>
      <c r="AV569" s="157"/>
      <c r="AW569" s="157"/>
      <c r="AX569" s="157"/>
      <c r="AY569" s="157"/>
      <c r="AZ569" s="157"/>
      <c r="BA569" s="157"/>
    </row>
    <row r="570" spans="2:53" s="156" customFormat="1" ht="15" customHeight="1">
      <c r="B570" s="157"/>
      <c r="C570" s="157"/>
      <c r="D570" s="157"/>
      <c r="E570" s="157"/>
      <c r="F570" s="157"/>
      <c r="G570" s="157"/>
      <c r="H570" s="157"/>
      <c r="I570" s="157"/>
      <c r="J570" s="158"/>
      <c r="K570" s="157"/>
      <c r="L570" s="157"/>
      <c r="M570" s="157"/>
      <c r="O570" s="157"/>
      <c r="P570" s="157"/>
      <c r="Q570" s="157"/>
      <c r="R570" s="157"/>
      <c r="S570" s="157"/>
      <c r="T570" s="157"/>
      <c r="U570" s="157"/>
      <c r="V570" s="157"/>
      <c r="W570" s="157"/>
      <c r="X570" s="157"/>
      <c r="Y570" s="157"/>
      <c r="Z570" s="157"/>
      <c r="AA570" s="157"/>
      <c r="AB570" s="157"/>
      <c r="AC570" s="157"/>
      <c r="AD570" s="157"/>
      <c r="AE570" s="157"/>
      <c r="AF570" s="157"/>
      <c r="AG570" s="157"/>
      <c r="AH570" s="157"/>
      <c r="AI570" s="157"/>
      <c r="AJ570" s="157"/>
      <c r="AK570" s="157"/>
      <c r="AL570" s="157"/>
      <c r="AM570" s="157"/>
      <c r="AN570" s="157"/>
      <c r="AO570" s="157"/>
      <c r="AP570" s="157"/>
      <c r="AQ570" s="157"/>
      <c r="AR570" s="157"/>
      <c r="AS570" s="157"/>
      <c r="AT570" s="157"/>
      <c r="AU570" s="157"/>
      <c r="AV570" s="157"/>
      <c r="AW570" s="157"/>
      <c r="AX570" s="157"/>
      <c r="AY570" s="157"/>
      <c r="AZ570" s="157"/>
      <c r="BA570" s="157"/>
    </row>
    <row r="571" spans="2:53" s="156" customFormat="1" ht="15" customHeight="1">
      <c r="B571" s="157"/>
      <c r="C571" s="157"/>
      <c r="D571" s="157"/>
      <c r="E571" s="157"/>
      <c r="F571" s="157"/>
      <c r="G571" s="157"/>
      <c r="H571" s="157"/>
      <c r="I571" s="157"/>
      <c r="J571" s="158"/>
      <c r="K571" s="157"/>
      <c r="L571" s="157"/>
      <c r="M571" s="157"/>
      <c r="O571" s="157"/>
      <c r="P571" s="157"/>
      <c r="Q571" s="157"/>
      <c r="R571" s="157"/>
      <c r="S571" s="157"/>
      <c r="T571" s="157"/>
      <c r="U571" s="157"/>
      <c r="V571" s="157"/>
      <c r="W571" s="157"/>
      <c r="X571" s="157"/>
      <c r="Y571" s="157"/>
      <c r="Z571" s="157"/>
      <c r="AA571" s="157"/>
      <c r="AB571" s="157"/>
      <c r="AC571" s="157"/>
      <c r="AD571" s="157"/>
      <c r="AE571" s="157"/>
      <c r="AF571" s="157"/>
      <c r="AG571" s="157"/>
      <c r="AH571" s="157"/>
      <c r="AI571" s="157"/>
      <c r="AJ571" s="157"/>
      <c r="AK571" s="157"/>
      <c r="AL571" s="157"/>
      <c r="AM571" s="157"/>
      <c r="AN571" s="157"/>
      <c r="AO571" s="157"/>
      <c r="AP571" s="157"/>
      <c r="AQ571" s="157"/>
      <c r="AR571" s="157"/>
      <c r="AS571" s="157"/>
      <c r="AT571" s="157"/>
      <c r="AU571" s="157"/>
      <c r="AV571" s="157"/>
      <c r="AW571" s="157"/>
      <c r="AX571" s="157"/>
      <c r="AY571" s="157"/>
      <c r="AZ571" s="157"/>
      <c r="BA571" s="157"/>
    </row>
    <row r="572" spans="2:53" s="156" customFormat="1" ht="15" customHeight="1">
      <c r="B572" s="157"/>
      <c r="C572" s="157"/>
      <c r="D572" s="157"/>
      <c r="E572" s="157"/>
      <c r="F572" s="157"/>
      <c r="G572" s="157"/>
      <c r="H572" s="157"/>
      <c r="I572" s="157"/>
      <c r="J572" s="158"/>
      <c r="K572" s="157"/>
      <c r="L572" s="157"/>
      <c r="M572" s="157"/>
      <c r="O572" s="157"/>
      <c r="P572" s="157"/>
      <c r="Q572" s="157"/>
      <c r="R572" s="157"/>
      <c r="S572" s="157"/>
      <c r="T572" s="157"/>
      <c r="U572" s="157"/>
      <c r="V572" s="157"/>
      <c r="W572" s="157"/>
      <c r="X572" s="157"/>
      <c r="Y572" s="157"/>
      <c r="Z572" s="157"/>
      <c r="AA572" s="157"/>
      <c r="AB572" s="157"/>
      <c r="AC572" s="157"/>
      <c r="AD572" s="157"/>
      <c r="AE572" s="157"/>
      <c r="AF572" s="157"/>
      <c r="AG572" s="157"/>
      <c r="AH572" s="157"/>
      <c r="AI572" s="157"/>
      <c r="AJ572" s="157"/>
      <c r="AK572" s="157"/>
      <c r="AL572" s="157"/>
      <c r="AM572" s="157"/>
      <c r="AN572" s="157"/>
      <c r="AO572" s="157"/>
      <c r="AP572" s="157"/>
      <c r="AQ572" s="157"/>
      <c r="AR572" s="157"/>
      <c r="AS572" s="157"/>
      <c r="AT572" s="157"/>
      <c r="AU572" s="157"/>
      <c r="AV572" s="157"/>
      <c r="AW572" s="157"/>
      <c r="AX572" s="157"/>
      <c r="AY572" s="157"/>
      <c r="AZ572" s="157"/>
      <c r="BA572" s="157"/>
    </row>
    <row r="573" spans="2:53" s="156" customFormat="1" ht="15" customHeight="1">
      <c r="B573" s="157"/>
      <c r="C573" s="157"/>
      <c r="D573" s="157"/>
      <c r="E573" s="157"/>
      <c r="F573" s="157"/>
      <c r="G573" s="157"/>
      <c r="H573" s="157"/>
      <c r="I573" s="157"/>
      <c r="J573" s="158"/>
      <c r="K573" s="157"/>
      <c r="L573" s="157"/>
      <c r="M573" s="157"/>
      <c r="O573" s="157"/>
      <c r="P573" s="157"/>
      <c r="Q573" s="157"/>
      <c r="R573" s="157"/>
      <c r="S573" s="157"/>
      <c r="T573" s="157"/>
      <c r="U573" s="157"/>
      <c r="V573" s="157"/>
      <c r="W573" s="157"/>
      <c r="X573" s="157"/>
      <c r="Y573" s="157"/>
      <c r="Z573" s="157"/>
      <c r="AA573" s="157"/>
      <c r="AB573" s="157"/>
      <c r="AC573" s="157"/>
      <c r="AD573" s="157"/>
      <c r="AE573" s="157"/>
      <c r="AF573" s="157"/>
      <c r="AG573" s="157"/>
      <c r="AH573" s="157"/>
      <c r="AI573" s="157"/>
      <c r="AJ573" s="157"/>
      <c r="AK573" s="157"/>
      <c r="AL573" s="157"/>
      <c r="AM573" s="157"/>
      <c r="AN573" s="157"/>
      <c r="AO573" s="157"/>
      <c r="AP573" s="157"/>
      <c r="AQ573" s="157"/>
      <c r="AR573" s="157"/>
      <c r="AS573" s="157"/>
      <c r="AT573" s="157"/>
      <c r="AU573" s="157"/>
      <c r="AV573" s="157"/>
      <c r="AW573" s="157"/>
      <c r="AX573" s="157"/>
      <c r="AY573" s="157"/>
      <c r="AZ573" s="157"/>
      <c r="BA573" s="157"/>
    </row>
    <row r="574" spans="2:53" s="156" customFormat="1" ht="15" customHeight="1">
      <c r="B574" s="157"/>
      <c r="C574" s="157"/>
      <c r="D574" s="157"/>
      <c r="E574" s="157"/>
      <c r="F574" s="157"/>
      <c r="G574" s="157"/>
      <c r="H574" s="157"/>
      <c r="I574" s="157"/>
      <c r="J574" s="158"/>
      <c r="K574" s="157"/>
      <c r="L574" s="157"/>
      <c r="M574" s="157"/>
      <c r="O574" s="157"/>
      <c r="P574" s="157"/>
      <c r="Q574" s="157"/>
      <c r="R574" s="157"/>
      <c r="S574" s="157"/>
      <c r="T574" s="157"/>
      <c r="U574" s="157"/>
      <c r="V574" s="157"/>
      <c r="W574" s="157"/>
      <c r="X574" s="157"/>
      <c r="Y574" s="157"/>
      <c r="Z574" s="157"/>
      <c r="AA574" s="157"/>
      <c r="AB574" s="157"/>
      <c r="AC574" s="157"/>
      <c r="AD574" s="157"/>
      <c r="AE574" s="157"/>
      <c r="AF574" s="157"/>
      <c r="AG574" s="157"/>
      <c r="AH574" s="157"/>
      <c r="AI574" s="157"/>
      <c r="AJ574" s="157"/>
      <c r="AK574" s="157"/>
      <c r="AL574" s="157"/>
      <c r="AM574" s="157"/>
      <c r="AN574" s="157"/>
      <c r="AO574" s="157"/>
      <c r="AP574" s="157"/>
      <c r="AQ574" s="157"/>
      <c r="AR574" s="157"/>
      <c r="AS574" s="157"/>
      <c r="AT574" s="157"/>
      <c r="AU574" s="157"/>
      <c r="AV574" s="157"/>
      <c r="AW574" s="157"/>
      <c r="AX574" s="157"/>
      <c r="AY574" s="157"/>
      <c r="AZ574" s="157"/>
      <c r="BA574" s="157"/>
    </row>
    <row r="575" spans="2:53" s="156" customFormat="1" ht="15" customHeight="1">
      <c r="B575" s="157"/>
      <c r="C575" s="157"/>
      <c r="D575" s="157"/>
      <c r="E575" s="157"/>
      <c r="F575" s="157"/>
      <c r="G575" s="157"/>
      <c r="H575" s="157"/>
      <c r="I575" s="157"/>
      <c r="J575" s="158"/>
      <c r="K575" s="157"/>
      <c r="L575" s="157"/>
      <c r="M575" s="157"/>
      <c r="O575" s="157"/>
      <c r="P575" s="157"/>
      <c r="Q575" s="157"/>
      <c r="R575" s="157"/>
      <c r="S575" s="157"/>
      <c r="T575" s="157"/>
      <c r="U575" s="157"/>
      <c r="V575" s="157"/>
      <c r="W575" s="157"/>
      <c r="X575" s="157"/>
      <c r="Y575" s="157"/>
      <c r="Z575" s="157"/>
      <c r="AA575" s="157"/>
      <c r="AB575" s="157"/>
      <c r="AC575" s="157"/>
      <c r="AD575" s="157"/>
      <c r="AE575" s="157"/>
      <c r="AF575" s="157"/>
      <c r="AG575" s="157"/>
      <c r="AH575" s="157"/>
      <c r="AI575" s="157"/>
      <c r="AJ575" s="157"/>
      <c r="AK575" s="157"/>
      <c r="AL575" s="157"/>
      <c r="AM575" s="157"/>
      <c r="AN575" s="157"/>
      <c r="AO575" s="157"/>
      <c r="AP575" s="157"/>
      <c r="AQ575" s="157"/>
      <c r="AR575" s="157"/>
      <c r="AS575" s="157"/>
      <c r="AT575" s="157"/>
      <c r="AU575" s="157"/>
      <c r="AV575" s="157"/>
      <c r="AW575" s="157"/>
      <c r="AX575" s="157"/>
      <c r="AY575" s="157"/>
      <c r="AZ575" s="157"/>
      <c r="BA575" s="157"/>
    </row>
    <row r="576" spans="2:53" s="156" customFormat="1" ht="15" customHeight="1">
      <c r="B576" s="157"/>
      <c r="C576" s="157"/>
      <c r="D576" s="157"/>
      <c r="E576" s="157"/>
      <c r="F576" s="157"/>
      <c r="G576" s="157"/>
      <c r="H576" s="157"/>
      <c r="I576" s="157"/>
      <c r="J576" s="158"/>
      <c r="K576" s="157"/>
      <c r="L576" s="157"/>
      <c r="M576" s="157"/>
      <c r="O576" s="157"/>
      <c r="P576" s="157"/>
      <c r="Q576" s="157"/>
      <c r="R576" s="157"/>
      <c r="S576" s="157"/>
      <c r="T576" s="157"/>
      <c r="U576" s="157"/>
      <c r="V576" s="157"/>
      <c r="W576" s="157"/>
      <c r="X576" s="157"/>
      <c r="Y576" s="157"/>
      <c r="Z576" s="157"/>
      <c r="AA576" s="157"/>
      <c r="AB576" s="157"/>
      <c r="AC576" s="157"/>
      <c r="AD576" s="157"/>
      <c r="AE576" s="157"/>
      <c r="AF576" s="157"/>
      <c r="AG576" s="157"/>
      <c r="AH576" s="157"/>
      <c r="AI576" s="157"/>
      <c r="AJ576" s="157"/>
      <c r="AK576" s="157"/>
      <c r="AL576" s="157"/>
      <c r="AM576" s="157"/>
      <c r="AN576" s="157"/>
      <c r="AO576" s="157"/>
      <c r="AP576" s="157"/>
      <c r="AQ576" s="157"/>
      <c r="AR576" s="157"/>
      <c r="AS576" s="157"/>
      <c r="AT576" s="157"/>
      <c r="AU576" s="157"/>
      <c r="AV576" s="157"/>
      <c r="AW576" s="157"/>
      <c r="AX576" s="157"/>
      <c r="AY576" s="157"/>
      <c r="AZ576" s="157"/>
      <c r="BA576" s="157"/>
    </row>
    <row r="577" spans="2:53" s="156" customFormat="1" ht="15" customHeight="1">
      <c r="B577" s="157"/>
      <c r="C577" s="157"/>
      <c r="D577" s="157"/>
      <c r="E577" s="157"/>
      <c r="F577" s="157"/>
      <c r="G577" s="157"/>
      <c r="H577" s="157"/>
      <c r="I577" s="157"/>
      <c r="J577" s="158"/>
      <c r="K577" s="157"/>
      <c r="L577" s="157"/>
      <c r="M577" s="157"/>
      <c r="O577" s="157"/>
      <c r="P577" s="157"/>
      <c r="Q577" s="157"/>
      <c r="R577" s="157"/>
      <c r="S577" s="157"/>
      <c r="T577" s="157"/>
      <c r="U577" s="157"/>
      <c r="V577" s="157"/>
      <c r="W577" s="157"/>
      <c r="X577" s="157"/>
      <c r="Y577" s="157"/>
      <c r="Z577" s="157"/>
      <c r="AA577" s="157"/>
      <c r="AB577" s="157"/>
      <c r="AC577" s="157"/>
      <c r="AD577" s="157"/>
      <c r="AE577" s="157"/>
      <c r="AF577" s="157"/>
      <c r="AG577" s="157"/>
      <c r="AH577" s="157"/>
      <c r="AI577" s="157"/>
      <c r="AJ577" s="157"/>
      <c r="AK577" s="157"/>
      <c r="AL577" s="157"/>
      <c r="AM577" s="157"/>
      <c r="AN577" s="157"/>
      <c r="AO577" s="157"/>
      <c r="AP577" s="157"/>
      <c r="AQ577" s="157"/>
      <c r="AR577" s="157"/>
      <c r="AS577" s="157"/>
      <c r="AT577" s="157"/>
      <c r="AU577" s="157"/>
      <c r="AV577" s="157"/>
      <c r="AW577" s="157"/>
      <c r="AX577" s="157"/>
      <c r="AY577" s="157"/>
      <c r="AZ577" s="157"/>
      <c r="BA577" s="157"/>
    </row>
    <row r="578" spans="2:53" s="156" customFormat="1" ht="15" customHeight="1">
      <c r="B578" s="157"/>
      <c r="C578" s="157"/>
      <c r="D578" s="157"/>
      <c r="E578" s="157"/>
      <c r="F578" s="157"/>
      <c r="G578" s="157"/>
      <c r="H578" s="157"/>
      <c r="I578" s="157"/>
      <c r="J578" s="158"/>
      <c r="K578" s="157"/>
      <c r="L578" s="157"/>
      <c r="M578" s="157"/>
      <c r="O578" s="157"/>
      <c r="P578" s="157"/>
      <c r="Q578" s="157"/>
      <c r="R578" s="157"/>
      <c r="S578" s="157"/>
      <c r="T578" s="157"/>
      <c r="U578" s="157"/>
      <c r="V578" s="157"/>
      <c r="W578" s="157"/>
      <c r="X578" s="157"/>
      <c r="Y578" s="157"/>
      <c r="Z578" s="157"/>
      <c r="AA578" s="157"/>
      <c r="AB578" s="157"/>
      <c r="AC578" s="157"/>
      <c r="AD578" s="157"/>
      <c r="AE578" s="157"/>
      <c r="AF578" s="157"/>
      <c r="AG578" s="157"/>
      <c r="AH578" s="157"/>
      <c r="AI578" s="157"/>
      <c r="AJ578" s="157"/>
      <c r="AK578" s="157"/>
      <c r="AL578" s="157"/>
      <c r="AM578" s="157"/>
      <c r="AN578" s="157"/>
      <c r="AO578" s="157"/>
      <c r="AP578" s="157"/>
      <c r="AQ578" s="157"/>
      <c r="AR578" s="157"/>
      <c r="AS578" s="157"/>
      <c r="AT578" s="157"/>
      <c r="AU578" s="157"/>
      <c r="AV578" s="157"/>
      <c r="AW578" s="157"/>
      <c r="AX578" s="157"/>
      <c r="AY578" s="157"/>
      <c r="AZ578" s="157"/>
      <c r="BA578" s="157"/>
    </row>
    <row r="579" spans="2:53" s="156" customFormat="1" ht="15" customHeight="1">
      <c r="B579" s="157"/>
      <c r="C579" s="157"/>
      <c r="D579" s="157"/>
      <c r="E579" s="157"/>
      <c r="F579" s="157"/>
      <c r="G579" s="157"/>
      <c r="H579" s="157"/>
      <c r="I579" s="157"/>
      <c r="J579" s="158"/>
      <c r="K579" s="157"/>
      <c r="L579" s="157"/>
      <c r="M579" s="157"/>
      <c r="O579" s="157"/>
      <c r="P579" s="157"/>
      <c r="Q579" s="157"/>
      <c r="R579" s="157"/>
      <c r="S579" s="157"/>
      <c r="T579" s="157"/>
      <c r="U579" s="157"/>
      <c r="V579" s="157"/>
      <c r="W579" s="157"/>
      <c r="X579" s="157"/>
      <c r="Y579" s="157"/>
      <c r="Z579" s="157"/>
      <c r="AA579" s="157"/>
      <c r="AB579" s="157"/>
      <c r="AC579" s="157"/>
      <c r="AD579" s="157"/>
      <c r="AE579" s="157"/>
      <c r="AF579" s="157"/>
      <c r="AG579" s="157"/>
      <c r="AH579" s="157"/>
      <c r="AI579" s="157"/>
      <c r="AJ579" s="157"/>
      <c r="AK579" s="157"/>
      <c r="AL579" s="157"/>
      <c r="AM579" s="157"/>
      <c r="AN579" s="157"/>
      <c r="AO579" s="157"/>
      <c r="AP579" s="157"/>
      <c r="AQ579" s="157"/>
      <c r="AR579" s="157"/>
      <c r="AS579" s="157"/>
      <c r="AT579" s="157"/>
      <c r="AU579" s="157"/>
      <c r="AV579" s="157"/>
      <c r="AW579" s="157"/>
      <c r="AX579" s="157"/>
      <c r="AY579" s="157"/>
      <c r="AZ579" s="157"/>
      <c r="BA579" s="157"/>
    </row>
    <row r="580" spans="2:53" s="156" customFormat="1" ht="15" customHeight="1">
      <c r="B580" s="157"/>
      <c r="C580" s="157"/>
      <c r="D580" s="157"/>
      <c r="E580" s="157"/>
      <c r="F580" s="157"/>
      <c r="G580" s="157"/>
      <c r="H580" s="157"/>
      <c r="I580" s="157"/>
      <c r="J580" s="158"/>
      <c r="K580" s="157"/>
      <c r="L580" s="157"/>
      <c r="M580" s="157"/>
      <c r="O580" s="157"/>
      <c r="P580" s="157"/>
      <c r="Q580" s="157"/>
      <c r="R580" s="157"/>
      <c r="S580" s="157"/>
      <c r="T580" s="157"/>
      <c r="U580" s="157"/>
      <c r="V580" s="157"/>
      <c r="W580" s="157"/>
      <c r="X580" s="157"/>
      <c r="Y580" s="157"/>
      <c r="Z580" s="157"/>
      <c r="AA580" s="157"/>
      <c r="AB580" s="157"/>
      <c r="AC580" s="157"/>
      <c r="AD580" s="157"/>
      <c r="AE580" s="157"/>
      <c r="AF580" s="157"/>
      <c r="AG580" s="157"/>
      <c r="AH580" s="157"/>
      <c r="AI580" s="157"/>
      <c r="AJ580" s="157"/>
      <c r="AK580" s="157"/>
      <c r="AL580" s="157"/>
      <c r="AM580" s="157"/>
      <c r="AN580" s="157"/>
      <c r="AO580" s="157"/>
      <c r="AP580" s="157"/>
      <c r="AQ580" s="157"/>
      <c r="AR580" s="157"/>
      <c r="AS580" s="157"/>
      <c r="AT580" s="157"/>
      <c r="AU580" s="157"/>
      <c r="AV580" s="157"/>
      <c r="AW580" s="157"/>
      <c r="AX580" s="157"/>
      <c r="AY580" s="157"/>
      <c r="AZ580" s="157"/>
      <c r="BA580" s="157"/>
    </row>
    <row r="581" spans="2:53" s="156" customFormat="1" ht="15" customHeight="1">
      <c r="B581" s="157"/>
      <c r="C581" s="157"/>
      <c r="D581" s="157"/>
      <c r="E581" s="157"/>
      <c r="F581" s="157"/>
      <c r="G581" s="157"/>
      <c r="H581" s="157"/>
      <c r="I581" s="157"/>
      <c r="J581" s="158"/>
      <c r="K581" s="157"/>
      <c r="L581" s="157"/>
      <c r="M581" s="157"/>
      <c r="O581" s="157"/>
      <c r="P581" s="157"/>
      <c r="Q581" s="157"/>
      <c r="R581" s="157"/>
      <c r="S581" s="157"/>
      <c r="T581" s="157"/>
      <c r="U581" s="157"/>
      <c r="V581" s="157"/>
      <c r="W581" s="157"/>
      <c r="X581" s="157"/>
      <c r="Y581" s="157"/>
      <c r="Z581" s="157"/>
      <c r="AA581" s="157"/>
      <c r="AB581" s="157"/>
      <c r="AC581" s="157"/>
      <c r="AD581" s="157"/>
      <c r="AE581" s="157"/>
      <c r="AF581" s="157"/>
      <c r="AG581" s="157"/>
      <c r="AH581" s="157"/>
      <c r="AI581" s="157"/>
      <c r="AJ581" s="157"/>
      <c r="AK581" s="157"/>
      <c r="AL581" s="157"/>
      <c r="AM581" s="157"/>
      <c r="AN581" s="157"/>
      <c r="AO581" s="157"/>
      <c r="AP581" s="157"/>
      <c r="AQ581" s="157"/>
      <c r="AR581" s="157"/>
      <c r="AS581" s="157"/>
      <c r="AT581" s="157"/>
      <c r="AU581" s="157"/>
      <c r="AV581" s="157"/>
      <c r="AW581" s="157"/>
      <c r="AX581" s="157"/>
      <c r="AY581" s="157"/>
      <c r="AZ581" s="157"/>
      <c r="BA581" s="157"/>
    </row>
    <row r="582" spans="2:53" s="156" customFormat="1" ht="15" customHeight="1">
      <c r="B582" s="157"/>
      <c r="C582" s="157"/>
      <c r="D582" s="157"/>
      <c r="E582" s="157"/>
      <c r="F582" s="157"/>
      <c r="G582" s="157"/>
      <c r="H582" s="157"/>
      <c r="I582" s="157"/>
      <c r="J582" s="158"/>
      <c r="K582" s="157"/>
      <c r="L582" s="157"/>
      <c r="M582" s="157"/>
      <c r="O582" s="157"/>
      <c r="P582" s="157"/>
      <c r="Q582" s="157"/>
      <c r="R582" s="157"/>
      <c r="S582" s="157"/>
      <c r="T582" s="157"/>
      <c r="U582" s="157"/>
      <c r="V582" s="157"/>
      <c r="W582" s="157"/>
      <c r="X582" s="157"/>
      <c r="Y582" s="157"/>
      <c r="Z582" s="157"/>
      <c r="AA582" s="157"/>
      <c r="AB582" s="157"/>
      <c r="AC582" s="157"/>
      <c r="AD582" s="157"/>
      <c r="AE582" s="157"/>
      <c r="AF582" s="157"/>
      <c r="AG582" s="157"/>
      <c r="AH582" s="157"/>
      <c r="AI582" s="157"/>
      <c r="AJ582" s="157"/>
      <c r="AK582" s="157"/>
      <c r="AL582" s="157"/>
      <c r="AM582" s="157"/>
      <c r="AN582" s="157"/>
      <c r="AO582" s="157"/>
      <c r="AP582" s="157"/>
      <c r="AQ582" s="157"/>
      <c r="AR582" s="157"/>
      <c r="AS582" s="157"/>
      <c r="AT582" s="157"/>
      <c r="AU582" s="157"/>
      <c r="AV582" s="157"/>
      <c r="AW582" s="157"/>
      <c r="AX582" s="157"/>
      <c r="AY582" s="157"/>
      <c r="AZ582" s="157"/>
      <c r="BA582" s="157"/>
    </row>
    <row r="583" spans="2:53" s="156" customFormat="1" ht="15" customHeight="1">
      <c r="B583" s="157"/>
      <c r="C583" s="157"/>
      <c r="D583" s="157"/>
      <c r="E583" s="157"/>
      <c r="F583" s="157"/>
      <c r="G583" s="157"/>
      <c r="H583" s="157"/>
      <c r="I583" s="157"/>
      <c r="J583" s="158"/>
      <c r="K583" s="157"/>
      <c r="L583" s="157"/>
      <c r="M583" s="157"/>
      <c r="O583" s="157"/>
      <c r="P583" s="157"/>
      <c r="Q583" s="157"/>
      <c r="R583" s="157"/>
      <c r="S583" s="157"/>
      <c r="T583" s="157"/>
      <c r="U583" s="157"/>
      <c r="V583" s="157"/>
      <c r="W583" s="157"/>
      <c r="X583" s="157"/>
      <c r="Y583" s="157"/>
      <c r="Z583" s="157"/>
      <c r="AA583" s="157"/>
      <c r="AB583" s="157"/>
      <c r="AC583" s="157"/>
      <c r="AD583" s="157"/>
      <c r="AE583" s="157"/>
      <c r="AF583" s="157"/>
      <c r="AG583" s="157"/>
      <c r="AH583" s="157"/>
      <c r="AI583" s="157"/>
      <c r="AJ583" s="157"/>
      <c r="AK583" s="157"/>
      <c r="AL583" s="157"/>
      <c r="AM583" s="157"/>
      <c r="AN583" s="157"/>
      <c r="AO583" s="157"/>
      <c r="AP583" s="157"/>
      <c r="AQ583" s="157"/>
      <c r="AR583" s="157"/>
      <c r="AS583" s="157"/>
      <c r="AT583" s="157"/>
      <c r="AU583" s="157"/>
      <c r="AV583" s="157"/>
      <c r="AW583" s="157"/>
      <c r="AX583" s="157"/>
      <c r="AY583" s="157"/>
      <c r="AZ583" s="157"/>
      <c r="BA583" s="157"/>
    </row>
    <row r="584" spans="2:53" s="156" customFormat="1" ht="15" customHeight="1">
      <c r="B584" s="157"/>
      <c r="C584" s="157"/>
      <c r="D584" s="157"/>
      <c r="E584" s="157"/>
      <c r="F584" s="157"/>
      <c r="G584" s="157"/>
      <c r="H584" s="157"/>
      <c r="I584" s="157"/>
      <c r="J584" s="158"/>
      <c r="K584" s="157"/>
      <c r="L584" s="157"/>
      <c r="M584" s="157"/>
      <c r="O584" s="157"/>
      <c r="P584" s="157"/>
      <c r="Q584" s="157"/>
      <c r="R584" s="157"/>
      <c r="S584" s="157"/>
      <c r="T584" s="157"/>
      <c r="U584" s="157"/>
      <c r="V584" s="157"/>
      <c r="W584" s="157"/>
      <c r="X584" s="157"/>
      <c r="Y584" s="157"/>
      <c r="Z584" s="157"/>
      <c r="AA584" s="157"/>
      <c r="AB584" s="157"/>
      <c r="AC584" s="157"/>
      <c r="AD584" s="157"/>
      <c r="AE584" s="157"/>
      <c r="AF584" s="157"/>
      <c r="AG584" s="157"/>
      <c r="AH584" s="157"/>
      <c r="AI584" s="157"/>
      <c r="AJ584" s="157"/>
      <c r="AK584" s="157"/>
      <c r="AL584" s="157"/>
      <c r="AM584" s="157"/>
      <c r="AN584" s="157"/>
      <c r="AO584" s="157"/>
      <c r="AP584" s="157"/>
      <c r="AQ584" s="157"/>
      <c r="AR584" s="157"/>
      <c r="AS584" s="157"/>
      <c r="AT584" s="157"/>
      <c r="AU584" s="157"/>
      <c r="AV584" s="157"/>
      <c r="AW584" s="157"/>
      <c r="AX584" s="157"/>
      <c r="AY584" s="157"/>
      <c r="AZ584" s="157"/>
      <c r="BA584" s="157"/>
    </row>
    <row r="585" spans="2:53" s="156" customFormat="1" ht="15" customHeight="1">
      <c r="B585" s="157"/>
      <c r="C585" s="157"/>
      <c r="D585" s="157"/>
      <c r="E585" s="157"/>
      <c r="F585" s="157"/>
      <c r="G585" s="157"/>
      <c r="H585" s="157"/>
      <c r="I585" s="157"/>
      <c r="J585" s="158"/>
      <c r="K585" s="157"/>
      <c r="L585" s="157"/>
      <c r="M585" s="157"/>
      <c r="O585" s="157"/>
      <c r="P585" s="157"/>
      <c r="Q585" s="157"/>
      <c r="R585" s="157"/>
      <c r="S585" s="157"/>
      <c r="T585" s="157"/>
      <c r="U585" s="157"/>
      <c r="V585" s="157"/>
      <c r="W585" s="157"/>
      <c r="X585" s="157"/>
      <c r="Y585" s="157"/>
      <c r="Z585" s="157"/>
      <c r="AA585" s="157"/>
      <c r="AB585" s="157"/>
      <c r="AC585" s="157"/>
      <c r="AD585" s="157"/>
      <c r="AE585" s="157"/>
      <c r="AF585" s="157"/>
      <c r="AG585" s="157"/>
      <c r="AH585" s="157"/>
      <c r="AI585" s="157"/>
      <c r="AJ585" s="157"/>
      <c r="AK585" s="157"/>
      <c r="AL585" s="157"/>
      <c r="AM585" s="157"/>
      <c r="AN585" s="157"/>
      <c r="AO585" s="157"/>
      <c r="AP585" s="157"/>
      <c r="AQ585" s="157"/>
      <c r="AR585" s="157"/>
      <c r="AS585" s="157"/>
      <c r="AT585" s="157"/>
      <c r="AU585" s="157"/>
      <c r="AV585" s="157"/>
      <c r="AW585" s="157"/>
      <c r="AX585" s="157"/>
      <c r="AY585" s="157"/>
      <c r="AZ585" s="157"/>
      <c r="BA585" s="157"/>
    </row>
    <row r="586" spans="2:53" s="156" customFormat="1" ht="15" customHeight="1">
      <c r="B586" s="157"/>
      <c r="C586" s="157"/>
      <c r="D586" s="157"/>
      <c r="E586" s="157"/>
      <c r="F586" s="157"/>
      <c r="G586" s="157"/>
      <c r="H586" s="157"/>
      <c r="I586" s="157"/>
      <c r="J586" s="158"/>
      <c r="K586" s="157"/>
      <c r="L586" s="157"/>
      <c r="M586" s="157"/>
      <c r="O586" s="157"/>
      <c r="P586" s="157"/>
      <c r="Q586" s="157"/>
      <c r="R586" s="157"/>
      <c r="S586" s="157"/>
      <c r="T586" s="157"/>
      <c r="U586" s="157"/>
      <c r="V586" s="157"/>
      <c r="W586" s="157"/>
      <c r="X586" s="157"/>
      <c r="Y586" s="157"/>
      <c r="Z586" s="157"/>
      <c r="AA586" s="157"/>
      <c r="AB586" s="157"/>
      <c r="AC586" s="157"/>
      <c r="AD586" s="157"/>
      <c r="AE586" s="157"/>
      <c r="AF586" s="157"/>
      <c r="AG586" s="157"/>
      <c r="AH586" s="157"/>
      <c r="AI586" s="157"/>
      <c r="AJ586" s="157"/>
      <c r="AK586" s="157"/>
      <c r="AL586" s="157"/>
      <c r="AM586" s="157"/>
      <c r="AN586" s="157"/>
      <c r="AO586" s="157"/>
      <c r="AP586" s="157"/>
      <c r="AQ586" s="157"/>
      <c r="AR586" s="157"/>
      <c r="AS586" s="157"/>
      <c r="AT586" s="157"/>
      <c r="AU586" s="157"/>
      <c r="AV586" s="157"/>
      <c r="AW586" s="157"/>
      <c r="AX586" s="157"/>
      <c r="AY586" s="157"/>
      <c r="AZ586" s="157"/>
      <c r="BA586" s="157"/>
    </row>
    <row r="587" spans="2:53" s="156" customFormat="1" ht="15" customHeight="1">
      <c r="B587" s="157"/>
      <c r="C587" s="157"/>
      <c r="D587" s="157"/>
      <c r="E587" s="157"/>
      <c r="F587" s="157"/>
      <c r="G587" s="157"/>
      <c r="H587" s="157"/>
      <c r="I587" s="157"/>
      <c r="J587" s="158"/>
      <c r="K587" s="157"/>
      <c r="L587" s="157"/>
      <c r="M587" s="157"/>
      <c r="O587" s="157"/>
      <c r="P587" s="157"/>
      <c r="Q587" s="157"/>
      <c r="R587" s="157"/>
      <c r="S587" s="157"/>
      <c r="T587" s="157"/>
      <c r="U587" s="157"/>
      <c r="V587" s="157"/>
      <c r="W587" s="157"/>
      <c r="X587" s="157"/>
      <c r="Y587" s="157"/>
      <c r="Z587" s="157"/>
      <c r="AA587" s="157"/>
      <c r="AB587" s="157"/>
      <c r="AC587" s="157"/>
      <c r="AD587" s="157"/>
      <c r="AE587" s="157"/>
      <c r="AF587" s="157"/>
      <c r="AG587" s="157"/>
      <c r="AH587" s="157"/>
      <c r="AI587" s="157"/>
      <c r="AJ587" s="157"/>
      <c r="AK587" s="157"/>
      <c r="AL587" s="157"/>
      <c r="AM587" s="157"/>
      <c r="AN587" s="157"/>
      <c r="AO587" s="157"/>
      <c r="AP587" s="157"/>
      <c r="AQ587" s="157"/>
      <c r="AR587" s="157"/>
      <c r="AS587" s="157"/>
      <c r="AT587" s="157"/>
      <c r="AU587" s="157"/>
      <c r="AV587" s="157"/>
      <c r="AW587" s="157"/>
      <c r="AX587" s="157"/>
      <c r="AY587" s="157"/>
      <c r="AZ587" s="157"/>
      <c r="BA587" s="157"/>
    </row>
    <row r="588" spans="2:53" s="156" customFormat="1" ht="15" customHeight="1">
      <c r="B588" s="157"/>
      <c r="C588" s="157"/>
      <c r="D588" s="157"/>
      <c r="E588" s="157"/>
      <c r="F588" s="157"/>
      <c r="G588" s="157"/>
      <c r="H588" s="157"/>
      <c r="I588" s="157"/>
      <c r="J588" s="158"/>
      <c r="K588" s="157"/>
      <c r="L588" s="157"/>
      <c r="M588" s="157"/>
      <c r="O588" s="157"/>
      <c r="P588" s="157"/>
      <c r="Q588" s="157"/>
      <c r="R588" s="157"/>
      <c r="S588" s="157"/>
      <c r="T588" s="157"/>
      <c r="U588" s="157"/>
      <c r="V588" s="157"/>
      <c r="W588" s="157"/>
      <c r="X588" s="157"/>
      <c r="Y588" s="157"/>
      <c r="Z588" s="157"/>
      <c r="AA588" s="157"/>
      <c r="AB588" s="157"/>
      <c r="AC588" s="157"/>
      <c r="AD588" s="157"/>
      <c r="AE588" s="157"/>
      <c r="AF588" s="157"/>
      <c r="AG588" s="157"/>
      <c r="AH588" s="157"/>
      <c r="AI588" s="157"/>
      <c r="AJ588" s="157"/>
      <c r="AK588" s="157"/>
      <c r="AL588" s="157"/>
      <c r="AM588" s="157"/>
      <c r="AN588" s="157"/>
      <c r="AO588" s="157"/>
      <c r="AP588" s="157"/>
      <c r="AQ588" s="157"/>
      <c r="AR588" s="157"/>
      <c r="AS588" s="157"/>
      <c r="AT588" s="157"/>
      <c r="AU588" s="157"/>
      <c r="AV588" s="157"/>
      <c r="AW588" s="157"/>
      <c r="AX588" s="157"/>
      <c r="AY588" s="157"/>
      <c r="AZ588" s="157"/>
      <c r="BA588" s="157"/>
    </row>
    <row r="589" spans="2:53" s="156" customFormat="1" ht="15" customHeight="1">
      <c r="B589" s="157"/>
      <c r="C589" s="157"/>
      <c r="D589" s="157"/>
      <c r="E589" s="157"/>
      <c r="F589" s="157"/>
      <c r="G589" s="157"/>
      <c r="H589" s="157"/>
      <c r="I589" s="157"/>
      <c r="J589" s="158"/>
      <c r="K589" s="157"/>
      <c r="L589" s="157"/>
      <c r="M589" s="157"/>
      <c r="O589" s="157"/>
      <c r="P589" s="157"/>
      <c r="Q589" s="157"/>
      <c r="R589" s="157"/>
      <c r="S589" s="157"/>
      <c r="T589" s="157"/>
      <c r="U589" s="157"/>
      <c r="V589" s="157"/>
      <c r="W589" s="157"/>
      <c r="X589" s="157"/>
      <c r="Y589" s="157"/>
      <c r="Z589" s="157"/>
      <c r="AA589" s="157"/>
      <c r="AB589" s="157"/>
      <c r="AC589" s="157"/>
      <c r="AD589" s="157"/>
      <c r="AE589" s="157"/>
      <c r="AF589" s="157"/>
      <c r="AG589" s="157"/>
      <c r="AH589" s="157"/>
      <c r="AI589" s="157"/>
      <c r="AJ589" s="157"/>
      <c r="AK589" s="157"/>
      <c r="AL589" s="157"/>
      <c r="AM589" s="157"/>
      <c r="AN589" s="157"/>
      <c r="AO589" s="157"/>
      <c r="AP589" s="157"/>
      <c r="AQ589" s="157"/>
      <c r="AR589" s="157"/>
      <c r="AS589" s="157"/>
      <c r="AT589" s="157"/>
      <c r="AU589" s="157"/>
      <c r="AV589" s="157"/>
      <c r="AW589" s="157"/>
      <c r="AX589" s="157"/>
      <c r="AY589" s="157"/>
      <c r="AZ589" s="157"/>
      <c r="BA589" s="157"/>
    </row>
    <row r="590" spans="2:53" s="156" customFormat="1" ht="15" customHeight="1">
      <c r="B590" s="157"/>
      <c r="C590" s="157"/>
      <c r="D590" s="157"/>
      <c r="E590" s="157"/>
      <c r="F590" s="157"/>
      <c r="G590" s="157"/>
      <c r="H590" s="157"/>
      <c r="I590" s="157"/>
      <c r="J590" s="158"/>
      <c r="K590" s="157"/>
      <c r="L590" s="157"/>
      <c r="M590" s="157"/>
      <c r="O590" s="157"/>
      <c r="P590" s="157"/>
      <c r="Q590" s="157"/>
      <c r="R590" s="157"/>
      <c r="S590" s="157"/>
      <c r="T590" s="157"/>
      <c r="U590" s="157"/>
      <c r="V590" s="157"/>
      <c r="W590" s="157"/>
      <c r="X590" s="157"/>
      <c r="Y590" s="157"/>
      <c r="Z590" s="157"/>
      <c r="AA590" s="157"/>
      <c r="AB590" s="157"/>
      <c r="AC590" s="157"/>
      <c r="AD590" s="157"/>
      <c r="AE590" s="157"/>
      <c r="AF590" s="157"/>
      <c r="AG590" s="157"/>
      <c r="AH590" s="157"/>
      <c r="AI590" s="157"/>
      <c r="AJ590" s="157"/>
      <c r="AK590" s="157"/>
      <c r="AL590" s="157"/>
      <c r="AM590" s="157"/>
      <c r="AN590" s="157"/>
      <c r="AO590" s="157"/>
      <c r="AP590" s="157"/>
      <c r="AQ590" s="157"/>
      <c r="AR590" s="157"/>
      <c r="AS590" s="157"/>
      <c r="AT590" s="157"/>
      <c r="AU590" s="157"/>
      <c r="AV590" s="157"/>
      <c r="AW590" s="157"/>
      <c r="AX590" s="157"/>
      <c r="AY590" s="157"/>
      <c r="AZ590" s="157"/>
      <c r="BA590" s="157"/>
    </row>
    <row r="591" spans="2:53" s="156" customFormat="1" ht="15" customHeight="1">
      <c r="B591" s="157"/>
      <c r="C591" s="157"/>
      <c r="D591" s="157"/>
      <c r="E591" s="157"/>
      <c r="F591" s="157"/>
      <c r="G591" s="157"/>
      <c r="H591" s="157"/>
      <c r="I591" s="157"/>
      <c r="J591" s="158"/>
      <c r="K591" s="157"/>
      <c r="L591" s="157"/>
      <c r="M591" s="157"/>
      <c r="O591" s="157"/>
      <c r="P591" s="157"/>
      <c r="Q591" s="157"/>
      <c r="R591" s="157"/>
      <c r="S591" s="157"/>
      <c r="T591" s="157"/>
      <c r="U591" s="157"/>
      <c r="V591" s="157"/>
      <c r="W591" s="157"/>
      <c r="X591" s="157"/>
      <c r="Y591" s="157"/>
      <c r="Z591" s="157"/>
      <c r="AA591" s="157"/>
      <c r="AB591" s="157"/>
      <c r="AC591" s="157"/>
      <c r="AD591" s="157"/>
      <c r="AE591" s="157"/>
      <c r="AF591" s="157"/>
      <c r="AG591" s="157"/>
      <c r="AH591" s="157"/>
      <c r="AI591" s="157"/>
      <c r="AJ591" s="157"/>
      <c r="AK591" s="157"/>
      <c r="AL591" s="157"/>
      <c r="AM591" s="157"/>
      <c r="AN591" s="157"/>
      <c r="AO591" s="157"/>
      <c r="AP591" s="157"/>
      <c r="AQ591" s="157"/>
      <c r="AR591" s="157"/>
      <c r="AS591" s="157"/>
      <c r="AT591" s="157"/>
      <c r="AU591" s="157"/>
      <c r="AV591" s="157"/>
      <c r="AW591" s="157"/>
      <c r="AX591" s="157"/>
      <c r="AY591" s="157"/>
      <c r="AZ591" s="157"/>
      <c r="BA591" s="157"/>
    </row>
    <row r="592" spans="2:53" s="156" customFormat="1" ht="15" customHeight="1">
      <c r="B592" s="157"/>
      <c r="C592" s="157"/>
      <c r="D592" s="157"/>
      <c r="E592" s="157"/>
      <c r="F592" s="157"/>
      <c r="G592" s="157"/>
      <c r="H592" s="157"/>
      <c r="I592" s="157"/>
      <c r="J592" s="158"/>
      <c r="K592" s="157"/>
      <c r="L592" s="157"/>
      <c r="M592" s="157"/>
      <c r="O592" s="157"/>
      <c r="P592" s="157"/>
      <c r="Q592" s="157"/>
      <c r="R592" s="157"/>
      <c r="S592" s="157"/>
      <c r="T592" s="157"/>
      <c r="U592" s="157"/>
      <c r="V592" s="157"/>
      <c r="W592" s="157"/>
      <c r="X592" s="157"/>
      <c r="Y592" s="157"/>
      <c r="Z592" s="157"/>
      <c r="AA592" s="157"/>
      <c r="AB592" s="157"/>
      <c r="AC592" s="157"/>
      <c r="AD592" s="157"/>
      <c r="AE592" s="157"/>
      <c r="AF592" s="157"/>
      <c r="AG592" s="157"/>
      <c r="AH592" s="157"/>
      <c r="AI592" s="157"/>
      <c r="AJ592" s="157"/>
      <c r="AK592" s="157"/>
      <c r="AL592" s="157"/>
      <c r="AM592" s="157"/>
      <c r="AN592" s="157"/>
      <c r="AO592" s="157"/>
      <c r="AP592" s="157"/>
      <c r="AQ592" s="157"/>
      <c r="AR592" s="157"/>
      <c r="AS592" s="157"/>
      <c r="AT592" s="157"/>
      <c r="AU592" s="157"/>
      <c r="AV592" s="157"/>
      <c r="AW592" s="157"/>
      <c r="AX592" s="157"/>
      <c r="AY592" s="157"/>
      <c r="AZ592" s="157"/>
      <c r="BA592" s="157"/>
    </row>
    <row r="593" spans="2:53" s="156" customFormat="1" ht="15" customHeight="1">
      <c r="B593" s="157"/>
      <c r="C593" s="157"/>
      <c r="D593" s="157"/>
      <c r="E593" s="157"/>
      <c r="F593" s="157"/>
      <c r="G593" s="157"/>
      <c r="H593" s="157"/>
      <c r="I593" s="157"/>
      <c r="J593" s="158"/>
      <c r="K593" s="157"/>
      <c r="L593" s="157"/>
      <c r="M593" s="157"/>
      <c r="O593" s="157"/>
      <c r="P593" s="157"/>
      <c r="Q593" s="157"/>
      <c r="R593" s="157"/>
      <c r="S593" s="157"/>
      <c r="T593" s="157"/>
      <c r="U593" s="157"/>
      <c r="V593" s="157"/>
      <c r="W593" s="157"/>
      <c r="X593" s="157"/>
      <c r="Y593" s="157"/>
      <c r="Z593" s="157"/>
      <c r="AA593" s="157"/>
      <c r="AB593" s="157"/>
      <c r="AC593" s="157"/>
      <c r="AD593" s="157"/>
      <c r="AE593" s="157"/>
      <c r="AF593" s="157"/>
      <c r="AG593" s="157"/>
      <c r="AH593" s="157"/>
      <c r="AI593" s="157"/>
      <c r="AJ593" s="157"/>
      <c r="AK593" s="157"/>
      <c r="AL593" s="157"/>
      <c r="AM593" s="157"/>
      <c r="AN593" s="157"/>
      <c r="AO593" s="157"/>
      <c r="AP593" s="157"/>
      <c r="AQ593" s="157"/>
      <c r="AR593" s="157"/>
      <c r="AS593" s="157"/>
      <c r="AT593" s="157"/>
      <c r="AU593" s="157"/>
      <c r="AV593" s="157"/>
      <c r="AW593" s="157"/>
      <c r="AX593" s="157"/>
      <c r="AY593" s="157"/>
      <c r="AZ593" s="157"/>
      <c r="BA593" s="157"/>
    </row>
    <row r="594" spans="2:53" s="156" customFormat="1" ht="15" customHeight="1">
      <c r="B594" s="157"/>
      <c r="C594" s="157"/>
      <c r="D594" s="157"/>
      <c r="E594" s="157"/>
      <c r="F594" s="157"/>
      <c r="G594" s="157"/>
      <c r="H594" s="157"/>
      <c r="I594" s="157"/>
      <c r="J594" s="158"/>
      <c r="K594" s="157"/>
      <c r="L594" s="157"/>
      <c r="M594" s="157"/>
      <c r="O594" s="157"/>
      <c r="P594" s="157"/>
      <c r="Q594" s="157"/>
      <c r="R594" s="157"/>
      <c r="S594" s="157"/>
      <c r="T594" s="157"/>
      <c r="U594" s="157"/>
      <c r="V594" s="157"/>
      <c r="W594" s="157"/>
      <c r="X594" s="157"/>
      <c r="Y594" s="157"/>
      <c r="Z594" s="157"/>
      <c r="AA594" s="157"/>
      <c r="AB594" s="157"/>
      <c r="AC594" s="157"/>
      <c r="AD594" s="157"/>
      <c r="AE594" s="157"/>
      <c r="AF594" s="157"/>
      <c r="AG594" s="157"/>
      <c r="AH594" s="157"/>
      <c r="AI594" s="157"/>
      <c r="AJ594" s="157"/>
      <c r="AK594" s="157"/>
      <c r="AL594" s="157"/>
      <c r="AM594" s="157"/>
      <c r="AN594" s="157"/>
      <c r="AO594" s="157"/>
      <c r="AP594" s="157"/>
      <c r="AQ594" s="157"/>
      <c r="AR594" s="157"/>
      <c r="AS594" s="157"/>
      <c r="AT594" s="157"/>
      <c r="AU594" s="157"/>
      <c r="AV594" s="157"/>
      <c r="AW594" s="157"/>
      <c r="AX594" s="157"/>
      <c r="AY594" s="157"/>
      <c r="AZ594" s="157"/>
      <c r="BA594" s="157"/>
    </row>
    <row r="595" spans="2:53" s="156" customFormat="1" ht="15" customHeight="1">
      <c r="B595" s="157"/>
      <c r="C595" s="157"/>
      <c r="D595" s="157"/>
      <c r="E595" s="157"/>
      <c r="F595" s="157"/>
      <c r="G595" s="157"/>
      <c r="H595" s="157"/>
      <c r="I595" s="157"/>
      <c r="J595" s="158"/>
      <c r="K595" s="157"/>
      <c r="L595" s="157"/>
      <c r="M595" s="157"/>
      <c r="O595" s="157"/>
      <c r="P595" s="157"/>
      <c r="Q595" s="157"/>
      <c r="R595" s="157"/>
      <c r="S595" s="157"/>
      <c r="T595" s="157"/>
      <c r="U595" s="157"/>
      <c r="V595" s="157"/>
      <c r="W595" s="157"/>
      <c r="X595" s="157"/>
      <c r="Y595" s="157"/>
      <c r="Z595" s="157"/>
      <c r="AA595" s="157"/>
      <c r="AB595" s="157"/>
      <c r="AC595" s="157"/>
      <c r="AD595" s="157"/>
      <c r="AE595" s="157"/>
      <c r="AF595" s="157"/>
      <c r="AG595" s="157"/>
      <c r="AH595" s="157"/>
      <c r="AI595" s="157"/>
      <c r="AJ595" s="157"/>
      <c r="AK595" s="157"/>
      <c r="AL595" s="157"/>
      <c r="AM595" s="157"/>
      <c r="AN595" s="157"/>
      <c r="AO595" s="157"/>
      <c r="AP595" s="157"/>
      <c r="AQ595" s="157"/>
      <c r="AR595" s="157"/>
      <c r="AS595" s="157"/>
      <c r="AT595" s="157"/>
      <c r="AU595" s="157"/>
      <c r="AV595" s="157"/>
      <c r="AW595" s="157"/>
      <c r="AX595" s="157"/>
      <c r="AY595" s="157"/>
      <c r="AZ595" s="157"/>
      <c r="BA595" s="157"/>
    </row>
    <row r="596" spans="2:53" s="156" customFormat="1" ht="15" customHeight="1">
      <c r="B596" s="157"/>
      <c r="C596" s="157"/>
      <c r="D596" s="157"/>
      <c r="E596" s="157"/>
      <c r="F596" s="157"/>
      <c r="G596" s="157"/>
      <c r="H596" s="157"/>
      <c r="I596" s="157"/>
      <c r="J596" s="158"/>
      <c r="K596" s="157"/>
      <c r="L596" s="157"/>
      <c r="M596" s="157"/>
      <c r="O596" s="157"/>
      <c r="P596" s="157"/>
      <c r="Q596" s="157"/>
      <c r="R596" s="157"/>
      <c r="S596" s="157"/>
      <c r="T596" s="157"/>
      <c r="U596" s="157"/>
      <c r="V596" s="157"/>
      <c r="W596" s="157"/>
      <c r="X596" s="157"/>
      <c r="Y596" s="157"/>
      <c r="Z596" s="157"/>
      <c r="AA596" s="157"/>
      <c r="AB596" s="157"/>
      <c r="AC596" s="157"/>
      <c r="AD596" s="157"/>
      <c r="AE596" s="157"/>
      <c r="AF596" s="157"/>
      <c r="AG596" s="157"/>
      <c r="AH596" s="157"/>
      <c r="AI596" s="157"/>
      <c r="AJ596" s="157"/>
      <c r="AK596" s="157"/>
      <c r="AL596" s="157"/>
      <c r="AM596" s="157"/>
      <c r="AN596" s="157"/>
      <c r="AO596" s="157"/>
      <c r="AP596" s="157"/>
      <c r="AQ596" s="157"/>
      <c r="AR596" s="157"/>
      <c r="AS596" s="157"/>
      <c r="AT596" s="157"/>
      <c r="AU596" s="157"/>
      <c r="AV596" s="157"/>
      <c r="AW596" s="157"/>
      <c r="AX596" s="157"/>
      <c r="AY596" s="157"/>
      <c r="AZ596" s="157"/>
      <c r="BA596" s="157"/>
    </row>
    <row r="597" spans="2:53" s="156" customFormat="1" ht="15" customHeight="1">
      <c r="B597" s="157"/>
      <c r="C597" s="157"/>
      <c r="D597" s="157"/>
      <c r="E597" s="157"/>
      <c r="F597" s="157"/>
      <c r="G597" s="157"/>
      <c r="H597" s="157"/>
      <c r="I597" s="157"/>
      <c r="J597" s="158"/>
      <c r="K597" s="157"/>
      <c r="L597" s="157"/>
      <c r="M597" s="157"/>
      <c r="O597" s="157"/>
      <c r="P597" s="157"/>
      <c r="Q597" s="157"/>
      <c r="R597" s="157"/>
      <c r="S597" s="157"/>
      <c r="T597" s="157"/>
      <c r="U597" s="157"/>
      <c r="V597" s="157"/>
      <c r="W597" s="157"/>
      <c r="X597" s="157"/>
      <c r="Y597" s="157"/>
      <c r="Z597" s="157"/>
      <c r="AA597" s="157"/>
      <c r="AB597" s="157"/>
      <c r="AC597" s="157"/>
      <c r="AD597" s="157"/>
      <c r="AE597" s="157"/>
      <c r="AF597" s="157"/>
      <c r="AG597" s="157"/>
      <c r="AH597" s="157"/>
      <c r="AI597" s="157"/>
      <c r="AJ597" s="157"/>
      <c r="AK597" s="157"/>
      <c r="AL597" s="157"/>
      <c r="AM597" s="157"/>
      <c r="AN597" s="157"/>
      <c r="AO597" s="157"/>
      <c r="AP597" s="157"/>
      <c r="AQ597" s="157"/>
      <c r="AR597" s="157"/>
      <c r="AS597" s="157"/>
      <c r="AT597" s="157"/>
      <c r="AU597" s="157"/>
      <c r="AV597" s="157"/>
      <c r="AW597" s="157"/>
      <c r="AX597" s="157"/>
      <c r="AY597" s="157"/>
      <c r="AZ597" s="157"/>
      <c r="BA597" s="157"/>
    </row>
    <row r="598" spans="2:53" s="156" customFormat="1" ht="15" customHeight="1">
      <c r="B598" s="157"/>
      <c r="C598" s="157"/>
      <c r="D598" s="157"/>
      <c r="E598" s="157"/>
      <c r="F598" s="157"/>
      <c r="G598" s="157"/>
      <c r="H598" s="157"/>
      <c r="I598" s="157"/>
      <c r="J598" s="158"/>
      <c r="K598" s="157"/>
      <c r="L598" s="157"/>
      <c r="M598" s="157"/>
      <c r="O598" s="157"/>
      <c r="P598" s="157"/>
      <c r="Q598" s="157"/>
      <c r="R598" s="157"/>
      <c r="S598" s="157"/>
      <c r="T598" s="157"/>
      <c r="U598" s="157"/>
      <c r="V598" s="157"/>
      <c r="W598" s="157"/>
      <c r="X598" s="157"/>
      <c r="Y598" s="157"/>
      <c r="Z598" s="157"/>
      <c r="AA598" s="157"/>
      <c r="AB598" s="157"/>
      <c r="AC598" s="157"/>
      <c r="AD598" s="157"/>
      <c r="AE598" s="157"/>
      <c r="AF598" s="157"/>
      <c r="AG598" s="157"/>
      <c r="AH598" s="157"/>
      <c r="AI598" s="157"/>
      <c r="AJ598" s="157"/>
      <c r="AK598" s="157"/>
      <c r="AL598" s="157"/>
      <c r="AM598" s="157"/>
      <c r="AN598" s="157"/>
      <c r="AO598" s="157"/>
      <c r="AP598" s="157"/>
      <c r="AQ598" s="157"/>
      <c r="AR598" s="157"/>
      <c r="AS598" s="157"/>
      <c r="AT598" s="157"/>
      <c r="AU598" s="157"/>
      <c r="AV598" s="157"/>
      <c r="AW598" s="157"/>
      <c r="AX598" s="157"/>
      <c r="AY598" s="157"/>
      <c r="AZ598" s="157"/>
      <c r="BA598" s="157"/>
    </row>
    <row r="599" spans="2:53" s="156" customFormat="1" ht="15" customHeight="1">
      <c r="B599" s="157"/>
      <c r="C599" s="157"/>
      <c r="D599" s="157"/>
      <c r="E599" s="157"/>
      <c r="F599" s="157"/>
      <c r="G599" s="157"/>
      <c r="H599" s="157"/>
      <c r="I599" s="157"/>
      <c r="J599" s="158"/>
      <c r="K599" s="157"/>
      <c r="L599" s="157"/>
      <c r="M599" s="157"/>
      <c r="O599" s="157"/>
      <c r="P599" s="157"/>
      <c r="Q599" s="157"/>
      <c r="R599" s="157"/>
      <c r="S599" s="157"/>
      <c r="T599" s="157"/>
      <c r="U599" s="157"/>
      <c r="V599" s="157"/>
      <c r="W599" s="157"/>
      <c r="X599" s="157"/>
      <c r="Y599" s="157"/>
      <c r="Z599" s="157"/>
      <c r="AA599" s="157"/>
      <c r="AB599" s="157"/>
      <c r="AC599" s="157"/>
      <c r="AD599" s="157"/>
      <c r="AE599" s="157"/>
      <c r="AF599" s="157"/>
      <c r="AG599" s="157"/>
      <c r="AH599" s="157"/>
      <c r="AI599" s="157"/>
      <c r="AJ599" s="157"/>
      <c r="AK599" s="157"/>
      <c r="AL599" s="157"/>
      <c r="AM599" s="157"/>
      <c r="AN599" s="157"/>
      <c r="AO599" s="157"/>
      <c r="AP599" s="157"/>
      <c r="AQ599" s="157"/>
      <c r="AR599" s="157"/>
      <c r="AS599" s="157"/>
      <c r="AT599" s="157"/>
      <c r="AU599" s="157"/>
      <c r="AV599" s="157"/>
      <c r="AW599" s="157"/>
      <c r="AX599" s="157"/>
      <c r="AY599" s="157"/>
      <c r="AZ599" s="157"/>
      <c r="BA599" s="157"/>
    </row>
    <row r="600" spans="2:53" s="156" customFormat="1" ht="15" customHeight="1">
      <c r="B600" s="157"/>
      <c r="C600" s="157"/>
      <c r="D600" s="157"/>
      <c r="E600" s="157"/>
      <c r="F600" s="157"/>
      <c r="G600" s="157"/>
      <c r="H600" s="157"/>
      <c r="I600" s="157"/>
      <c r="J600" s="158"/>
      <c r="K600" s="157"/>
      <c r="L600" s="157"/>
      <c r="M600" s="157"/>
      <c r="O600" s="157"/>
      <c r="P600" s="157"/>
      <c r="Q600" s="157"/>
      <c r="R600" s="157"/>
      <c r="S600" s="157"/>
      <c r="T600" s="157"/>
      <c r="U600" s="157"/>
      <c r="V600" s="157"/>
      <c r="W600" s="157"/>
      <c r="X600" s="157"/>
      <c r="Y600" s="157"/>
      <c r="Z600" s="157"/>
      <c r="AA600" s="157"/>
      <c r="AB600" s="157"/>
      <c r="AC600" s="157"/>
      <c r="AD600" s="157"/>
      <c r="AE600" s="157"/>
      <c r="AF600" s="157"/>
      <c r="AG600" s="157"/>
      <c r="AH600" s="157"/>
      <c r="AI600" s="157"/>
      <c r="AJ600" s="157"/>
      <c r="AK600" s="157"/>
      <c r="AL600" s="157"/>
      <c r="AM600" s="157"/>
      <c r="AN600" s="157"/>
      <c r="AO600" s="157"/>
      <c r="AP600" s="157"/>
      <c r="AQ600" s="157"/>
      <c r="AR600" s="157"/>
      <c r="AS600" s="157"/>
      <c r="AT600" s="157"/>
      <c r="AU600" s="157"/>
      <c r="AV600" s="157"/>
      <c r="AW600" s="157"/>
      <c r="AX600" s="157"/>
      <c r="AY600" s="157"/>
      <c r="AZ600" s="157"/>
      <c r="BA600" s="157"/>
    </row>
    <row r="601" spans="2:53" s="156" customFormat="1" ht="15" customHeight="1">
      <c r="B601" s="157"/>
      <c r="C601" s="157"/>
      <c r="D601" s="157"/>
      <c r="E601" s="157"/>
      <c r="F601" s="157"/>
      <c r="G601" s="157"/>
      <c r="H601" s="157"/>
      <c r="I601" s="157"/>
      <c r="J601" s="158"/>
      <c r="K601" s="157"/>
      <c r="L601" s="157"/>
      <c r="M601" s="157"/>
      <c r="O601" s="157"/>
      <c r="P601" s="157"/>
      <c r="Q601" s="157"/>
      <c r="R601" s="157"/>
      <c r="S601" s="157"/>
      <c r="T601" s="157"/>
      <c r="U601" s="157"/>
      <c r="V601" s="157"/>
      <c r="W601" s="157"/>
      <c r="X601" s="157"/>
      <c r="Y601" s="157"/>
      <c r="Z601" s="157"/>
      <c r="AA601" s="157"/>
      <c r="AB601" s="157"/>
      <c r="AC601" s="157"/>
      <c r="AD601" s="157"/>
      <c r="AE601" s="157"/>
      <c r="AF601" s="157"/>
      <c r="AG601" s="157"/>
      <c r="AH601" s="157"/>
      <c r="AI601" s="157"/>
      <c r="AJ601" s="157"/>
      <c r="AK601" s="157"/>
      <c r="AL601" s="157"/>
      <c r="AM601" s="157"/>
      <c r="AN601" s="157"/>
      <c r="AO601" s="157"/>
      <c r="AP601" s="157"/>
      <c r="AQ601" s="157"/>
      <c r="AR601" s="157"/>
      <c r="AS601" s="157"/>
      <c r="AT601" s="157"/>
      <c r="AU601" s="157"/>
      <c r="AV601" s="157"/>
      <c r="AW601" s="157"/>
      <c r="AX601" s="157"/>
      <c r="AY601" s="157"/>
      <c r="AZ601" s="157"/>
      <c r="BA601" s="157"/>
    </row>
    <row r="602" spans="2:53" s="156" customFormat="1" ht="15" customHeight="1">
      <c r="B602" s="157"/>
      <c r="C602" s="157"/>
      <c r="D602" s="157"/>
      <c r="E602" s="157"/>
      <c r="F602" s="157"/>
      <c r="G602" s="157"/>
      <c r="H602" s="157"/>
      <c r="I602" s="157"/>
      <c r="J602" s="158"/>
      <c r="K602" s="157"/>
      <c r="L602" s="157"/>
      <c r="M602" s="157"/>
      <c r="O602" s="157"/>
      <c r="P602" s="157"/>
      <c r="Q602" s="157"/>
      <c r="R602" s="157"/>
      <c r="S602" s="157"/>
      <c r="T602" s="157"/>
      <c r="U602" s="157"/>
      <c r="V602" s="157"/>
      <c r="W602" s="157"/>
      <c r="X602" s="157"/>
      <c r="Y602" s="157"/>
      <c r="Z602" s="157"/>
      <c r="AA602" s="157"/>
      <c r="AB602" s="157"/>
      <c r="AC602" s="157"/>
      <c r="AD602" s="157"/>
      <c r="AE602" s="157"/>
      <c r="AF602" s="157"/>
      <c r="AG602" s="157"/>
      <c r="AH602" s="157"/>
      <c r="AI602" s="157"/>
      <c r="AJ602" s="157"/>
      <c r="AK602" s="157"/>
      <c r="AL602" s="157"/>
      <c r="AM602" s="157"/>
      <c r="AN602" s="157"/>
      <c r="AO602" s="157"/>
      <c r="AP602" s="157"/>
      <c r="AQ602" s="157"/>
      <c r="AR602" s="157"/>
      <c r="AS602" s="157"/>
      <c r="AT602" s="157"/>
      <c r="AU602" s="157"/>
      <c r="AV602" s="157"/>
      <c r="AW602" s="157"/>
      <c r="AX602" s="157"/>
      <c r="AY602" s="157"/>
      <c r="AZ602" s="157"/>
      <c r="BA602" s="157"/>
    </row>
    <row r="603" spans="2:53" s="156" customFormat="1" ht="15" customHeight="1">
      <c r="B603" s="157"/>
      <c r="C603" s="157"/>
      <c r="D603" s="157"/>
      <c r="E603" s="157"/>
      <c r="F603" s="157"/>
      <c r="G603" s="157"/>
      <c r="H603" s="157"/>
      <c r="I603" s="157"/>
      <c r="J603" s="158"/>
      <c r="K603" s="157"/>
      <c r="L603" s="157"/>
      <c r="M603" s="157"/>
      <c r="O603" s="157"/>
      <c r="P603" s="157"/>
      <c r="Q603" s="157"/>
      <c r="R603" s="157"/>
      <c r="S603" s="157"/>
      <c r="T603" s="157"/>
      <c r="U603" s="157"/>
      <c r="V603" s="157"/>
      <c r="W603" s="157"/>
      <c r="X603" s="157"/>
      <c r="Y603" s="157"/>
      <c r="Z603" s="157"/>
      <c r="AA603" s="157"/>
      <c r="AB603" s="157"/>
      <c r="AC603" s="157"/>
      <c r="AD603" s="157"/>
      <c r="AE603" s="157"/>
      <c r="AF603" s="157"/>
      <c r="AG603" s="157"/>
      <c r="AH603" s="157"/>
      <c r="AI603" s="157"/>
      <c r="AJ603" s="157"/>
      <c r="AK603" s="157"/>
      <c r="AL603" s="157"/>
      <c r="AM603" s="157"/>
      <c r="AN603" s="157"/>
      <c r="AO603" s="157"/>
      <c r="AP603" s="157"/>
      <c r="AQ603" s="157"/>
      <c r="AR603" s="157"/>
      <c r="AS603" s="157"/>
      <c r="AT603" s="157"/>
      <c r="AU603" s="157"/>
      <c r="AV603" s="157"/>
      <c r="AW603" s="157"/>
      <c r="AX603" s="157"/>
      <c r="AY603" s="157"/>
      <c r="AZ603" s="157"/>
      <c r="BA603" s="157"/>
    </row>
    <row r="604" spans="2:53" s="156" customFormat="1" ht="15" customHeight="1">
      <c r="B604" s="157"/>
      <c r="C604" s="157"/>
      <c r="D604" s="157"/>
      <c r="E604" s="157"/>
      <c r="F604" s="157"/>
      <c r="G604" s="157"/>
      <c r="H604" s="157"/>
      <c r="I604" s="157"/>
      <c r="J604" s="158"/>
      <c r="K604" s="157"/>
      <c r="L604" s="157"/>
      <c r="M604" s="157"/>
      <c r="O604" s="157"/>
      <c r="P604" s="157"/>
      <c r="Q604" s="157"/>
      <c r="R604" s="157"/>
      <c r="S604" s="157"/>
      <c r="T604" s="157"/>
      <c r="U604" s="157"/>
      <c r="V604" s="157"/>
      <c r="W604" s="157"/>
      <c r="X604" s="157"/>
      <c r="Y604" s="157"/>
      <c r="Z604" s="157"/>
      <c r="AA604" s="157"/>
      <c r="AB604" s="157"/>
      <c r="AC604" s="157"/>
      <c r="AD604" s="157"/>
      <c r="AE604" s="157"/>
      <c r="AF604" s="157"/>
      <c r="AG604" s="157"/>
      <c r="AH604" s="157"/>
      <c r="AI604" s="157"/>
      <c r="AJ604" s="157"/>
      <c r="AK604" s="157"/>
      <c r="AL604" s="157"/>
      <c r="AM604" s="157"/>
      <c r="AN604" s="157"/>
      <c r="AO604" s="157"/>
      <c r="AP604" s="157"/>
      <c r="AQ604" s="157"/>
      <c r="AR604" s="157"/>
      <c r="AS604" s="157"/>
      <c r="AT604" s="157"/>
      <c r="AU604" s="157"/>
      <c r="AV604" s="157"/>
      <c r="AW604" s="157"/>
      <c r="AX604" s="157"/>
      <c r="AY604" s="157"/>
      <c r="AZ604" s="157"/>
      <c r="BA604" s="157"/>
    </row>
    <row r="605" spans="2:53" s="156" customFormat="1" ht="15" customHeight="1">
      <c r="B605" s="157"/>
      <c r="C605" s="157"/>
      <c r="D605" s="157"/>
      <c r="E605" s="157"/>
      <c r="F605" s="157"/>
      <c r="G605" s="157"/>
      <c r="H605" s="157"/>
      <c r="I605" s="157"/>
      <c r="J605" s="158"/>
      <c r="K605" s="157"/>
      <c r="L605" s="157"/>
      <c r="M605" s="157"/>
      <c r="O605" s="157"/>
      <c r="P605" s="157"/>
      <c r="Q605" s="157"/>
      <c r="R605" s="157"/>
      <c r="S605" s="157"/>
      <c r="T605" s="157"/>
      <c r="U605" s="157"/>
      <c r="V605" s="157"/>
      <c r="W605" s="157"/>
      <c r="X605" s="157"/>
      <c r="Y605" s="157"/>
      <c r="Z605" s="157"/>
      <c r="AA605" s="157"/>
      <c r="AB605" s="157"/>
      <c r="AC605" s="157"/>
      <c r="AD605" s="157"/>
      <c r="AE605" s="157"/>
      <c r="AF605" s="157"/>
      <c r="AG605" s="157"/>
      <c r="AH605" s="157"/>
      <c r="AI605" s="157"/>
      <c r="AJ605" s="157"/>
      <c r="AK605" s="157"/>
      <c r="AL605" s="157"/>
      <c r="AM605" s="157"/>
      <c r="AN605" s="157"/>
      <c r="AO605" s="157"/>
      <c r="AP605" s="157"/>
      <c r="AQ605" s="157"/>
      <c r="AR605" s="157"/>
      <c r="AS605" s="157"/>
      <c r="AT605" s="157"/>
      <c r="AU605" s="157"/>
      <c r="AV605" s="157"/>
      <c r="AW605" s="157"/>
      <c r="AX605" s="157"/>
      <c r="AY605" s="157"/>
      <c r="AZ605" s="157"/>
      <c r="BA605" s="157"/>
    </row>
    <row r="606" spans="2:53" s="156" customFormat="1" ht="15" customHeight="1">
      <c r="B606" s="157"/>
      <c r="C606" s="157"/>
      <c r="D606" s="157"/>
      <c r="E606" s="157"/>
      <c r="F606" s="157"/>
      <c r="G606" s="157"/>
      <c r="H606" s="157"/>
      <c r="I606" s="157"/>
      <c r="J606" s="158"/>
      <c r="K606" s="157"/>
      <c r="L606" s="157"/>
      <c r="M606" s="157"/>
      <c r="O606" s="157"/>
      <c r="P606" s="157"/>
      <c r="Q606" s="157"/>
      <c r="R606" s="157"/>
      <c r="S606" s="157"/>
      <c r="T606" s="157"/>
      <c r="U606" s="157"/>
      <c r="V606" s="157"/>
      <c r="W606" s="157"/>
      <c r="X606" s="157"/>
      <c r="Y606" s="157"/>
      <c r="Z606" s="157"/>
      <c r="AA606" s="157"/>
      <c r="AB606" s="157"/>
      <c r="AC606" s="157"/>
      <c r="AD606" s="157"/>
      <c r="AE606" s="157"/>
      <c r="AF606" s="157"/>
      <c r="AG606" s="157"/>
      <c r="AH606" s="157"/>
      <c r="AI606" s="157"/>
      <c r="AJ606" s="157"/>
      <c r="AK606" s="157"/>
      <c r="AL606" s="157"/>
      <c r="AM606" s="157"/>
      <c r="AN606" s="157"/>
      <c r="AO606" s="157"/>
      <c r="AP606" s="157"/>
      <c r="AQ606" s="157"/>
      <c r="AR606" s="157"/>
      <c r="AS606" s="157"/>
      <c r="AT606" s="157"/>
      <c r="AU606" s="157"/>
      <c r="AV606" s="157"/>
      <c r="AW606" s="157"/>
      <c r="AX606" s="157"/>
      <c r="AY606" s="157"/>
      <c r="AZ606" s="157"/>
      <c r="BA606" s="157"/>
    </row>
    <row r="607" spans="2:53" s="156" customFormat="1" ht="15" customHeight="1">
      <c r="B607" s="157"/>
      <c r="C607" s="157"/>
      <c r="D607" s="157"/>
      <c r="E607" s="157"/>
      <c r="F607" s="157"/>
      <c r="G607" s="157"/>
      <c r="H607" s="157"/>
      <c r="I607" s="157"/>
      <c r="J607" s="158"/>
      <c r="K607" s="157"/>
      <c r="L607" s="157"/>
      <c r="M607" s="157"/>
      <c r="O607" s="157"/>
      <c r="P607" s="157"/>
      <c r="Q607" s="157"/>
      <c r="R607" s="157"/>
      <c r="S607" s="157"/>
      <c r="T607" s="157"/>
      <c r="U607" s="157"/>
      <c r="V607" s="157"/>
      <c r="W607" s="157"/>
      <c r="X607" s="157"/>
      <c r="Y607" s="157"/>
      <c r="Z607" s="157"/>
      <c r="AA607" s="157"/>
      <c r="AB607" s="157"/>
      <c r="AC607" s="157"/>
      <c r="AD607" s="157"/>
      <c r="AE607" s="157"/>
      <c r="AF607" s="157"/>
      <c r="AG607" s="157"/>
      <c r="AH607" s="157"/>
      <c r="AI607" s="157"/>
      <c r="AJ607" s="157"/>
      <c r="AK607" s="157"/>
      <c r="AL607" s="157"/>
      <c r="AM607" s="157"/>
      <c r="AN607" s="157"/>
      <c r="AO607" s="157"/>
      <c r="AP607" s="157"/>
      <c r="AQ607" s="157"/>
      <c r="AR607" s="157"/>
      <c r="AS607" s="157"/>
      <c r="AT607" s="157"/>
      <c r="AU607" s="157"/>
      <c r="AV607" s="157"/>
      <c r="AW607" s="157"/>
      <c r="AX607" s="157"/>
      <c r="AY607" s="157"/>
      <c r="AZ607" s="157"/>
      <c r="BA607" s="157"/>
    </row>
    <row r="608" spans="2:53" s="156" customFormat="1" ht="15" customHeight="1">
      <c r="B608" s="157"/>
      <c r="C608" s="157"/>
      <c r="D608" s="157"/>
      <c r="E608" s="157"/>
      <c r="F608" s="157"/>
      <c r="G608" s="157"/>
      <c r="H608" s="157"/>
      <c r="I608" s="157"/>
      <c r="J608" s="158"/>
      <c r="K608" s="157"/>
      <c r="L608" s="157"/>
      <c r="M608" s="157"/>
      <c r="O608" s="157"/>
      <c r="P608" s="157"/>
      <c r="Q608" s="157"/>
      <c r="R608" s="157"/>
      <c r="S608" s="157"/>
      <c r="T608" s="157"/>
      <c r="U608" s="157"/>
      <c r="V608" s="157"/>
      <c r="W608" s="157"/>
      <c r="X608" s="157"/>
      <c r="Y608" s="157"/>
      <c r="Z608" s="157"/>
      <c r="AA608" s="157"/>
      <c r="AB608" s="157"/>
      <c r="AC608" s="157"/>
      <c r="AD608" s="157"/>
      <c r="AE608" s="157"/>
      <c r="AF608" s="157"/>
      <c r="AG608" s="157"/>
      <c r="AH608" s="157"/>
      <c r="AI608" s="157"/>
      <c r="AJ608" s="157"/>
      <c r="AK608" s="157"/>
      <c r="AL608" s="157"/>
      <c r="AM608" s="157"/>
      <c r="AN608" s="157"/>
      <c r="AO608" s="157"/>
      <c r="AP608" s="157"/>
      <c r="AQ608" s="157"/>
      <c r="AR608" s="157"/>
      <c r="AS608" s="157"/>
      <c r="AT608" s="157"/>
      <c r="AU608" s="157"/>
      <c r="AV608" s="157"/>
      <c r="AW608" s="157"/>
      <c r="AX608" s="157"/>
      <c r="AY608" s="157"/>
      <c r="AZ608" s="157"/>
      <c r="BA608" s="157"/>
    </row>
    <row r="609" spans="2:53" s="156" customFormat="1" ht="15" customHeight="1">
      <c r="B609" s="157"/>
      <c r="C609" s="157"/>
      <c r="D609" s="157"/>
      <c r="E609" s="157"/>
      <c r="F609" s="157"/>
      <c r="G609" s="157"/>
      <c r="H609" s="157"/>
      <c r="I609" s="157"/>
      <c r="J609" s="158"/>
      <c r="K609" s="157"/>
      <c r="L609" s="157"/>
      <c r="M609" s="157"/>
      <c r="O609" s="157"/>
      <c r="P609" s="157"/>
      <c r="Q609" s="157"/>
      <c r="R609" s="157"/>
      <c r="S609" s="157"/>
      <c r="T609" s="157"/>
      <c r="U609" s="157"/>
      <c r="V609" s="157"/>
      <c r="W609" s="157"/>
      <c r="X609" s="157"/>
      <c r="Y609" s="157"/>
      <c r="Z609" s="157"/>
      <c r="AA609" s="157"/>
      <c r="AB609" s="157"/>
      <c r="AC609" s="157"/>
      <c r="AD609" s="157"/>
      <c r="AE609" s="157"/>
      <c r="AF609" s="157"/>
      <c r="AG609" s="157"/>
      <c r="AH609" s="157"/>
      <c r="AI609" s="157"/>
      <c r="AJ609" s="157"/>
      <c r="AK609" s="157"/>
      <c r="AL609" s="157"/>
      <c r="AM609" s="157"/>
      <c r="AN609" s="157"/>
      <c r="AO609" s="157"/>
      <c r="AP609" s="157"/>
      <c r="AQ609" s="157"/>
      <c r="AR609" s="157"/>
      <c r="AS609" s="157"/>
      <c r="AT609" s="157"/>
      <c r="AU609" s="157"/>
      <c r="AV609" s="157"/>
      <c r="AW609" s="157"/>
      <c r="AX609" s="157"/>
      <c r="AY609" s="157"/>
      <c r="AZ609" s="157"/>
      <c r="BA609" s="157"/>
    </row>
    <row r="610" spans="2:53" s="156" customFormat="1" ht="15" customHeight="1">
      <c r="B610" s="157"/>
      <c r="C610" s="157"/>
      <c r="D610" s="157"/>
      <c r="E610" s="157"/>
      <c r="F610" s="157"/>
      <c r="G610" s="157"/>
      <c r="H610" s="157"/>
      <c r="I610" s="157"/>
      <c r="J610" s="158"/>
      <c r="K610" s="157"/>
      <c r="L610" s="157"/>
      <c r="M610" s="157"/>
      <c r="O610" s="157"/>
      <c r="P610" s="157"/>
      <c r="Q610" s="157"/>
      <c r="R610" s="157"/>
      <c r="S610" s="157"/>
      <c r="T610" s="157"/>
      <c r="U610" s="157"/>
      <c r="V610" s="157"/>
      <c r="W610" s="157"/>
      <c r="X610" s="157"/>
      <c r="Y610" s="157"/>
      <c r="Z610" s="157"/>
      <c r="AA610" s="157"/>
      <c r="AB610" s="157"/>
      <c r="AC610" s="157"/>
      <c r="AD610" s="157"/>
      <c r="AE610" s="157"/>
      <c r="AF610" s="157"/>
      <c r="AG610" s="157"/>
      <c r="AH610" s="157"/>
      <c r="AI610" s="157"/>
      <c r="AJ610" s="157"/>
      <c r="AK610" s="157"/>
      <c r="AL610" s="157"/>
      <c r="AM610" s="157"/>
      <c r="AN610" s="157"/>
      <c r="AO610" s="157"/>
      <c r="AP610" s="157"/>
      <c r="AQ610" s="157"/>
      <c r="AR610" s="157"/>
      <c r="AS610" s="157"/>
      <c r="AT610" s="157"/>
      <c r="AU610" s="157"/>
      <c r="AV610" s="157"/>
      <c r="AW610" s="157"/>
      <c r="AX610" s="157"/>
      <c r="AY610" s="157"/>
      <c r="AZ610" s="157"/>
      <c r="BA610" s="157"/>
    </row>
    <row r="611" spans="2:53" s="156" customFormat="1" ht="15" customHeight="1">
      <c r="B611" s="157"/>
      <c r="C611" s="157"/>
      <c r="D611" s="157"/>
      <c r="E611" s="157"/>
      <c r="F611" s="157"/>
      <c r="G611" s="157"/>
      <c r="H611" s="157"/>
      <c r="I611" s="157"/>
      <c r="J611" s="158"/>
      <c r="K611" s="157"/>
      <c r="L611" s="157"/>
      <c r="M611" s="157"/>
      <c r="O611" s="157"/>
      <c r="P611" s="157"/>
      <c r="Q611" s="157"/>
      <c r="R611" s="157"/>
      <c r="S611" s="157"/>
      <c r="T611" s="157"/>
      <c r="U611" s="157"/>
      <c r="V611" s="157"/>
      <c r="W611" s="157"/>
      <c r="X611" s="157"/>
      <c r="Y611" s="157"/>
      <c r="Z611" s="157"/>
      <c r="AA611" s="157"/>
      <c r="AB611" s="157"/>
      <c r="AC611" s="157"/>
      <c r="AD611" s="157"/>
      <c r="AE611" s="157"/>
      <c r="AF611" s="157"/>
      <c r="AG611" s="157"/>
      <c r="AH611" s="157"/>
      <c r="AI611" s="157"/>
      <c r="AJ611" s="157"/>
      <c r="AK611" s="157"/>
      <c r="AL611" s="157"/>
      <c r="AM611" s="157"/>
      <c r="AN611" s="157"/>
      <c r="AO611" s="157"/>
      <c r="AP611" s="157"/>
      <c r="AQ611" s="157"/>
      <c r="AR611" s="157"/>
      <c r="AS611" s="157"/>
      <c r="AT611" s="157"/>
      <c r="AU611" s="157"/>
      <c r="AV611" s="157"/>
      <c r="AW611" s="157"/>
      <c r="AX611" s="157"/>
      <c r="AY611" s="157"/>
      <c r="AZ611" s="157"/>
      <c r="BA611" s="157"/>
    </row>
    <row r="612" spans="2:53" s="156" customFormat="1" ht="15" customHeight="1">
      <c r="B612" s="157"/>
      <c r="C612" s="157"/>
      <c r="D612" s="157"/>
      <c r="E612" s="157"/>
      <c r="F612" s="157"/>
      <c r="G612" s="157"/>
      <c r="H612" s="157"/>
      <c r="I612" s="157"/>
      <c r="J612" s="158"/>
      <c r="K612" s="157"/>
      <c r="L612" s="157"/>
      <c r="M612" s="157"/>
      <c r="O612" s="157"/>
      <c r="P612" s="157"/>
      <c r="Q612" s="157"/>
      <c r="R612" s="157"/>
      <c r="S612" s="157"/>
      <c r="T612" s="157"/>
      <c r="U612" s="157"/>
      <c r="V612" s="157"/>
      <c r="W612" s="157"/>
      <c r="X612" s="157"/>
      <c r="Y612" s="157"/>
      <c r="Z612" s="157"/>
      <c r="AA612" s="157"/>
      <c r="AB612" s="157"/>
      <c r="AC612" s="157"/>
      <c r="AD612" s="157"/>
      <c r="AE612" s="157"/>
      <c r="AF612" s="157"/>
      <c r="AG612" s="157"/>
      <c r="AH612" s="157"/>
      <c r="AI612" s="157"/>
      <c r="AJ612" s="157"/>
      <c r="AK612" s="157"/>
      <c r="AL612" s="157"/>
      <c r="AM612" s="157"/>
      <c r="AN612" s="157"/>
      <c r="AO612" s="157"/>
      <c r="AP612" s="157"/>
      <c r="AQ612" s="157"/>
      <c r="AR612" s="157"/>
      <c r="AS612" s="157"/>
      <c r="AT612" s="157"/>
      <c r="AU612" s="157"/>
      <c r="AV612" s="157"/>
      <c r="AW612" s="157"/>
      <c r="AX612" s="157"/>
      <c r="AY612" s="157"/>
      <c r="AZ612" s="157"/>
      <c r="BA612" s="157"/>
    </row>
    <row r="613" spans="2:53" s="156" customFormat="1" ht="15" customHeight="1">
      <c r="B613" s="157"/>
      <c r="C613" s="157"/>
      <c r="D613" s="157"/>
      <c r="E613" s="157"/>
      <c r="F613" s="157"/>
      <c r="G613" s="157"/>
      <c r="H613" s="157"/>
      <c r="I613" s="157"/>
      <c r="J613" s="158"/>
      <c r="K613" s="157"/>
      <c r="L613" s="157"/>
      <c r="M613" s="157"/>
      <c r="O613" s="157"/>
      <c r="P613" s="157"/>
      <c r="Q613" s="157"/>
      <c r="R613" s="157"/>
      <c r="S613" s="157"/>
      <c r="T613" s="157"/>
      <c r="U613" s="157"/>
      <c r="V613" s="157"/>
      <c r="W613" s="157"/>
      <c r="X613" s="157"/>
      <c r="Y613" s="157"/>
      <c r="Z613" s="157"/>
      <c r="AA613" s="157"/>
      <c r="AB613" s="157"/>
      <c r="AC613" s="157"/>
      <c r="AD613" s="157"/>
      <c r="AE613" s="157"/>
      <c r="AF613" s="157"/>
      <c r="AG613" s="157"/>
      <c r="AH613" s="157"/>
      <c r="AI613" s="157"/>
      <c r="AJ613" s="157"/>
      <c r="AK613" s="157"/>
      <c r="AL613" s="157"/>
      <c r="AM613" s="157"/>
      <c r="AN613" s="157"/>
      <c r="AO613" s="157"/>
      <c r="AP613" s="157"/>
      <c r="AQ613" s="157"/>
      <c r="AR613" s="157"/>
      <c r="AS613" s="157"/>
      <c r="AT613" s="157"/>
      <c r="AU613" s="157"/>
      <c r="AV613" s="157"/>
      <c r="AW613" s="157"/>
      <c r="AX613" s="157"/>
      <c r="AY613" s="157"/>
      <c r="AZ613" s="157"/>
      <c r="BA613" s="157"/>
    </row>
    <row r="614" spans="2:53" s="156" customFormat="1" ht="15" customHeight="1">
      <c r="B614" s="157"/>
      <c r="C614" s="157"/>
      <c r="D614" s="157"/>
      <c r="E614" s="157"/>
      <c r="F614" s="157"/>
      <c r="G614" s="157"/>
      <c r="H614" s="157"/>
      <c r="I614" s="157"/>
      <c r="J614" s="158"/>
      <c r="K614" s="157"/>
      <c r="L614" s="157"/>
      <c r="M614" s="157"/>
      <c r="O614" s="157"/>
      <c r="P614" s="157"/>
      <c r="Q614" s="157"/>
      <c r="R614" s="157"/>
      <c r="S614" s="157"/>
      <c r="T614" s="157"/>
      <c r="U614" s="157"/>
      <c r="V614" s="157"/>
      <c r="W614" s="157"/>
      <c r="X614" s="157"/>
      <c r="Y614" s="157"/>
      <c r="Z614" s="157"/>
      <c r="AA614" s="157"/>
      <c r="AB614" s="157"/>
      <c r="AC614" s="157"/>
      <c r="AD614" s="157"/>
      <c r="AE614" s="157"/>
      <c r="AF614" s="157"/>
      <c r="AG614" s="157"/>
      <c r="AH614" s="157"/>
      <c r="AI614" s="157"/>
      <c r="AJ614" s="157"/>
      <c r="AK614" s="157"/>
      <c r="AL614" s="157"/>
      <c r="AM614" s="157"/>
      <c r="AN614" s="157"/>
      <c r="AO614" s="157"/>
      <c r="AP614" s="157"/>
      <c r="AQ614" s="157"/>
      <c r="AR614" s="157"/>
      <c r="AS614" s="157"/>
      <c r="AT614" s="157"/>
      <c r="AU614" s="157"/>
      <c r="AV614" s="157"/>
      <c r="AW614" s="157"/>
      <c r="AX614" s="157"/>
      <c r="AY614" s="157"/>
      <c r="AZ614" s="157"/>
      <c r="BA614" s="157"/>
    </row>
    <row r="615" spans="2:53" s="156" customFormat="1" ht="15" customHeight="1">
      <c r="B615" s="157"/>
      <c r="C615" s="157"/>
      <c r="D615" s="157"/>
      <c r="E615" s="157"/>
      <c r="F615" s="157"/>
      <c r="G615" s="157"/>
      <c r="H615" s="157"/>
      <c r="I615" s="157"/>
      <c r="J615" s="158"/>
      <c r="K615" s="157"/>
      <c r="L615" s="157"/>
      <c r="M615" s="157"/>
      <c r="O615" s="157"/>
      <c r="P615" s="157"/>
      <c r="Q615" s="157"/>
      <c r="R615" s="157"/>
      <c r="S615" s="157"/>
      <c r="T615" s="157"/>
      <c r="U615" s="157"/>
      <c r="V615" s="157"/>
      <c r="W615" s="157"/>
      <c r="X615" s="157"/>
      <c r="Y615" s="157"/>
      <c r="Z615" s="157"/>
      <c r="AA615" s="157"/>
      <c r="AB615" s="157"/>
      <c r="AC615" s="157"/>
      <c r="AD615" s="157"/>
      <c r="AE615" s="157"/>
      <c r="AF615" s="157"/>
      <c r="AG615" s="157"/>
      <c r="AH615" s="157"/>
      <c r="AI615" s="157"/>
      <c r="AJ615" s="157"/>
      <c r="AK615" s="157"/>
      <c r="AL615" s="157"/>
      <c r="AM615" s="157"/>
      <c r="AN615" s="157"/>
      <c r="AO615" s="157"/>
      <c r="AP615" s="157"/>
      <c r="AQ615" s="157"/>
      <c r="AR615" s="157"/>
      <c r="AS615" s="157"/>
      <c r="AT615" s="157"/>
      <c r="AU615" s="157"/>
      <c r="AV615" s="157"/>
      <c r="AW615" s="157"/>
      <c r="AX615" s="157"/>
      <c r="AY615" s="157"/>
      <c r="AZ615" s="157"/>
      <c r="BA615" s="157"/>
    </row>
    <row r="616" spans="2:53" s="156" customFormat="1" ht="15" customHeight="1">
      <c r="B616" s="157"/>
      <c r="C616" s="157"/>
      <c r="D616" s="157"/>
      <c r="E616" s="157"/>
      <c r="F616" s="157"/>
      <c r="G616" s="157"/>
      <c r="H616" s="157"/>
      <c r="I616" s="157"/>
      <c r="J616" s="158"/>
      <c r="K616" s="157"/>
      <c r="L616" s="157"/>
      <c r="M616" s="157"/>
      <c r="O616" s="157"/>
      <c r="P616" s="157"/>
      <c r="Q616" s="157"/>
      <c r="R616" s="157"/>
      <c r="S616" s="157"/>
      <c r="T616" s="157"/>
      <c r="U616" s="157"/>
      <c r="V616" s="157"/>
      <c r="W616" s="157"/>
      <c r="X616" s="157"/>
      <c r="Y616" s="157"/>
      <c r="Z616" s="157"/>
      <c r="AA616" s="157"/>
      <c r="AB616" s="157"/>
      <c r="AC616" s="157"/>
      <c r="AD616" s="157"/>
      <c r="AE616" s="157"/>
      <c r="AF616" s="157"/>
      <c r="AG616" s="157"/>
      <c r="AH616" s="157"/>
      <c r="AI616" s="157"/>
      <c r="AJ616" s="157"/>
      <c r="AK616" s="157"/>
      <c r="AL616" s="157"/>
      <c r="AM616" s="157"/>
      <c r="AN616" s="157"/>
      <c r="AO616" s="157"/>
      <c r="AP616" s="157"/>
      <c r="AQ616" s="157"/>
      <c r="AR616" s="157"/>
      <c r="AS616" s="157"/>
      <c r="AT616" s="157"/>
      <c r="AU616" s="157"/>
      <c r="AV616" s="157"/>
      <c r="AW616" s="157"/>
      <c r="AX616" s="157"/>
      <c r="AY616" s="157"/>
      <c r="AZ616" s="157"/>
      <c r="BA616" s="157"/>
    </row>
    <row r="617" spans="2:53" s="156" customFormat="1" ht="15" customHeight="1">
      <c r="B617" s="157"/>
      <c r="C617" s="157"/>
      <c r="D617" s="157"/>
      <c r="E617" s="157"/>
      <c r="F617" s="157"/>
      <c r="G617" s="157"/>
      <c r="H617" s="157"/>
      <c r="I617" s="157"/>
      <c r="J617" s="158"/>
      <c r="K617" s="157"/>
      <c r="L617" s="157"/>
      <c r="M617" s="157"/>
      <c r="O617" s="157"/>
      <c r="P617" s="157"/>
      <c r="Q617" s="157"/>
      <c r="R617" s="157"/>
      <c r="S617" s="157"/>
      <c r="T617" s="157"/>
      <c r="U617" s="157"/>
      <c r="V617" s="157"/>
      <c r="W617" s="157"/>
      <c r="X617" s="157"/>
      <c r="Y617" s="157"/>
      <c r="Z617" s="157"/>
      <c r="AA617" s="157"/>
      <c r="AB617" s="157"/>
      <c r="AC617" s="157"/>
      <c r="AD617" s="157"/>
      <c r="AE617" s="157"/>
      <c r="AF617" s="157"/>
      <c r="AG617" s="157"/>
      <c r="AH617" s="157"/>
      <c r="AI617" s="157"/>
      <c r="AJ617" s="157"/>
      <c r="AK617" s="157"/>
      <c r="AL617" s="157"/>
      <c r="AM617" s="157"/>
      <c r="AN617" s="157"/>
      <c r="AO617" s="157"/>
      <c r="AP617" s="157"/>
      <c r="AQ617" s="157"/>
      <c r="AR617" s="157"/>
      <c r="AS617" s="157"/>
      <c r="AT617" s="157"/>
      <c r="AU617" s="157"/>
      <c r="AV617" s="157"/>
      <c r="AW617" s="157"/>
      <c r="AX617" s="157"/>
      <c r="AY617" s="157"/>
      <c r="AZ617" s="157"/>
      <c r="BA617" s="157"/>
    </row>
    <row r="618" spans="2:53" s="156" customFormat="1" ht="15" customHeight="1">
      <c r="B618" s="157"/>
      <c r="C618" s="157"/>
      <c r="D618" s="157"/>
      <c r="E618" s="157"/>
      <c r="F618" s="157"/>
      <c r="G618" s="157"/>
      <c r="H618" s="157"/>
      <c r="I618" s="157"/>
      <c r="J618" s="158"/>
      <c r="K618" s="157"/>
      <c r="L618" s="157"/>
      <c r="M618" s="157"/>
      <c r="O618" s="157"/>
      <c r="P618" s="157"/>
      <c r="Q618" s="157"/>
      <c r="R618" s="157"/>
      <c r="S618" s="157"/>
      <c r="T618" s="157"/>
      <c r="U618" s="157"/>
      <c r="V618" s="157"/>
      <c r="W618" s="157"/>
      <c r="X618" s="157"/>
      <c r="Y618" s="157"/>
      <c r="Z618" s="157"/>
      <c r="AA618" s="157"/>
      <c r="AB618" s="157"/>
      <c r="AC618" s="157"/>
      <c r="AD618" s="157"/>
      <c r="AE618" s="157"/>
      <c r="AF618" s="157"/>
      <c r="AG618" s="157"/>
      <c r="AH618" s="157"/>
      <c r="AI618" s="157"/>
      <c r="AJ618" s="157"/>
      <c r="AK618" s="157"/>
      <c r="AL618" s="157"/>
      <c r="AM618" s="157"/>
      <c r="AN618" s="157"/>
      <c r="AO618" s="157"/>
      <c r="AP618" s="157"/>
      <c r="AQ618" s="157"/>
      <c r="AR618" s="157"/>
      <c r="AS618" s="157"/>
      <c r="AT618" s="157"/>
      <c r="AU618" s="157"/>
      <c r="AV618" s="157"/>
      <c r="AW618" s="157"/>
      <c r="AX618" s="157"/>
      <c r="AY618" s="157"/>
      <c r="AZ618" s="157"/>
      <c r="BA618" s="157"/>
    </row>
    <row r="619" spans="2:53" s="156" customFormat="1" ht="15" customHeight="1">
      <c r="B619" s="157"/>
      <c r="C619" s="157"/>
      <c r="D619" s="157"/>
      <c r="E619" s="157"/>
      <c r="F619" s="157"/>
      <c r="G619" s="157"/>
      <c r="H619" s="157"/>
      <c r="I619" s="157"/>
      <c r="J619" s="158"/>
      <c r="K619" s="157"/>
      <c r="L619" s="157"/>
      <c r="M619" s="157"/>
      <c r="O619" s="157"/>
      <c r="P619" s="157"/>
      <c r="Q619" s="157"/>
      <c r="R619" s="157"/>
      <c r="S619" s="157"/>
      <c r="T619" s="157"/>
      <c r="U619" s="157"/>
      <c r="V619" s="157"/>
      <c r="W619" s="157"/>
      <c r="X619" s="157"/>
      <c r="Y619" s="157"/>
      <c r="Z619" s="157"/>
      <c r="AA619" s="157"/>
      <c r="AB619" s="157"/>
      <c r="AC619" s="157"/>
      <c r="AD619" s="157"/>
      <c r="AE619" s="157"/>
      <c r="AF619" s="157"/>
      <c r="AG619" s="157"/>
      <c r="AH619" s="157"/>
      <c r="AI619" s="157"/>
      <c r="AJ619" s="157"/>
      <c r="AK619" s="157"/>
      <c r="AL619" s="157"/>
      <c r="AM619" s="157"/>
      <c r="AN619" s="157"/>
      <c r="AO619" s="157"/>
      <c r="AP619" s="157"/>
      <c r="AQ619" s="157"/>
      <c r="AR619" s="157"/>
      <c r="AS619" s="157"/>
      <c r="AT619" s="157"/>
      <c r="AU619" s="157"/>
      <c r="AV619" s="157"/>
      <c r="AW619" s="157"/>
      <c r="AX619" s="157"/>
      <c r="AY619" s="157"/>
      <c r="AZ619" s="157"/>
      <c r="BA619" s="157"/>
    </row>
    <row r="620" spans="2:53" ht="15" customHeight="1"/>
    <row r="621" spans="2:53" ht="15" customHeight="1"/>
    <row r="622" spans="2:53" ht="15" customHeight="1"/>
    <row r="623" spans="2:53" ht="15" customHeight="1"/>
    <row r="624" spans="2:53"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sheetData>
  <sheetProtection algorithmName="SHA-512" hashValue="07rxx9F/3D/t/V6ekphBaBPrFIGD6bUalEgEt13uesSy7Qd9TsULL6/chznTA5Bhhyst4+0UP1Ghv0YSRri3NA==" saltValue="wt96xH1LMOFQT6O1Gc/PBQ==" spinCount="100000" sheet="1" selectLockedCells="1"/>
  <mergeCells count="5">
    <mergeCell ref="F5:K5"/>
    <mergeCell ref="F7:K7"/>
    <mergeCell ref="F20:K20"/>
    <mergeCell ref="F21:K21"/>
    <mergeCell ref="F22:G22"/>
  </mergeCells>
  <dataValidations count="1">
    <dataValidation operator="lessThanOrEqual" allowBlank="1" showInputMessage="1" showErrorMessage="1" sqref="F5:K5" xr:uid="{00000000-0002-0000-0700-000000000000}"/>
  </dataValidations>
  <pageMargins left="0.59055118110236227" right="0.59055118110236227" top="0.78740157480314965" bottom="0.19685039370078741" header="0.19685039370078741" footer="0.19685039370078741"/>
  <pageSetup paperSize="9" scale="91" fitToHeight="0" orientation="portrait" r:id="rId1"/>
  <headerFooter>
    <oddHeader>&amp;R
&amp;G</oddHeader>
    <oddFooter>&amp;C &amp;"-,Standardowy"&amp;9&amp;K00-033Wydruk wygenerowany z arkusza doboru układów utrzymania ciśnienia firmy IMI HYDRONIC ENGINEERING.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2529" r:id="rId5" name="Spinner 1">
              <controlPr defaultSize="0" autoPict="0">
                <anchor moveWithCells="1" sizeWithCells="1">
                  <from>
                    <xdr:col>11</xdr:col>
                    <xdr:colOff>487680</xdr:colOff>
                    <xdr:row>7</xdr:row>
                    <xdr:rowOff>68580</xdr:rowOff>
                  </from>
                  <to>
                    <xdr:col>12</xdr:col>
                    <xdr:colOff>152400</xdr:colOff>
                    <xdr:row>9</xdr:row>
                    <xdr:rowOff>22860</xdr:rowOff>
                  </to>
                </anchor>
              </controlPr>
            </control>
          </mc:Choice>
        </mc:AlternateContent>
        <mc:AlternateContent xmlns:mc="http://schemas.openxmlformats.org/markup-compatibility/2006">
          <mc:Choice Requires="x14">
            <control shapeId="22530" r:id="rId6" name="Spinner 2">
              <controlPr defaultSize="0" autoPict="0">
                <anchor moveWithCells="1" sizeWithCells="1">
                  <from>
                    <xdr:col>11</xdr:col>
                    <xdr:colOff>487680</xdr:colOff>
                    <xdr:row>9</xdr:row>
                    <xdr:rowOff>99060</xdr:rowOff>
                  </from>
                  <to>
                    <xdr:col>12</xdr:col>
                    <xdr:colOff>152400</xdr:colOff>
                    <xdr:row>11</xdr:row>
                    <xdr:rowOff>60960</xdr:rowOff>
                  </to>
                </anchor>
              </controlPr>
            </control>
          </mc:Choice>
        </mc:AlternateContent>
        <mc:AlternateContent xmlns:mc="http://schemas.openxmlformats.org/markup-compatibility/2006">
          <mc:Choice Requires="x14">
            <control shapeId="22537" r:id="rId7" name="Spinner 9">
              <controlPr defaultSize="0" autoPict="0">
                <anchor moveWithCells="1" sizeWithCells="1">
                  <from>
                    <xdr:col>11</xdr:col>
                    <xdr:colOff>480060</xdr:colOff>
                    <xdr:row>13</xdr:row>
                    <xdr:rowOff>152400</xdr:rowOff>
                  </from>
                  <to>
                    <xdr:col>12</xdr:col>
                    <xdr:colOff>137160</xdr:colOff>
                    <xdr:row>15</xdr:row>
                    <xdr:rowOff>76200</xdr:rowOff>
                  </to>
                </anchor>
              </controlPr>
            </control>
          </mc:Choice>
        </mc:AlternateContent>
        <mc:AlternateContent xmlns:mc="http://schemas.openxmlformats.org/markup-compatibility/2006">
          <mc:Choice Requires="x14">
            <control shapeId="22540" r:id="rId8" name="Spinner 12">
              <controlPr defaultSize="0" autoPict="0">
                <anchor moveWithCells="1" sizeWithCells="1">
                  <from>
                    <xdr:col>11</xdr:col>
                    <xdr:colOff>480060</xdr:colOff>
                    <xdr:row>11</xdr:row>
                    <xdr:rowOff>121920</xdr:rowOff>
                  </from>
                  <to>
                    <xdr:col>12</xdr:col>
                    <xdr:colOff>144780</xdr:colOff>
                    <xdr:row>13</xdr:row>
                    <xdr:rowOff>76200</xdr:rowOff>
                  </to>
                </anchor>
              </controlPr>
            </control>
          </mc:Choice>
        </mc:AlternateContent>
        <mc:AlternateContent xmlns:mc="http://schemas.openxmlformats.org/markup-compatibility/2006">
          <mc:Choice Requires="x14">
            <control shapeId="22541" r:id="rId9" name="Drop Down 13">
              <controlPr defaultSize="0" autoLine="0" autoPict="0">
                <anchor moveWithCells="1">
                  <from>
                    <xdr:col>2</xdr:col>
                    <xdr:colOff>22860</xdr:colOff>
                    <xdr:row>41</xdr:row>
                    <xdr:rowOff>68580</xdr:rowOff>
                  </from>
                  <to>
                    <xdr:col>6</xdr:col>
                    <xdr:colOff>121920</xdr:colOff>
                    <xdr:row>42</xdr:row>
                    <xdr:rowOff>99060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pageSetUpPr fitToPage="1"/>
  </sheetPr>
  <dimension ref="A1:BA665"/>
  <sheetViews>
    <sheetView showGridLines="0" showRowColHeaders="0" zoomScaleNormal="100" zoomScaleSheetLayoutView="100" workbookViewId="0">
      <selection activeCell="L15" activeCellId="4" sqref="F5:K5 F7:K7 K9 K11 L15"/>
    </sheetView>
  </sheetViews>
  <sheetFormatPr defaultColWidth="0" defaultRowHeight="15" customHeight="1" zeroHeight="1"/>
  <cols>
    <col min="1" max="1" width="8.69921875" style="156" customWidth="1"/>
    <col min="2" max="2" width="3.09765625" style="157" customWidth="1"/>
    <col min="3" max="3" width="7.19921875" style="157" customWidth="1"/>
    <col min="4" max="4" width="6.69921875" style="157" customWidth="1"/>
    <col min="5" max="5" width="7.5" style="157" customWidth="1"/>
    <col min="6" max="6" width="7.8984375" style="157" customWidth="1"/>
    <col min="7" max="7" width="6.69921875" style="157" customWidth="1"/>
    <col min="8" max="8" width="6.5" style="157" customWidth="1"/>
    <col min="9" max="9" width="6.8984375" style="157" customWidth="1"/>
    <col min="10" max="10" width="7.59765625" style="158" customWidth="1"/>
    <col min="11" max="11" width="9.3984375" style="157" customWidth="1"/>
    <col min="12" max="13" width="9.19921875" style="157" customWidth="1"/>
    <col min="14" max="14" width="5.69921875" style="156" customWidth="1"/>
    <col min="15" max="21" width="9" style="157" customWidth="1"/>
    <col min="22" max="22" width="10.19921875" style="157" customWidth="1"/>
    <col min="23" max="23" width="10.3984375" style="157" customWidth="1"/>
    <col min="24" max="24" width="10.59765625" style="157" customWidth="1"/>
    <col min="25" max="25" width="10.8984375" style="157" customWidth="1"/>
    <col min="26" max="26" width="9" style="157" customWidth="1"/>
    <col min="27" max="53" width="0" style="157" hidden="1" customWidth="1"/>
    <col min="54" max="16384" width="9" style="157" hidden="1"/>
  </cols>
  <sheetData>
    <row r="1" spans="2:53" ht="52.5" customHeight="1">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row>
    <row r="2" spans="2:53" ht="17.399999999999999" customHeight="1">
      <c r="B2" s="160"/>
      <c r="C2" s="161"/>
      <c r="D2" s="162"/>
      <c r="E2" s="162"/>
      <c r="F2" s="162"/>
      <c r="G2" s="162"/>
      <c r="H2" s="162"/>
      <c r="I2" s="162"/>
      <c r="J2" s="161"/>
      <c r="K2" s="160"/>
      <c r="L2" s="160"/>
      <c r="M2" s="160"/>
      <c r="O2" s="163"/>
      <c r="P2" s="164"/>
      <c r="Q2" s="164"/>
      <c r="R2" s="164"/>
      <c r="S2" s="164"/>
      <c r="T2" s="164"/>
      <c r="U2" s="164"/>
      <c r="V2" s="164"/>
      <c r="W2" s="164"/>
      <c r="X2" s="164"/>
      <c r="Y2" s="164"/>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row>
    <row r="3" spans="2:53" ht="17.399999999999999" customHeight="1">
      <c r="B3" s="160"/>
      <c r="C3" s="328" t="s">
        <v>2</v>
      </c>
      <c r="D3" s="162"/>
      <c r="E3" s="162"/>
      <c r="F3" s="162"/>
      <c r="G3" s="162"/>
      <c r="H3" s="162"/>
      <c r="I3" s="162"/>
      <c r="J3" s="161"/>
      <c r="K3" s="160"/>
      <c r="L3" s="160"/>
      <c r="M3" s="160"/>
      <c r="O3" s="164"/>
      <c r="P3" s="166"/>
      <c r="Q3" s="166"/>
      <c r="R3" s="166"/>
      <c r="S3" s="166"/>
      <c r="T3" s="166"/>
      <c r="U3" s="166"/>
      <c r="V3" s="166"/>
      <c r="W3" s="166"/>
      <c r="X3" s="166"/>
      <c r="Y3" s="166"/>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row>
    <row r="4" spans="2:53" ht="17.399999999999999" customHeight="1">
      <c r="B4" s="160"/>
      <c r="C4" s="165"/>
      <c r="D4" s="162"/>
      <c r="E4" s="162"/>
      <c r="F4" s="162"/>
      <c r="G4" s="162"/>
      <c r="H4" s="162"/>
      <c r="I4" s="162"/>
      <c r="J4" s="161"/>
      <c r="K4" s="160"/>
      <c r="L4" s="160"/>
      <c r="M4" s="160"/>
      <c r="O4" s="164"/>
      <c r="P4" s="166"/>
      <c r="Q4" s="166"/>
      <c r="R4" s="166"/>
      <c r="S4" s="166"/>
      <c r="T4" s="166"/>
      <c r="U4" s="166"/>
      <c r="V4" s="166"/>
      <c r="W4" s="166"/>
      <c r="X4" s="166"/>
      <c r="Y4" s="166"/>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row>
    <row r="5" spans="2:53" ht="17.399999999999999" customHeight="1">
      <c r="B5" s="160"/>
      <c r="C5" s="165" t="s">
        <v>766</v>
      </c>
      <c r="D5" s="162"/>
      <c r="E5" s="162"/>
      <c r="F5" s="481"/>
      <c r="G5" s="482"/>
      <c r="H5" s="482"/>
      <c r="I5" s="482"/>
      <c r="J5" s="482"/>
      <c r="K5" s="483"/>
      <c r="L5" s="160"/>
      <c r="M5" s="160"/>
      <c r="O5" s="164"/>
      <c r="P5" s="166"/>
      <c r="Q5" s="166"/>
      <c r="R5" s="166"/>
      <c r="S5" s="166"/>
      <c r="T5" s="166"/>
      <c r="U5" s="166"/>
      <c r="V5" s="166"/>
      <c r="W5" s="166"/>
      <c r="X5" s="166"/>
      <c r="Y5" s="166"/>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row>
    <row r="6" spans="2:53" ht="17.399999999999999" customHeight="1">
      <c r="B6" s="160"/>
      <c r="C6" s="165"/>
      <c r="D6" s="162"/>
      <c r="E6" s="162"/>
      <c r="F6" s="162"/>
      <c r="G6" s="162"/>
      <c r="H6" s="162"/>
      <c r="I6" s="162"/>
      <c r="J6" s="161"/>
      <c r="K6" s="160"/>
      <c r="L6" s="160"/>
      <c r="M6" s="160"/>
      <c r="O6" s="164"/>
      <c r="P6" s="166"/>
      <c r="Q6" s="166"/>
      <c r="R6" s="166"/>
      <c r="S6" s="166"/>
      <c r="T6" s="166"/>
      <c r="U6" s="166"/>
      <c r="V6" s="166"/>
      <c r="W6" s="166"/>
      <c r="X6" s="166"/>
      <c r="Y6" s="166"/>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row>
    <row r="7" spans="2:53" ht="17.399999999999999" customHeight="1">
      <c r="B7" s="160"/>
      <c r="C7" s="165" t="s">
        <v>767</v>
      </c>
      <c r="D7" s="162"/>
      <c r="E7" s="162"/>
      <c r="F7" s="484" t="s">
        <v>994</v>
      </c>
      <c r="G7" s="482"/>
      <c r="H7" s="482"/>
      <c r="I7" s="482"/>
      <c r="J7" s="482"/>
      <c r="K7" s="483"/>
      <c r="L7" s="160"/>
      <c r="M7" s="160"/>
      <c r="O7" s="164"/>
      <c r="P7" s="166"/>
      <c r="Q7" s="166"/>
      <c r="R7" s="166"/>
      <c r="S7" s="166"/>
      <c r="T7" s="166"/>
      <c r="U7" s="166"/>
      <c r="V7" s="166"/>
      <c r="W7" s="166"/>
      <c r="X7" s="166"/>
      <c r="Y7" s="166"/>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row>
    <row r="8" spans="2:53" ht="17.399999999999999" customHeight="1">
      <c r="B8" s="160"/>
      <c r="C8" s="173"/>
      <c r="D8" s="162"/>
      <c r="E8" s="162"/>
      <c r="F8" s="162"/>
      <c r="G8" s="162"/>
      <c r="H8" s="162"/>
      <c r="I8" s="162"/>
      <c r="J8" s="170"/>
      <c r="K8" s="162"/>
      <c r="L8" s="162"/>
      <c r="M8" s="162"/>
      <c r="N8" s="167"/>
      <c r="O8" s="168"/>
      <c r="P8" s="169"/>
      <c r="Q8" s="169"/>
      <c r="R8" s="169"/>
      <c r="S8" s="169"/>
      <c r="T8" s="169"/>
      <c r="U8" s="169"/>
      <c r="V8" s="169"/>
      <c r="W8" s="169"/>
      <c r="X8" s="169"/>
      <c r="Y8" s="16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row>
    <row r="9" spans="2:53" ht="17.399999999999999" customHeight="1">
      <c r="B9" s="160"/>
      <c r="C9" s="162" t="s">
        <v>753</v>
      </c>
      <c r="D9" s="162"/>
      <c r="E9" s="162"/>
      <c r="F9" s="162"/>
      <c r="G9" s="162"/>
      <c r="H9" s="162"/>
      <c r="I9" s="162"/>
      <c r="J9" s="174"/>
      <c r="K9" s="2">
        <f>M9-20</f>
        <v>-20</v>
      </c>
      <c r="L9" s="172" t="s">
        <v>12</v>
      </c>
      <c r="M9" s="480">
        <v>0</v>
      </c>
      <c r="N9" s="167"/>
      <c r="O9" s="168"/>
      <c r="P9" s="164"/>
      <c r="Q9" s="164"/>
      <c r="R9" s="164"/>
      <c r="S9" s="164"/>
      <c r="T9" s="164"/>
      <c r="U9" s="164"/>
      <c r="V9" s="169"/>
      <c r="W9" s="169"/>
      <c r="X9" s="169"/>
      <c r="Y9" s="16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row>
    <row r="10" spans="2:53" ht="17.399999999999999" customHeight="1">
      <c r="B10" s="160"/>
      <c r="C10" s="162"/>
      <c r="D10" s="162"/>
      <c r="E10" s="162"/>
      <c r="F10" s="162"/>
      <c r="G10" s="162"/>
      <c r="H10" s="162"/>
      <c r="I10" s="162"/>
      <c r="J10" s="170"/>
      <c r="K10" s="162"/>
      <c r="L10" s="162"/>
      <c r="M10" s="162"/>
      <c r="N10" s="167"/>
      <c r="O10" s="168"/>
      <c r="P10" s="164"/>
      <c r="Q10" s="164"/>
      <c r="R10" s="164"/>
      <c r="S10" s="164"/>
      <c r="T10" s="164"/>
      <c r="U10" s="164"/>
      <c r="V10" s="169"/>
      <c r="W10" s="169"/>
      <c r="X10" s="169"/>
      <c r="Y10" s="16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row>
    <row r="11" spans="2:53" ht="17.399999999999999" customHeight="1">
      <c r="B11" s="160"/>
      <c r="C11" s="162" t="s">
        <v>754</v>
      </c>
      <c r="D11" s="162"/>
      <c r="E11" s="162"/>
      <c r="F11" s="162"/>
      <c r="G11" s="162"/>
      <c r="H11" s="162"/>
      <c r="I11" s="162"/>
      <c r="J11" s="170"/>
      <c r="K11" s="2">
        <v>5</v>
      </c>
      <c r="L11" s="172" t="s">
        <v>12</v>
      </c>
      <c r="M11" s="162"/>
      <c r="N11" s="167"/>
      <c r="O11" s="168"/>
      <c r="P11" s="164"/>
      <c r="Q11" s="164"/>
      <c r="R11" s="164"/>
      <c r="S11" s="164"/>
      <c r="T11" s="164"/>
      <c r="U11" s="164"/>
      <c r="V11" s="169"/>
      <c r="W11" s="169"/>
      <c r="X11" s="169"/>
      <c r="Y11" s="16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row>
    <row r="12" spans="2:53" ht="17.399999999999999" customHeight="1">
      <c r="B12" s="160"/>
      <c r="C12" s="162"/>
      <c r="D12" s="162"/>
      <c r="E12" s="162"/>
      <c r="F12" s="162"/>
      <c r="G12" s="162"/>
      <c r="H12" s="162"/>
      <c r="I12" s="162"/>
      <c r="J12" s="170"/>
      <c r="K12" s="162"/>
      <c r="L12" s="162"/>
      <c r="M12" s="162"/>
      <c r="N12" s="167"/>
      <c r="O12" s="168"/>
      <c r="P12" s="164"/>
      <c r="Q12" s="164"/>
      <c r="R12" s="164"/>
      <c r="S12" s="164"/>
      <c r="T12" s="164"/>
      <c r="U12" s="164"/>
      <c r="V12" s="169"/>
      <c r="W12" s="169"/>
      <c r="X12" s="169"/>
      <c r="Y12" s="16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row>
    <row r="13" spans="2:53" ht="17.399999999999999" customHeight="1">
      <c r="B13" s="160"/>
      <c r="C13" s="162" t="s">
        <v>713</v>
      </c>
      <c r="D13" s="162"/>
      <c r="E13" s="162"/>
      <c r="F13" s="162"/>
      <c r="G13" s="162"/>
      <c r="H13" s="162"/>
      <c r="I13" s="162"/>
      <c r="J13" s="170"/>
      <c r="K13" s="162"/>
      <c r="L13" s="162"/>
      <c r="M13" s="162"/>
      <c r="N13" s="167"/>
      <c r="O13" s="168"/>
      <c r="P13" s="164"/>
      <c r="Q13" s="164"/>
      <c r="R13" s="164"/>
      <c r="S13" s="164"/>
      <c r="T13" s="164"/>
      <c r="U13" s="164"/>
      <c r="V13" s="169"/>
      <c r="W13" s="169"/>
      <c r="X13" s="169"/>
      <c r="Y13" s="16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row>
    <row r="14" spans="2:53" ht="17.399999999999999" customHeight="1">
      <c r="B14" s="160"/>
      <c r="C14" s="175"/>
      <c r="D14" s="162"/>
      <c r="E14" s="162"/>
      <c r="F14" s="162"/>
      <c r="G14" s="162"/>
      <c r="H14" s="162"/>
      <c r="I14" s="162"/>
      <c r="J14" s="170"/>
      <c r="K14" s="162"/>
      <c r="L14" s="162"/>
      <c r="M14" s="162"/>
      <c r="N14" s="167"/>
      <c r="O14" s="168"/>
      <c r="P14" s="164"/>
      <c r="Q14" s="164"/>
      <c r="R14" s="164"/>
      <c r="S14" s="164"/>
      <c r="T14" s="164"/>
      <c r="U14" s="164"/>
      <c r="V14" s="169"/>
      <c r="W14" s="169"/>
      <c r="X14" s="169"/>
      <c r="Y14" s="16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row>
    <row r="15" spans="2:53" ht="17.399999999999999" customHeight="1">
      <c r="B15" s="160"/>
      <c r="C15" s="162" t="s">
        <v>770</v>
      </c>
      <c r="D15" s="162"/>
      <c r="E15" s="162"/>
      <c r="F15" s="162"/>
      <c r="G15" s="162"/>
      <c r="H15" s="162"/>
      <c r="I15" s="162"/>
      <c r="J15" s="176"/>
      <c r="K15" s="177"/>
      <c r="L15" s="333">
        <v>0.5</v>
      </c>
      <c r="M15" s="162"/>
      <c r="N15" s="167"/>
      <c r="O15" s="168"/>
      <c r="P15" s="164"/>
      <c r="Q15" s="164"/>
      <c r="R15" s="164"/>
      <c r="S15" s="164"/>
      <c r="T15" s="164"/>
      <c r="U15" s="164"/>
      <c r="V15" s="169"/>
      <c r="W15" s="169"/>
      <c r="X15" s="169"/>
      <c r="Y15" s="16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row>
    <row r="16" spans="2:53" ht="17.399999999999999" customHeight="1">
      <c r="B16" s="160"/>
      <c r="C16" s="162"/>
      <c r="D16" s="162"/>
      <c r="E16" s="162"/>
      <c r="F16" s="162"/>
      <c r="G16" s="162"/>
      <c r="H16" s="162"/>
      <c r="I16" s="162"/>
      <c r="J16" s="176"/>
      <c r="K16" s="177"/>
      <c r="L16" s="162"/>
      <c r="M16" s="162"/>
      <c r="O16" s="156"/>
      <c r="P16" s="156"/>
      <c r="Q16" s="156"/>
      <c r="R16" s="164"/>
      <c r="S16" s="164"/>
      <c r="T16" s="164"/>
      <c r="U16" s="164"/>
      <c r="V16" s="169"/>
      <c r="W16" s="169"/>
      <c r="X16" s="169"/>
      <c r="Y16" s="16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row>
    <row r="17" spans="2:53" ht="17.399999999999999" customHeight="1">
      <c r="B17" s="160"/>
      <c r="C17" s="162" t="s">
        <v>762</v>
      </c>
      <c r="D17" s="162"/>
      <c r="E17" s="162"/>
      <c r="F17" s="162"/>
      <c r="G17" s="162"/>
      <c r="H17" s="162"/>
      <c r="I17" s="162"/>
      <c r="J17" s="176"/>
      <c r="K17" s="179">
        <f>'8'!D9/10</f>
        <v>3</v>
      </c>
      <c r="L17" s="178" t="s">
        <v>3</v>
      </c>
      <c r="M17" s="162"/>
      <c r="O17" s="156"/>
      <c r="P17" s="156"/>
      <c r="Q17" s="156"/>
      <c r="R17" s="164"/>
      <c r="S17" s="164"/>
      <c r="T17" s="164"/>
      <c r="U17" s="164"/>
      <c r="V17" s="169"/>
      <c r="W17" s="169"/>
      <c r="X17" s="169"/>
      <c r="Y17" s="16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row>
    <row r="18" spans="2:53" ht="17.399999999999999" customHeight="1">
      <c r="B18" s="160"/>
      <c r="C18" s="162"/>
      <c r="D18" s="162"/>
      <c r="E18" s="162"/>
      <c r="F18" s="162"/>
      <c r="G18" s="162"/>
      <c r="H18" s="162"/>
      <c r="I18" s="162"/>
      <c r="J18" s="176"/>
      <c r="K18" s="179"/>
      <c r="L18" s="178"/>
      <c r="M18" s="162"/>
      <c r="O18" s="156"/>
      <c r="P18" s="156"/>
      <c r="Q18" s="156"/>
      <c r="R18" s="164"/>
      <c r="S18" s="164"/>
      <c r="T18" s="164"/>
      <c r="U18" s="164"/>
      <c r="V18" s="169"/>
      <c r="W18" s="169"/>
      <c r="X18" s="169"/>
      <c r="Y18" s="16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row>
    <row r="19" spans="2:53" ht="17.399999999999999" customHeight="1">
      <c r="B19" s="160"/>
      <c r="C19" s="162" t="s">
        <v>763</v>
      </c>
      <c r="D19" s="162"/>
      <c r="E19" s="162"/>
      <c r="F19" s="162"/>
      <c r="G19" s="162"/>
      <c r="H19" s="162"/>
      <c r="I19" s="162"/>
      <c r="J19" s="176"/>
      <c r="K19" s="179"/>
      <c r="L19" s="178"/>
      <c r="M19" s="162"/>
      <c r="O19" s="156"/>
      <c r="P19" s="156"/>
      <c r="Q19" s="156"/>
      <c r="R19" s="164"/>
      <c r="S19" s="164"/>
      <c r="T19" s="164"/>
      <c r="U19" s="164"/>
      <c r="V19" s="169"/>
      <c r="W19" s="169"/>
      <c r="X19" s="169"/>
      <c r="Y19" s="16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row>
    <row r="20" spans="2:53" ht="17.399999999999999" customHeight="1">
      <c r="B20" s="160"/>
      <c r="C20" s="162"/>
      <c r="D20" s="162"/>
      <c r="E20" s="162"/>
      <c r="F20" s="162"/>
      <c r="G20" s="162"/>
      <c r="H20" s="162"/>
      <c r="I20" s="162"/>
      <c r="J20" s="176"/>
      <c r="K20" s="179"/>
      <c r="L20" s="178"/>
      <c r="M20" s="162"/>
      <c r="O20" s="156"/>
      <c r="P20" s="156"/>
      <c r="Q20" s="156"/>
      <c r="R20" s="164"/>
      <c r="S20" s="164"/>
      <c r="T20" s="164"/>
      <c r="U20" s="164"/>
      <c r="V20" s="169"/>
      <c r="W20" s="169"/>
      <c r="X20" s="169"/>
      <c r="Y20" s="16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row>
    <row r="21" spans="2:53" ht="17.399999999999999" customHeight="1">
      <c r="B21" s="271"/>
      <c r="C21" s="325"/>
      <c r="D21" s="325"/>
      <c r="E21" s="325"/>
      <c r="F21" s="325"/>
      <c r="G21" s="325"/>
      <c r="H21" s="325"/>
      <c r="I21" s="325"/>
      <c r="J21" s="326"/>
      <c r="K21" s="325"/>
      <c r="L21" s="271"/>
      <c r="M21" s="271"/>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row>
    <row r="22" spans="2:53" ht="17.399999999999999" customHeight="1">
      <c r="C22" s="183" t="s">
        <v>755</v>
      </c>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row>
    <row r="23" spans="2:53" ht="17.399999999999999" customHeight="1">
      <c r="C23" s="183"/>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row>
    <row r="24" spans="2:53" ht="17.399999999999999" customHeight="1">
      <c r="C24" s="183" t="s">
        <v>766</v>
      </c>
      <c r="F24" s="489" t="str">
        <f>IF(F5="","",F5)</f>
        <v/>
      </c>
      <c r="G24" s="490"/>
      <c r="H24" s="490"/>
      <c r="I24" s="490"/>
      <c r="J24" s="490"/>
      <c r="K24" s="490"/>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row>
    <row r="25" spans="2:53" ht="17.399999999999999" customHeight="1">
      <c r="C25" s="183" t="s">
        <v>767</v>
      </c>
      <c r="F25" s="491" t="str">
        <f>IF(F7="","",F7)</f>
        <v>IMI Hydronic Engineering</v>
      </c>
      <c r="G25" s="490"/>
      <c r="H25" s="490"/>
      <c r="I25" s="490"/>
      <c r="J25" s="490"/>
      <c r="K25" s="490"/>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row>
    <row r="26" spans="2:53" ht="17.399999999999999" customHeight="1">
      <c r="C26" s="332" t="s">
        <v>768</v>
      </c>
      <c r="D26" s="331"/>
      <c r="E26" s="330"/>
      <c r="F26" s="493">
        <f ca="1">NOW()</f>
        <v>44656.337238425927</v>
      </c>
      <c r="G26" s="493"/>
      <c r="J26" s="32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row>
    <row r="27" spans="2:53" ht="17.399999999999999" customHeight="1">
      <c r="C27" s="183"/>
      <c r="J27" s="32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row>
    <row r="28" spans="2:53" ht="17.399999999999999" customHeight="1">
      <c r="C28" s="183" t="s">
        <v>660</v>
      </c>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row>
    <row r="29" spans="2:53" ht="17.399999999999999" customHeight="1">
      <c r="C29" s="183"/>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row>
    <row r="30" spans="2:53" ht="17.399999999999999" customHeight="1">
      <c r="C30" s="183" t="s">
        <v>756</v>
      </c>
      <c r="J30" s="207"/>
      <c r="K30" s="183">
        <f>K9</f>
        <v>-20</v>
      </c>
      <c r="L30" s="183" t="str">
        <f>L9</f>
        <v>˚C</v>
      </c>
      <c r="M30" s="183"/>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row>
    <row r="31" spans="2:53" ht="17.399999999999999" customHeight="1">
      <c r="C31" s="183" t="s">
        <v>757</v>
      </c>
      <c r="J31" s="207"/>
      <c r="K31" s="183">
        <f>K11</f>
        <v>5</v>
      </c>
      <c r="L31" s="183" t="str">
        <f>L11</f>
        <v>˚C</v>
      </c>
      <c r="M31" s="183"/>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row>
    <row r="32" spans="2:53" ht="17.399999999999999" customHeight="1">
      <c r="C32" s="183" t="str">
        <f>C13</f>
        <v>3) Rodzaj czynnika w systemie:</v>
      </c>
      <c r="J32" s="494" t="str">
        <f>'8'!F12</f>
        <v>glikol propylenowy:  40%        (-21˚C)</v>
      </c>
      <c r="K32" s="495"/>
      <c r="L32" s="495"/>
      <c r="M32" s="495"/>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row>
    <row r="33" spans="3:53" ht="17.399999999999999" customHeight="1">
      <c r="C33" s="183" t="s">
        <v>772</v>
      </c>
      <c r="J33" s="207"/>
      <c r="K33" s="334">
        <f>L15</f>
        <v>0.5</v>
      </c>
      <c r="L33" s="183" t="s">
        <v>771</v>
      </c>
      <c r="M33" s="183"/>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row>
    <row r="34" spans="3:53" ht="17.399999999999999" customHeight="1">
      <c r="C34" s="183" t="s">
        <v>762</v>
      </c>
      <c r="K34" s="216">
        <f>K17</f>
        <v>3</v>
      </c>
      <c r="L34" s="183" t="str">
        <f>L17</f>
        <v>bar</v>
      </c>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row>
    <row r="35" spans="3:53" ht="17.399999999999999" customHeight="1">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row>
    <row r="36" spans="3:53" ht="17.399999999999999" customHeight="1">
      <c r="G36" s="157" t="s">
        <v>21</v>
      </c>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row>
    <row r="37" spans="3:53" ht="17.399999999999999" customHeight="1">
      <c r="C37" s="1" t="s">
        <v>0</v>
      </c>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row>
    <row r="38" spans="3:53" ht="17.399999999999999" customHeight="1">
      <c r="D38" s="157" t="s">
        <v>163</v>
      </c>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row>
    <row r="39" spans="3:53" ht="17.399999999999999" customHeight="1">
      <c r="D39" s="157" t="s">
        <v>26</v>
      </c>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row>
    <row r="40" spans="3:53" ht="17.399999999999999" customHeight="1">
      <c r="D40" s="220" t="s">
        <v>164</v>
      </c>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row>
    <row r="41" spans="3:53" ht="17.399999999999999" customHeight="1">
      <c r="D41" s="157" t="s">
        <v>45</v>
      </c>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row>
    <row r="42" spans="3:53" ht="17.399999999999999" customHeight="1">
      <c r="C42" s="1" t="s">
        <v>28</v>
      </c>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row>
    <row r="43" spans="3:53" ht="17.399999999999999" customHeight="1">
      <c r="D43" s="1" t="s">
        <v>165</v>
      </c>
      <c r="E43" s="190">
        <f>L15*1000</f>
        <v>500</v>
      </c>
      <c r="F43" s="157" t="s">
        <v>21</v>
      </c>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row>
    <row r="44" spans="3:53" ht="17.399999999999999" customHeight="1">
      <c r="D44" s="30" t="s">
        <v>166</v>
      </c>
      <c r="E44" s="12">
        <f>'8'!F24</f>
        <v>1.2392394286254736E-2</v>
      </c>
      <c r="F44" s="200"/>
      <c r="H44" s="1" t="s">
        <v>764</v>
      </c>
      <c r="I44" s="157">
        <f>K9</f>
        <v>-20</v>
      </c>
      <c r="J44" s="220" t="s">
        <v>33</v>
      </c>
      <c r="K44" s="1" t="s">
        <v>765</v>
      </c>
      <c r="L44" s="157">
        <f>K11</f>
        <v>5</v>
      </c>
      <c r="M44" s="220" t="s">
        <v>33</v>
      </c>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row>
    <row r="45" spans="3:53" ht="17.399999999999999" customHeight="1">
      <c r="C45" s="1" t="s">
        <v>32</v>
      </c>
      <c r="E45" s="187"/>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row>
    <row r="46" spans="3:53" ht="17.399999999999999" customHeight="1">
      <c r="D46" s="275" t="s">
        <v>738</v>
      </c>
      <c r="E46" s="324">
        <f>E43*E44+'8'!D30</f>
        <v>6.1961971431273684</v>
      </c>
      <c r="F46" s="217" t="s">
        <v>664</v>
      </c>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row>
    <row r="47" spans="3:53" ht="17.399999999999999" customHeight="1">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row>
    <row r="48" spans="3:53" ht="22.5" customHeight="1">
      <c r="C48" s="183" t="s">
        <v>209</v>
      </c>
      <c r="J48" s="207"/>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row>
    <row r="49" spans="2:53" ht="22.5" customHeight="1">
      <c r="C49" s="221" t="s">
        <v>210</v>
      </c>
      <c r="J49" s="207"/>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row>
    <row r="50" spans="2:53" ht="17.399999999999999" customHeight="1">
      <c r="B50" s="315"/>
      <c r="C50" s="315"/>
      <c r="D50" s="315"/>
      <c r="E50" s="315"/>
      <c r="F50" s="315"/>
      <c r="G50" s="315"/>
      <c r="H50" s="315"/>
      <c r="I50" s="315"/>
      <c r="J50" s="316"/>
      <c r="K50" s="315"/>
      <c r="L50" s="315"/>
      <c r="M50" s="315"/>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row>
    <row r="51" spans="2:53" ht="17.399999999999999" customHeight="1">
      <c r="B51" s="315"/>
      <c r="C51" s="315"/>
      <c r="D51" s="315"/>
      <c r="E51" s="315"/>
      <c r="F51" s="321" t="s">
        <v>124</v>
      </c>
      <c r="G51" s="322">
        <v>1</v>
      </c>
      <c r="H51" s="323" t="s">
        <v>1</v>
      </c>
      <c r="I51" s="315"/>
      <c r="J51" s="317"/>
      <c r="K51" s="315"/>
      <c r="L51" s="315"/>
      <c r="M51" s="315"/>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row>
    <row r="52" spans="2:53" ht="17.399999999999999" customHeight="1">
      <c r="B52" s="315"/>
      <c r="C52" s="342" t="str">
        <f>IF(F57&lt;E46,"Dobierz naczynie pośrednie o większej pojemności lub zwiększ ich liczbę!!!","Dobrane naczynie spełnia wymagania wg wytycznych Pneumatex")</f>
        <v>Dobrane naczynie spełnia wymagania wg wytycznych Pneumatex</v>
      </c>
      <c r="D52" s="315"/>
      <c r="E52" s="315"/>
      <c r="F52" s="321"/>
      <c r="G52" s="323"/>
      <c r="H52" s="323"/>
      <c r="I52" s="315"/>
      <c r="J52" s="317"/>
      <c r="K52" s="315"/>
      <c r="L52" s="315"/>
      <c r="M52" s="315"/>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row>
    <row r="53" spans="2:53" ht="17.399999999999999" customHeight="1">
      <c r="B53" s="315"/>
      <c r="C53" s="318" t="str">
        <f>IF('8'!F81&lt;NP!K17,"Ciśnienie nominalne dla naczynia pośredniego jest mniejsze niż wybrane PSV","")</f>
        <v/>
      </c>
      <c r="D53" s="315"/>
      <c r="E53" s="315"/>
      <c r="F53" s="315"/>
      <c r="G53" s="319"/>
      <c r="H53" s="319"/>
      <c r="I53" s="320"/>
      <c r="J53" s="317"/>
      <c r="K53" s="315"/>
      <c r="L53" s="315"/>
      <c r="M53" s="315"/>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row>
    <row r="54" spans="2:53" ht="17.399999999999999" customHeight="1">
      <c r="B54" s="160"/>
      <c r="C54" s="272" t="str">
        <f>IF(C53="Ciśnienie nominalne dla naczynia pośredniego jest mniejsze niż wybrane PSV","Wybierz naczynie o wyższym ciśnieniu nominalnym!!!","")</f>
        <v/>
      </c>
      <c r="D54" s="160"/>
      <c r="E54" s="300"/>
      <c r="F54" s="300"/>
      <c r="G54" s="301"/>
      <c r="H54" s="301"/>
      <c r="I54" s="302"/>
      <c r="J54" s="298"/>
      <c r="K54" s="160"/>
      <c r="L54" s="160"/>
      <c r="M54" s="160"/>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row>
    <row r="55" spans="2:53" ht="17.399999999999999" customHeight="1">
      <c r="B55" s="221"/>
      <c r="C55" s="240"/>
      <c r="D55" s="221"/>
      <c r="E55" s="241"/>
      <c r="F55" s="241"/>
      <c r="G55" s="242"/>
      <c r="H55" s="242"/>
      <c r="I55" s="243"/>
      <c r="J55" s="244"/>
      <c r="K55" s="221"/>
      <c r="L55" s="221"/>
      <c r="M55" s="221"/>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row>
    <row r="56" spans="2:53" ht="17.399999999999999" customHeight="1">
      <c r="C56" s="157" t="s">
        <v>129</v>
      </c>
      <c r="I56" s="157" t="str">
        <f>IF('8'!F83=0,"",'8'!F83)</f>
        <v xml:space="preserve">DD 8.10  </v>
      </c>
      <c r="K56" s="157" t="s">
        <v>130</v>
      </c>
      <c r="L56" s="255">
        <f>G51</f>
        <v>1</v>
      </c>
      <c r="O56" s="180" t="s">
        <v>226</v>
      </c>
      <c r="P56" s="180"/>
      <c r="Q56" s="180"/>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row>
    <row r="57" spans="2:53" ht="17.399999999999999" customHeight="1">
      <c r="C57" s="157" t="s">
        <v>131</v>
      </c>
      <c r="F57" s="255">
        <f>G51*'8'!F80</f>
        <v>8</v>
      </c>
      <c r="H57" s="157" t="s">
        <v>230</v>
      </c>
      <c r="L57" s="158"/>
      <c r="O57" s="180" t="s">
        <v>228</v>
      </c>
      <c r="Q57" s="151" t="s">
        <v>229</v>
      </c>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row>
    <row r="58" spans="2:53" ht="17.399999999999999" customHeight="1">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row>
    <row r="59" spans="2:53" ht="17.399999999999999" customHeight="1">
      <c r="C59" s="183" t="s">
        <v>218</v>
      </c>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row>
    <row r="60" spans="2:53" ht="17.399999999999999" customHeight="1">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row>
    <row r="61" spans="2:53" ht="17.399999999999999" customHeight="1">
      <c r="C61" s="183" t="s">
        <v>219</v>
      </c>
      <c r="H61" s="183" t="s">
        <v>220</v>
      </c>
      <c r="I61" s="183"/>
      <c r="J61" s="183" t="s">
        <v>221</v>
      </c>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row>
    <row r="62" spans="2:53" ht="17.399999999999999" customHeight="1">
      <c r="C62" s="183"/>
      <c r="H62" s="183"/>
      <c r="I62" s="183"/>
      <c r="J62" s="183"/>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row>
    <row r="63" spans="2:53" ht="17.399999999999999" customHeight="1">
      <c r="C63" s="157" t="str">
        <f>'8'!F83</f>
        <v xml:space="preserve">DD 8.10  </v>
      </c>
      <c r="H63" s="157">
        <f>G51</f>
        <v>1</v>
      </c>
      <c r="J63" s="157">
        <f>'8'!F84</f>
        <v>7142020</v>
      </c>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row>
    <row r="64" spans="2:53" ht="17.399999999999999" customHeight="1">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row>
    <row r="65" spans="2:53" ht="17.399999999999999" customHeight="1">
      <c r="C65" s="210" t="s">
        <v>8</v>
      </c>
      <c r="D65" s="210"/>
      <c r="E65" s="210"/>
      <c r="F65" s="210"/>
      <c r="G65" s="210"/>
      <c r="H65" s="210"/>
      <c r="M65" s="222"/>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row>
    <row r="66" spans="2:53" ht="17.399999999999999" customHeight="1">
      <c r="B66" s="156"/>
      <c r="C66" s="156"/>
      <c r="D66" s="156"/>
      <c r="E66" s="156"/>
      <c r="F66" s="156"/>
      <c r="G66" s="156"/>
      <c r="H66" s="156"/>
      <c r="I66" s="156"/>
      <c r="J66" s="223"/>
      <c r="K66" s="156"/>
      <c r="L66" s="156"/>
      <c r="M66" s="156"/>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row>
    <row r="67" spans="2:53" ht="17.399999999999999" customHeight="1">
      <c r="B67" s="156"/>
      <c r="C67" s="156"/>
      <c r="D67" s="156"/>
      <c r="E67" s="156"/>
      <c r="F67" s="156"/>
      <c r="G67" s="156"/>
      <c r="H67" s="156"/>
      <c r="I67" s="156"/>
      <c r="J67" s="223"/>
      <c r="K67" s="156"/>
      <c r="L67" s="156"/>
      <c r="M67" s="156"/>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row>
    <row r="68" spans="2:53" ht="17.399999999999999" customHeight="1">
      <c r="B68" s="156"/>
      <c r="C68" s="156"/>
      <c r="D68" s="156"/>
      <c r="E68" s="156"/>
      <c r="F68" s="156"/>
      <c r="G68" s="156"/>
      <c r="H68" s="156"/>
      <c r="I68" s="156"/>
      <c r="J68" s="223"/>
      <c r="K68" s="156"/>
      <c r="L68" s="156"/>
      <c r="M68" s="156"/>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row>
    <row r="69" spans="2:53" ht="17.399999999999999" customHeight="1">
      <c r="B69" s="156"/>
      <c r="C69" s="156"/>
      <c r="D69" s="156"/>
      <c r="E69" s="156"/>
      <c r="F69" s="156"/>
      <c r="G69" s="156"/>
      <c r="H69" s="156"/>
      <c r="I69" s="156"/>
      <c r="J69" s="223"/>
      <c r="K69" s="156"/>
      <c r="L69" s="156"/>
      <c r="M69" s="156"/>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row>
    <row r="70" spans="2:53" ht="17.399999999999999" customHeight="1">
      <c r="B70" s="156"/>
      <c r="C70" s="156"/>
      <c r="D70" s="156"/>
      <c r="E70" s="156"/>
      <c r="F70" s="156"/>
      <c r="G70" s="156"/>
      <c r="H70" s="156"/>
      <c r="I70" s="156"/>
      <c r="J70" s="223"/>
      <c r="K70" s="156"/>
      <c r="L70" s="156"/>
      <c r="M70" s="156"/>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row>
    <row r="71" spans="2:53" ht="17.399999999999999" customHeight="1">
      <c r="B71" s="159"/>
      <c r="C71" s="156"/>
      <c r="D71" s="156"/>
      <c r="E71" s="156"/>
      <c r="F71" s="156"/>
      <c r="G71" s="156"/>
      <c r="H71" s="156"/>
      <c r="I71" s="156"/>
      <c r="J71" s="223"/>
      <c r="K71" s="156"/>
      <c r="L71" s="156"/>
      <c r="M71" s="156"/>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row>
    <row r="72" spans="2:53" ht="17.399999999999999" customHeight="1">
      <c r="B72" s="159"/>
      <c r="C72" s="159"/>
      <c r="D72" s="159"/>
      <c r="E72" s="159"/>
      <c r="F72" s="159"/>
      <c r="G72" s="159"/>
      <c r="H72" s="159"/>
      <c r="I72" s="159"/>
      <c r="J72" s="224"/>
      <c r="K72" s="159"/>
      <c r="L72" s="159"/>
      <c r="M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row>
    <row r="73" spans="2:53" ht="17.399999999999999" customHeight="1">
      <c r="B73" s="159"/>
      <c r="C73" s="159"/>
      <c r="D73" s="159"/>
      <c r="E73" s="159"/>
      <c r="F73" s="159"/>
      <c r="G73" s="159"/>
      <c r="H73" s="159"/>
      <c r="I73" s="159"/>
      <c r="J73" s="224"/>
      <c r="K73" s="159"/>
      <c r="L73" s="159"/>
      <c r="M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row>
    <row r="74" spans="2:53" ht="17.399999999999999" customHeight="1">
      <c r="B74" s="159"/>
      <c r="C74" s="159"/>
      <c r="D74" s="159"/>
      <c r="E74" s="159"/>
      <c r="F74" s="159"/>
      <c r="G74" s="159"/>
      <c r="H74" s="159"/>
      <c r="I74" s="159"/>
      <c r="J74" s="224"/>
      <c r="K74" s="159"/>
      <c r="L74" s="159"/>
      <c r="M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row>
    <row r="75" spans="2:53" ht="17.399999999999999" customHeight="1">
      <c r="B75" s="159"/>
      <c r="C75" s="159"/>
      <c r="D75" s="159"/>
      <c r="E75" s="159"/>
      <c r="F75" s="159"/>
      <c r="G75" s="159"/>
      <c r="H75" s="159"/>
      <c r="I75" s="159"/>
      <c r="J75" s="224"/>
      <c r="K75" s="159"/>
      <c r="L75" s="159"/>
      <c r="M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row>
    <row r="76" spans="2:53" ht="17.399999999999999" customHeight="1">
      <c r="B76" s="159"/>
      <c r="C76" s="159"/>
      <c r="D76" s="159"/>
      <c r="E76" s="159"/>
      <c r="F76" s="159"/>
      <c r="G76" s="159"/>
      <c r="H76" s="159"/>
      <c r="I76" s="159"/>
      <c r="J76" s="224"/>
      <c r="K76" s="159"/>
      <c r="L76" s="159"/>
      <c r="M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row>
    <row r="77" spans="2:53" ht="17.399999999999999" customHeight="1">
      <c r="B77" s="159"/>
      <c r="C77" s="159"/>
      <c r="D77" s="159"/>
      <c r="E77" s="159"/>
      <c r="F77" s="159"/>
      <c r="G77" s="159"/>
      <c r="H77" s="159"/>
      <c r="I77" s="159"/>
      <c r="J77" s="224"/>
      <c r="K77" s="159"/>
      <c r="L77" s="159"/>
      <c r="M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row>
    <row r="78" spans="2:53" ht="17.399999999999999" customHeight="1">
      <c r="B78" s="159"/>
      <c r="C78" s="159"/>
      <c r="D78" s="159"/>
      <c r="E78" s="159"/>
      <c r="F78" s="159"/>
      <c r="G78" s="159"/>
      <c r="H78" s="159"/>
      <c r="I78" s="159"/>
      <c r="J78" s="224"/>
      <c r="K78" s="159"/>
      <c r="L78" s="159"/>
      <c r="M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row>
    <row r="79" spans="2:53" ht="17.399999999999999" customHeight="1">
      <c r="B79" s="159"/>
      <c r="C79" s="159"/>
      <c r="D79" s="159"/>
      <c r="E79" s="159"/>
      <c r="F79" s="159"/>
      <c r="G79" s="159"/>
      <c r="H79" s="159"/>
      <c r="I79" s="159"/>
      <c r="J79" s="224"/>
      <c r="K79" s="159"/>
      <c r="L79" s="159"/>
      <c r="M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row>
    <row r="80" spans="2:53" ht="17.399999999999999" customHeight="1">
      <c r="B80" s="159"/>
      <c r="C80" s="159"/>
      <c r="D80" s="159"/>
      <c r="E80" s="159"/>
      <c r="F80" s="159"/>
      <c r="G80" s="159"/>
      <c r="H80" s="159"/>
      <c r="I80" s="159"/>
      <c r="J80" s="224"/>
      <c r="K80" s="159"/>
      <c r="L80" s="159"/>
      <c r="M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row>
    <row r="81" spans="2:53" ht="17.399999999999999" customHeight="1">
      <c r="B81" s="159"/>
      <c r="C81" s="159"/>
      <c r="D81" s="159"/>
      <c r="E81" s="159"/>
      <c r="F81" s="159"/>
      <c r="G81" s="159"/>
      <c r="H81" s="159"/>
      <c r="I81" s="159"/>
      <c r="J81" s="224"/>
      <c r="K81" s="159"/>
      <c r="L81" s="159"/>
      <c r="M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row>
    <row r="82" spans="2:53" ht="17.399999999999999" customHeight="1">
      <c r="B82" s="159"/>
      <c r="C82" s="159"/>
      <c r="D82" s="159"/>
      <c r="E82" s="159"/>
      <c r="F82" s="159"/>
      <c r="G82" s="159"/>
      <c r="H82" s="159"/>
      <c r="I82" s="159"/>
      <c r="J82" s="224"/>
      <c r="K82" s="159"/>
      <c r="L82" s="159"/>
      <c r="M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row>
    <row r="83" spans="2:53" ht="17.399999999999999" customHeight="1">
      <c r="B83" s="159"/>
      <c r="C83" s="159"/>
      <c r="D83" s="159"/>
      <c r="E83" s="159"/>
      <c r="F83" s="159"/>
      <c r="G83" s="159"/>
      <c r="H83" s="159"/>
      <c r="I83" s="159"/>
      <c r="J83" s="224"/>
      <c r="K83" s="159"/>
      <c r="L83" s="159"/>
      <c r="M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row>
    <row r="84" spans="2:53" ht="17.399999999999999" customHeight="1">
      <c r="B84" s="159"/>
      <c r="C84" s="159"/>
      <c r="D84" s="159"/>
      <c r="E84" s="159"/>
      <c r="F84" s="159"/>
      <c r="G84" s="159"/>
      <c r="H84" s="159"/>
      <c r="I84" s="159"/>
      <c r="J84" s="224"/>
      <c r="K84" s="159"/>
      <c r="L84" s="159"/>
      <c r="M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row>
    <row r="85" spans="2:53" ht="17.399999999999999" customHeight="1">
      <c r="B85" s="159"/>
      <c r="C85" s="159"/>
      <c r="D85" s="159"/>
      <c r="E85" s="159"/>
      <c r="F85" s="159"/>
      <c r="G85" s="159"/>
      <c r="H85" s="159"/>
      <c r="I85" s="159"/>
      <c r="J85" s="224"/>
      <c r="K85" s="159"/>
      <c r="L85" s="159"/>
      <c r="M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row>
    <row r="86" spans="2:53" ht="17.399999999999999" customHeight="1">
      <c r="B86" s="159"/>
      <c r="C86" s="159"/>
      <c r="D86" s="159"/>
      <c r="E86" s="159"/>
      <c r="F86" s="159"/>
      <c r="G86" s="159"/>
      <c r="H86" s="159"/>
      <c r="I86" s="159"/>
      <c r="J86" s="224"/>
      <c r="K86" s="159"/>
      <c r="L86" s="159"/>
      <c r="M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row>
    <row r="87" spans="2:53" ht="17.399999999999999" customHeight="1">
      <c r="B87" s="159"/>
      <c r="C87" s="159"/>
      <c r="D87" s="159"/>
      <c r="E87" s="159"/>
      <c r="F87" s="159"/>
      <c r="G87" s="159"/>
      <c r="H87" s="159"/>
      <c r="I87" s="159"/>
      <c r="J87" s="224"/>
      <c r="K87" s="159"/>
      <c r="L87" s="159"/>
      <c r="M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row>
    <row r="88" spans="2:53" ht="17.399999999999999" customHeight="1">
      <c r="B88" s="159"/>
      <c r="C88" s="159"/>
      <c r="D88" s="159"/>
      <c r="E88" s="159"/>
      <c r="F88" s="159"/>
      <c r="G88" s="159"/>
      <c r="H88" s="159"/>
      <c r="I88" s="159"/>
      <c r="J88" s="224"/>
      <c r="K88" s="159"/>
      <c r="L88" s="159"/>
      <c r="M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row>
    <row r="89" spans="2:53" ht="17.399999999999999" customHeight="1">
      <c r="B89" s="159"/>
      <c r="C89" s="159"/>
      <c r="D89" s="159"/>
      <c r="E89" s="159"/>
      <c r="F89" s="159"/>
      <c r="G89" s="159"/>
      <c r="H89" s="159"/>
      <c r="I89" s="159"/>
      <c r="J89" s="224"/>
      <c r="K89" s="159"/>
      <c r="L89" s="159"/>
      <c r="M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row>
    <row r="90" spans="2:53" ht="17.399999999999999" customHeight="1">
      <c r="B90" s="159"/>
      <c r="C90" s="159"/>
      <c r="D90" s="159"/>
      <c r="E90" s="159"/>
      <c r="F90" s="159"/>
      <c r="G90" s="159"/>
      <c r="H90" s="159"/>
      <c r="I90" s="159"/>
      <c r="J90" s="224"/>
      <c r="K90" s="159"/>
      <c r="L90" s="159"/>
      <c r="M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row>
    <row r="91" spans="2:53" ht="17.399999999999999" customHeight="1">
      <c r="B91" s="159"/>
      <c r="C91" s="159"/>
      <c r="D91" s="159"/>
      <c r="E91" s="159"/>
      <c r="F91" s="159"/>
      <c r="G91" s="159"/>
      <c r="H91" s="159"/>
      <c r="I91" s="159"/>
      <c r="J91" s="224"/>
      <c r="K91" s="159"/>
      <c r="L91" s="159"/>
      <c r="M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row>
    <row r="92" spans="2:53" ht="17.399999999999999" customHeight="1">
      <c r="B92" s="159"/>
      <c r="C92" s="159"/>
      <c r="D92" s="159"/>
      <c r="E92" s="159"/>
      <c r="F92" s="159"/>
      <c r="G92" s="159"/>
      <c r="H92" s="159"/>
      <c r="I92" s="159"/>
      <c r="J92" s="224"/>
      <c r="K92" s="159"/>
      <c r="L92" s="159"/>
      <c r="M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row>
    <row r="93" spans="2:53" ht="17.399999999999999" customHeight="1">
      <c r="B93" s="159"/>
      <c r="C93" s="159"/>
      <c r="D93" s="159"/>
      <c r="E93" s="159"/>
      <c r="F93" s="159"/>
      <c r="G93" s="159"/>
      <c r="H93" s="159"/>
      <c r="I93" s="159"/>
      <c r="J93" s="224"/>
      <c r="K93" s="159"/>
      <c r="L93" s="159"/>
      <c r="M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row>
    <row r="94" spans="2:53" ht="17.399999999999999" customHeight="1">
      <c r="B94" s="159"/>
      <c r="C94" s="159"/>
      <c r="D94" s="159"/>
      <c r="E94" s="159"/>
      <c r="F94" s="159"/>
      <c r="G94" s="159"/>
      <c r="H94" s="159"/>
      <c r="I94" s="159"/>
      <c r="J94" s="224"/>
      <c r="K94" s="159"/>
      <c r="L94" s="159"/>
      <c r="M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row>
    <row r="95" spans="2:53" ht="17.399999999999999" customHeight="1">
      <c r="B95" s="159"/>
      <c r="C95" s="159"/>
      <c r="D95" s="159"/>
      <c r="E95" s="159"/>
      <c r="F95" s="159"/>
      <c r="G95" s="159"/>
      <c r="H95" s="159"/>
      <c r="I95" s="159"/>
      <c r="J95" s="224"/>
      <c r="K95" s="159"/>
      <c r="L95" s="159"/>
      <c r="M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row>
    <row r="96" spans="2:53" ht="17.399999999999999" customHeight="1">
      <c r="B96" s="159"/>
      <c r="C96" s="159"/>
      <c r="D96" s="159"/>
      <c r="E96" s="159"/>
      <c r="F96" s="159"/>
      <c r="G96" s="159"/>
      <c r="H96" s="159"/>
      <c r="I96" s="159"/>
      <c r="J96" s="224"/>
      <c r="K96" s="159"/>
      <c r="L96" s="159"/>
      <c r="M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row>
    <row r="97" spans="2:53" ht="17.399999999999999" customHeight="1">
      <c r="B97" s="159"/>
      <c r="C97" s="159"/>
      <c r="D97" s="159"/>
      <c r="E97" s="159"/>
      <c r="F97" s="159"/>
      <c r="G97" s="159"/>
      <c r="H97" s="159"/>
      <c r="I97" s="159"/>
      <c r="J97" s="224"/>
      <c r="K97" s="159"/>
      <c r="L97" s="159"/>
      <c r="M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row>
    <row r="98" spans="2:53" ht="17.399999999999999" customHeight="1">
      <c r="B98" s="159"/>
      <c r="C98" s="159"/>
      <c r="D98" s="159"/>
      <c r="E98" s="159"/>
      <c r="F98" s="159"/>
      <c r="G98" s="159"/>
      <c r="H98" s="159"/>
      <c r="I98" s="159"/>
      <c r="J98" s="224"/>
      <c r="K98" s="159"/>
      <c r="L98" s="159"/>
      <c r="M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row>
    <row r="99" spans="2:53" ht="17.399999999999999" customHeight="1">
      <c r="B99" s="159"/>
      <c r="C99" s="159"/>
      <c r="D99" s="159"/>
      <c r="E99" s="159"/>
      <c r="F99" s="159"/>
      <c r="G99" s="159"/>
      <c r="H99" s="159"/>
      <c r="I99" s="159"/>
      <c r="J99" s="224"/>
      <c r="K99" s="159"/>
      <c r="L99" s="159"/>
      <c r="M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row>
    <row r="100" spans="2:53" ht="17.399999999999999" customHeight="1">
      <c r="B100" s="159"/>
      <c r="C100" s="159"/>
      <c r="D100" s="159"/>
      <c r="E100" s="159"/>
      <c r="F100" s="159"/>
      <c r="G100" s="159"/>
      <c r="H100" s="159"/>
      <c r="I100" s="159"/>
      <c r="J100" s="224"/>
      <c r="K100" s="159"/>
      <c r="L100" s="159"/>
      <c r="M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row>
    <row r="101" spans="2:53" ht="17.399999999999999" customHeight="1">
      <c r="B101" s="159"/>
      <c r="C101" s="159"/>
      <c r="D101" s="159"/>
      <c r="E101" s="159"/>
      <c r="F101" s="159"/>
      <c r="G101" s="159"/>
      <c r="H101" s="159"/>
      <c r="I101" s="159"/>
      <c r="J101" s="224"/>
      <c r="K101" s="159"/>
      <c r="L101" s="159"/>
      <c r="M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row>
    <row r="102" spans="2:53" ht="17.399999999999999" customHeight="1">
      <c r="B102" s="159"/>
      <c r="C102" s="159"/>
      <c r="D102" s="159"/>
      <c r="E102" s="159"/>
      <c r="F102" s="159"/>
      <c r="G102" s="159"/>
      <c r="H102" s="159"/>
      <c r="I102" s="159"/>
      <c r="J102" s="224"/>
      <c r="K102" s="159"/>
      <c r="L102" s="159"/>
      <c r="M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row>
    <row r="103" spans="2:53" ht="17.399999999999999" customHeight="1">
      <c r="B103" s="159"/>
      <c r="C103" s="159"/>
      <c r="D103" s="159"/>
      <c r="E103" s="159"/>
      <c r="F103" s="159"/>
      <c r="G103" s="159"/>
      <c r="H103" s="159"/>
      <c r="I103" s="159"/>
      <c r="J103" s="224"/>
      <c r="K103" s="159"/>
      <c r="L103" s="159"/>
      <c r="M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row>
    <row r="104" spans="2:53" ht="17.399999999999999" customHeight="1">
      <c r="B104" s="159"/>
      <c r="C104" s="159"/>
      <c r="D104" s="159"/>
      <c r="E104" s="159"/>
      <c r="F104" s="159"/>
      <c r="G104" s="159"/>
      <c r="H104" s="159"/>
      <c r="I104" s="159"/>
      <c r="J104" s="224"/>
      <c r="K104" s="159"/>
      <c r="L104" s="159"/>
      <c r="M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row>
    <row r="105" spans="2:53" ht="17.399999999999999" customHeight="1">
      <c r="B105" s="159"/>
      <c r="C105" s="159"/>
      <c r="D105" s="159"/>
      <c r="E105" s="159"/>
      <c r="F105" s="159"/>
      <c r="G105" s="159"/>
      <c r="H105" s="159"/>
      <c r="I105" s="159"/>
      <c r="J105" s="224"/>
      <c r="K105" s="159"/>
      <c r="L105" s="159"/>
      <c r="M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row>
    <row r="106" spans="2:53" ht="17.399999999999999" customHeight="1">
      <c r="B106" s="159"/>
      <c r="C106" s="159"/>
      <c r="D106" s="159"/>
      <c r="E106" s="159"/>
      <c r="F106" s="159"/>
      <c r="G106" s="159"/>
      <c r="H106" s="159"/>
      <c r="I106" s="159"/>
      <c r="J106" s="224"/>
      <c r="K106" s="159"/>
      <c r="L106" s="159"/>
      <c r="M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row>
    <row r="107" spans="2:53" ht="17.399999999999999" customHeight="1">
      <c r="B107" s="159"/>
      <c r="C107" s="159"/>
      <c r="D107" s="159"/>
      <c r="E107" s="159"/>
      <c r="F107" s="159"/>
      <c r="G107" s="159"/>
      <c r="H107" s="159"/>
      <c r="I107" s="159"/>
      <c r="J107" s="224"/>
      <c r="K107" s="159"/>
      <c r="L107" s="159"/>
      <c r="M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row>
    <row r="108" spans="2:53" ht="17.399999999999999" customHeight="1">
      <c r="B108" s="159"/>
      <c r="C108" s="159"/>
      <c r="D108" s="159"/>
      <c r="E108" s="159"/>
      <c r="F108" s="159"/>
      <c r="G108" s="159"/>
      <c r="H108" s="159"/>
      <c r="I108" s="159"/>
      <c r="J108" s="224"/>
      <c r="K108" s="159"/>
      <c r="L108" s="159"/>
      <c r="M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row>
    <row r="109" spans="2:53" ht="17.399999999999999" customHeight="1">
      <c r="B109" s="159"/>
      <c r="C109" s="159"/>
      <c r="D109" s="159"/>
      <c r="E109" s="159"/>
      <c r="F109" s="159"/>
      <c r="G109" s="159"/>
      <c r="H109" s="159"/>
      <c r="I109" s="159"/>
      <c r="J109" s="224"/>
      <c r="K109" s="159"/>
      <c r="L109" s="159"/>
      <c r="M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row>
    <row r="110" spans="2:53" ht="17.399999999999999" customHeight="1">
      <c r="B110" s="159"/>
      <c r="C110" s="159"/>
      <c r="D110" s="159"/>
      <c r="E110" s="159"/>
      <c r="F110" s="159"/>
      <c r="G110" s="159"/>
      <c r="H110" s="159"/>
      <c r="I110" s="159"/>
      <c r="J110" s="224"/>
      <c r="K110" s="159"/>
      <c r="L110" s="159"/>
      <c r="M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row>
    <row r="111" spans="2:53" ht="17.399999999999999" customHeight="1">
      <c r="B111" s="159"/>
      <c r="C111" s="159"/>
      <c r="D111" s="159"/>
      <c r="E111" s="159"/>
      <c r="F111" s="159"/>
      <c r="G111" s="159"/>
      <c r="H111" s="159"/>
      <c r="I111" s="159"/>
      <c r="J111" s="224"/>
      <c r="K111" s="159"/>
      <c r="L111" s="159"/>
      <c r="M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row>
    <row r="112" spans="2:53" ht="17.399999999999999" customHeight="1">
      <c r="B112" s="159"/>
      <c r="C112" s="159"/>
      <c r="D112" s="159"/>
      <c r="E112" s="159"/>
      <c r="F112" s="159"/>
      <c r="G112" s="159"/>
      <c r="H112" s="159"/>
      <c r="I112" s="159"/>
      <c r="J112" s="224"/>
      <c r="K112" s="159"/>
      <c r="L112" s="159"/>
      <c r="M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row>
    <row r="113" spans="2:53" ht="17.399999999999999" customHeight="1">
      <c r="B113" s="159"/>
      <c r="C113" s="159"/>
      <c r="D113" s="159"/>
      <c r="E113" s="159"/>
      <c r="F113" s="159"/>
      <c r="G113" s="159"/>
      <c r="H113" s="159"/>
      <c r="I113" s="159"/>
      <c r="J113" s="224"/>
      <c r="K113" s="159"/>
      <c r="L113" s="159"/>
      <c r="M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row>
    <row r="114" spans="2:53" ht="17.399999999999999" customHeight="1">
      <c r="B114" s="159"/>
      <c r="C114" s="159"/>
      <c r="D114" s="159"/>
      <c r="E114" s="159"/>
      <c r="F114" s="159"/>
      <c r="G114" s="159"/>
      <c r="H114" s="159"/>
      <c r="I114" s="159"/>
      <c r="J114" s="224"/>
      <c r="K114" s="159"/>
      <c r="L114" s="159"/>
      <c r="M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row>
    <row r="115" spans="2:53" ht="17.399999999999999" customHeight="1">
      <c r="B115" s="159"/>
      <c r="C115" s="159"/>
      <c r="D115" s="159"/>
      <c r="E115" s="159"/>
      <c r="F115" s="159"/>
      <c r="G115" s="159"/>
      <c r="H115" s="159"/>
      <c r="I115" s="159"/>
      <c r="J115" s="224"/>
      <c r="K115" s="159"/>
      <c r="L115" s="159"/>
      <c r="M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row>
    <row r="116" spans="2:53" ht="17.399999999999999" customHeight="1">
      <c r="B116" s="159"/>
      <c r="C116" s="159"/>
      <c r="D116" s="159"/>
      <c r="E116" s="159"/>
      <c r="F116" s="159"/>
      <c r="G116" s="159"/>
      <c r="H116" s="159"/>
      <c r="I116" s="159"/>
      <c r="J116" s="224"/>
      <c r="K116" s="159"/>
      <c r="L116" s="159"/>
      <c r="M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row>
    <row r="117" spans="2:53" ht="17.399999999999999" customHeight="1">
      <c r="B117" s="159"/>
      <c r="C117" s="159"/>
      <c r="D117" s="159"/>
      <c r="E117" s="159"/>
      <c r="F117" s="159"/>
      <c r="G117" s="159"/>
      <c r="H117" s="159"/>
      <c r="I117" s="159"/>
      <c r="J117" s="224"/>
      <c r="K117" s="159"/>
      <c r="L117" s="159"/>
      <c r="M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row>
    <row r="118" spans="2:53" ht="17.399999999999999" customHeight="1">
      <c r="B118" s="159"/>
      <c r="C118" s="159"/>
      <c r="D118" s="159"/>
      <c r="E118" s="159"/>
      <c r="F118" s="159"/>
      <c r="G118" s="159"/>
      <c r="H118" s="159"/>
      <c r="I118" s="159"/>
      <c r="J118" s="224"/>
      <c r="K118" s="159"/>
      <c r="L118" s="159"/>
      <c r="M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row>
    <row r="119" spans="2:53" ht="17.399999999999999" customHeight="1">
      <c r="B119" s="159"/>
      <c r="C119" s="159"/>
      <c r="D119" s="159"/>
      <c r="E119" s="159"/>
      <c r="F119" s="159"/>
      <c r="G119" s="159"/>
      <c r="H119" s="159"/>
      <c r="I119" s="159"/>
      <c r="J119" s="224"/>
      <c r="K119" s="159"/>
      <c r="L119" s="159"/>
      <c r="M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row>
    <row r="120" spans="2:53" ht="17.399999999999999" customHeight="1">
      <c r="B120" s="159"/>
      <c r="C120" s="159"/>
      <c r="D120" s="159"/>
      <c r="E120" s="159"/>
      <c r="F120" s="159"/>
      <c r="G120" s="159"/>
      <c r="H120" s="159"/>
      <c r="I120" s="159"/>
      <c r="J120" s="224"/>
      <c r="K120" s="159"/>
      <c r="L120" s="159"/>
      <c r="M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row>
    <row r="121" spans="2:53" ht="17.399999999999999" customHeight="1">
      <c r="B121" s="159"/>
      <c r="C121" s="159"/>
      <c r="D121" s="159"/>
      <c r="E121" s="159"/>
      <c r="F121" s="159"/>
      <c r="G121" s="159"/>
      <c r="H121" s="159"/>
      <c r="I121" s="159"/>
      <c r="J121" s="224"/>
      <c r="K121" s="159"/>
      <c r="L121" s="159"/>
      <c r="M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row>
    <row r="122" spans="2:53" ht="17.399999999999999" customHeight="1">
      <c r="B122" s="159"/>
      <c r="C122" s="159"/>
      <c r="D122" s="159"/>
      <c r="E122" s="159"/>
      <c r="F122" s="159"/>
      <c r="G122" s="159"/>
      <c r="H122" s="159"/>
      <c r="I122" s="159"/>
      <c r="J122" s="224"/>
      <c r="K122" s="159"/>
      <c r="L122" s="159"/>
      <c r="M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row>
    <row r="123" spans="2:53" ht="17.399999999999999" customHeight="1">
      <c r="B123" s="159"/>
      <c r="C123" s="159"/>
      <c r="D123" s="159"/>
      <c r="E123" s="159"/>
      <c r="F123" s="159"/>
      <c r="G123" s="159"/>
      <c r="H123" s="159"/>
      <c r="I123" s="159"/>
      <c r="J123" s="224"/>
      <c r="K123" s="159"/>
      <c r="L123" s="159"/>
      <c r="M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row>
    <row r="124" spans="2:53" ht="17.399999999999999" customHeight="1">
      <c r="B124" s="159"/>
      <c r="C124" s="159"/>
      <c r="D124" s="159"/>
      <c r="E124" s="159"/>
      <c r="F124" s="159"/>
      <c r="G124" s="159"/>
      <c r="H124" s="159"/>
      <c r="I124" s="159"/>
      <c r="J124" s="224"/>
      <c r="K124" s="159"/>
      <c r="L124" s="159"/>
      <c r="M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row>
    <row r="125" spans="2:53" ht="17.399999999999999" customHeight="1">
      <c r="B125" s="159"/>
      <c r="C125" s="159"/>
      <c r="D125" s="159"/>
      <c r="E125" s="159"/>
      <c r="F125" s="159"/>
      <c r="G125" s="159"/>
      <c r="H125" s="159"/>
      <c r="I125" s="159"/>
      <c r="J125" s="224"/>
      <c r="K125" s="159"/>
      <c r="L125" s="159"/>
      <c r="M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row>
    <row r="126" spans="2:53" ht="17.399999999999999" customHeight="1">
      <c r="B126" s="159"/>
      <c r="C126" s="159"/>
      <c r="D126" s="159"/>
      <c r="E126" s="159"/>
      <c r="F126" s="159"/>
      <c r="G126" s="159"/>
      <c r="H126" s="159"/>
      <c r="I126" s="159"/>
      <c r="J126" s="224"/>
      <c r="K126" s="159"/>
      <c r="L126" s="159"/>
      <c r="M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row>
    <row r="127" spans="2:53" ht="17.399999999999999" customHeight="1">
      <c r="B127" s="159"/>
      <c r="C127" s="159"/>
      <c r="D127" s="159"/>
      <c r="E127" s="159"/>
      <c r="F127" s="159"/>
      <c r="G127" s="159"/>
      <c r="H127" s="159"/>
      <c r="I127" s="159"/>
      <c r="J127" s="224"/>
      <c r="K127" s="159"/>
      <c r="L127" s="159"/>
      <c r="M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row>
    <row r="128" spans="2:53" ht="17.399999999999999" customHeight="1">
      <c r="B128" s="159"/>
      <c r="C128" s="159"/>
      <c r="D128" s="159"/>
      <c r="E128" s="159"/>
      <c r="F128" s="159"/>
      <c r="G128" s="159"/>
      <c r="H128" s="159"/>
      <c r="I128" s="159"/>
      <c r="J128" s="224"/>
      <c r="K128" s="159"/>
      <c r="L128" s="159"/>
      <c r="M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row>
    <row r="129" spans="2:53" ht="17.399999999999999" customHeight="1">
      <c r="B129" s="159"/>
      <c r="C129" s="159"/>
      <c r="D129" s="159"/>
      <c r="E129" s="159"/>
      <c r="F129" s="159"/>
      <c r="G129" s="159"/>
      <c r="H129" s="159"/>
      <c r="I129" s="159"/>
      <c r="J129" s="224"/>
      <c r="K129" s="159"/>
      <c r="L129" s="159"/>
      <c r="M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row>
    <row r="130" spans="2:53" ht="17.399999999999999" customHeight="1">
      <c r="B130" s="159"/>
      <c r="C130" s="159"/>
      <c r="D130" s="159"/>
      <c r="E130" s="159"/>
      <c r="F130" s="159"/>
      <c r="G130" s="159"/>
      <c r="H130" s="159"/>
      <c r="I130" s="159"/>
      <c r="J130" s="224"/>
      <c r="K130" s="159"/>
      <c r="L130" s="159"/>
      <c r="M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row>
    <row r="131" spans="2:53" ht="17.399999999999999" customHeight="1">
      <c r="B131" s="159"/>
      <c r="C131" s="159"/>
      <c r="D131" s="159"/>
      <c r="E131" s="159"/>
      <c r="F131" s="159"/>
      <c r="G131" s="159"/>
      <c r="H131" s="159"/>
      <c r="I131" s="159"/>
      <c r="J131" s="224"/>
      <c r="K131" s="159"/>
      <c r="L131" s="159"/>
      <c r="M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row>
    <row r="132" spans="2:53" ht="17.399999999999999" customHeight="1">
      <c r="B132" s="159"/>
      <c r="C132" s="159"/>
      <c r="D132" s="159"/>
      <c r="E132" s="159"/>
      <c r="F132" s="159"/>
      <c r="G132" s="159"/>
      <c r="H132" s="159"/>
      <c r="I132" s="159"/>
      <c r="J132" s="224"/>
      <c r="K132" s="159"/>
      <c r="L132" s="159"/>
      <c r="M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row>
    <row r="133" spans="2:53" ht="17.399999999999999" customHeight="1">
      <c r="B133" s="159"/>
      <c r="C133" s="159"/>
      <c r="D133" s="159"/>
      <c r="E133" s="159"/>
      <c r="F133" s="159"/>
      <c r="G133" s="159"/>
      <c r="H133" s="159"/>
      <c r="I133" s="159"/>
      <c r="J133" s="224"/>
      <c r="K133" s="159"/>
      <c r="L133" s="159"/>
      <c r="M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row>
    <row r="134" spans="2:53" ht="17.399999999999999" customHeight="1">
      <c r="B134" s="159"/>
      <c r="C134" s="159"/>
      <c r="D134" s="159"/>
      <c r="E134" s="159"/>
      <c r="F134" s="159"/>
      <c r="G134" s="159"/>
      <c r="H134" s="159"/>
      <c r="I134" s="159"/>
      <c r="J134" s="224"/>
      <c r="K134" s="159"/>
      <c r="L134" s="159"/>
      <c r="M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row>
    <row r="135" spans="2:53" ht="17.399999999999999" customHeight="1">
      <c r="B135" s="159"/>
      <c r="C135" s="159"/>
      <c r="D135" s="159"/>
      <c r="E135" s="159"/>
      <c r="F135" s="159"/>
      <c r="G135" s="159"/>
      <c r="H135" s="159"/>
      <c r="I135" s="159"/>
      <c r="J135" s="224"/>
      <c r="K135" s="159"/>
      <c r="L135" s="159"/>
      <c r="M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row>
    <row r="136" spans="2:53" ht="17.399999999999999" customHeight="1">
      <c r="B136" s="159"/>
      <c r="C136" s="159"/>
      <c r="D136" s="159"/>
      <c r="E136" s="159"/>
      <c r="F136" s="159"/>
      <c r="G136" s="159"/>
      <c r="H136" s="159"/>
      <c r="I136" s="159"/>
      <c r="J136" s="224"/>
      <c r="K136" s="159"/>
      <c r="L136" s="159"/>
      <c r="M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row>
    <row r="137" spans="2:53" ht="17.399999999999999" customHeight="1">
      <c r="B137" s="159"/>
      <c r="C137" s="159"/>
      <c r="D137" s="159"/>
      <c r="E137" s="159"/>
      <c r="F137" s="159"/>
      <c r="G137" s="159"/>
      <c r="H137" s="159"/>
      <c r="I137" s="159"/>
      <c r="J137" s="224"/>
      <c r="K137" s="159"/>
      <c r="L137" s="159"/>
      <c r="M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row>
    <row r="138" spans="2:53" ht="17.399999999999999" customHeight="1">
      <c r="B138" s="159"/>
      <c r="C138" s="159"/>
      <c r="D138" s="159"/>
      <c r="E138" s="159"/>
      <c r="F138" s="159"/>
      <c r="G138" s="159"/>
      <c r="H138" s="159"/>
      <c r="I138" s="159"/>
      <c r="J138" s="224"/>
      <c r="K138" s="159"/>
      <c r="L138" s="159"/>
      <c r="M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row>
    <row r="139" spans="2:53" ht="17.399999999999999" customHeight="1">
      <c r="B139" s="159"/>
      <c r="C139" s="159"/>
      <c r="D139" s="159"/>
      <c r="E139" s="159"/>
      <c r="F139" s="159"/>
      <c r="G139" s="159"/>
      <c r="H139" s="159"/>
      <c r="I139" s="159"/>
      <c r="J139" s="224"/>
      <c r="K139" s="159"/>
      <c r="L139" s="159"/>
      <c r="M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row>
    <row r="140" spans="2:53" ht="17.399999999999999" customHeight="1">
      <c r="B140" s="159"/>
      <c r="C140" s="159"/>
      <c r="D140" s="159"/>
      <c r="E140" s="159"/>
      <c r="F140" s="159"/>
      <c r="G140" s="159"/>
      <c r="H140" s="159"/>
      <c r="I140" s="159"/>
      <c r="J140" s="224"/>
      <c r="K140" s="159"/>
      <c r="L140" s="159"/>
      <c r="M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row>
    <row r="141" spans="2:53" ht="17.399999999999999" customHeight="1">
      <c r="B141" s="159"/>
      <c r="C141" s="159"/>
      <c r="D141" s="159"/>
      <c r="E141" s="159"/>
      <c r="F141" s="159"/>
      <c r="G141" s="159"/>
      <c r="H141" s="159"/>
      <c r="I141" s="159"/>
      <c r="J141" s="224"/>
      <c r="K141" s="159"/>
      <c r="L141" s="159"/>
      <c r="M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row>
    <row r="142" spans="2:53" ht="17.399999999999999" customHeight="1">
      <c r="B142" s="159"/>
      <c r="C142" s="159"/>
      <c r="D142" s="159"/>
      <c r="E142" s="159"/>
      <c r="F142" s="159"/>
      <c r="G142" s="159"/>
      <c r="H142" s="159"/>
      <c r="I142" s="159"/>
      <c r="J142" s="224"/>
      <c r="K142" s="159"/>
      <c r="L142" s="159"/>
      <c r="M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row>
    <row r="143" spans="2:53" ht="17.399999999999999" customHeight="1">
      <c r="B143" s="159"/>
      <c r="C143" s="159"/>
      <c r="D143" s="159"/>
      <c r="E143" s="159"/>
      <c r="F143" s="159"/>
      <c r="G143" s="159"/>
      <c r="H143" s="159"/>
      <c r="I143" s="159"/>
      <c r="J143" s="224"/>
      <c r="K143" s="159"/>
      <c r="L143" s="159"/>
      <c r="M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row>
    <row r="144" spans="2:53" ht="17.399999999999999" customHeight="1">
      <c r="B144" s="159"/>
      <c r="C144" s="159"/>
      <c r="D144" s="159"/>
      <c r="E144" s="159"/>
      <c r="F144" s="159"/>
      <c r="G144" s="159"/>
      <c r="H144" s="159"/>
      <c r="I144" s="159"/>
      <c r="J144" s="224"/>
      <c r="K144" s="159"/>
      <c r="L144" s="159"/>
      <c r="M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row>
    <row r="145" spans="2:53" ht="17.399999999999999" customHeight="1">
      <c r="B145" s="159"/>
      <c r="C145" s="159"/>
      <c r="D145" s="159"/>
      <c r="E145" s="159"/>
      <c r="F145" s="159"/>
      <c r="G145" s="159"/>
      <c r="H145" s="159"/>
      <c r="I145" s="159"/>
      <c r="J145" s="224"/>
      <c r="K145" s="159"/>
      <c r="L145" s="159"/>
      <c r="M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row>
    <row r="146" spans="2:53" ht="17.399999999999999" customHeight="1">
      <c r="B146" s="159"/>
      <c r="C146" s="159"/>
      <c r="D146" s="159"/>
      <c r="E146" s="159"/>
      <c r="F146" s="159"/>
      <c r="G146" s="159"/>
      <c r="H146" s="159"/>
      <c r="I146" s="159"/>
      <c r="J146" s="224"/>
      <c r="K146" s="159"/>
      <c r="L146" s="159"/>
      <c r="M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row>
    <row r="147" spans="2:53" ht="17.399999999999999" customHeight="1">
      <c r="B147" s="159"/>
      <c r="C147" s="159"/>
      <c r="D147" s="159"/>
      <c r="E147" s="159"/>
      <c r="F147" s="159"/>
      <c r="G147" s="159"/>
      <c r="H147" s="159"/>
      <c r="I147" s="159"/>
      <c r="J147" s="224"/>
      <c r="K147" s="159"/>
      <c r="L147" s="159"/>
      <c r="M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row>
    <row r="148" spans="2:53" ht="17.399999999999999" customHeight="1">
      <c r="B148" s="159"/>
      <c r="C148" s="159"/>
      <c r="D148" s="159"/>
      <c r="E148" s="159"/>
      <c r="F148" s="159"/>
      <c r="G148" s="159"/>
      <c r="H148" s="159"/>
      <c r="I148" s="159"/>
      <c r="J148" s="224"/>
      <c r="K148" s="159"/>
      <c r="L148" s="159"/>
      <c r="M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row>
    <row r="149" spans="2:53" ht="17.399999999999999" customHeight="1">
      <c r="B149" s="159"/>
      <c r="C149" s="159"/>
      <c r="D149" s="159"/>
      <c r="E149" s="159"/>
      <c r="F149" s="159"/>
      <c r="G149" s="159"/>
      <c r="H149" s="159"/>
      <c r="I149" s="159"/>
      <c r="J149" s="224"/>
      <c r="K149" s="159"/>
      <c r="L149" s="159"/>
      <c r="M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row>
    <row r="150" spans="2:53" ht="17.399999999999999" customHeight="1">
      <c r="B150" s="159"/>
      <c r="C150" s="159"/>
      <c r="D150" s="159"/>
      <c r="E150" s="159"/>
      <c r="F150" s="159"/>
      <c r="G150" s="159"/>
      <c r="H150" s="159"/>
      <c r="I150" s="159"/>
      <c r="J150" s="224"/>
      <c r="K150" s="159"/>
      <c r="L150" s="159"/>
      <c r="M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row>
    <row r="151" spans="2:53" ht="17.399999999999999" customHeight="1">
      <c r="B151" s="159"/>
      <c r="C151" s="159"/>
      <c r="D151" s="159"/>
      <c r="E151" s="159"/>
      <c r="F151" s="159"/>
      <c r="G151" s="159"/>
      <c r="H151" s="159"/>
      <c r="I151" s="159"/>
      <c r="J151" s="224"/>
      <c r="K151" s="159"/>
      <c r="L151" s="159"/>
      <c r="M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row>
    <row r="152" spans="2:53" ht="17.399999999999999" customHeight="1">
      <c r="B152" s="159"/>
      <c r="C152" s="159"/>
      <c r="D152" s="159"/>
      <c r="E152" s="159"/>
      <c r="F152" s="159"/>
      <c r="G152" s="159"/>
      <c r="H152" s="159"/>
      <c r="I152" s="159"/>
      <c r="J152" s="224"/>
      <c r="K152" s="159"/>
      <c r="L152" s="159"/>
      <c r="M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row>
    <row r="153" spans="2:53" ht="17.399999999999999" customHeight="1">
      <c r="B153" s="159"/>
      <c r="C153" s="159"/>
      <c r="D153" s="159"/>
      <c r="E153" s="159"/>
      <c r="F153" s="159"/>
      <c r="G153" s="159"/>
      <c r="H153" s="159"/>
      <c r="I153" s="159"/>
      <c r="J153" s="224"/>
      <c r="K153" s="159"/>
      <c r="L153" s="159"/>
      <c r="M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row>
    <row r="154" spans="2:53" ht="17.399999999999999" customHeight="1">
      <c r="B154" s="159"/>
      <c r="C154" s="159"/>
      <c r="D154" s="159"/>
      <c r="E154" s="159"/>
      <c r="F154" s="159"/>
      <c r="G154" s="159"/>
      <c r="H154" s="159"/>
      <c r="I154" s="159"/>
      <c r="J154" s="224"/>
      <c r="K154" s="159"/>
      <c r="L154" s="159"/>
      <c r="M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row>
    <row r="155" spans="2:53" ht="17.399999999999999" customHeight="1">
      <c r="B155" s="159"/>
      <c r="C155" s="159"/>
      <c r="D155" s="159"/>
      <c r="E155" s="159"/>
      <c r="F155" s="159"/>
      <c r="G155" s="159"/>
      <c r="H155" s="159"/>
      <c r="I155" s="159"/>
      <c r="J155" s="224"/>
      <c r="K155" s="159"/>
      <c r="L155" s="159"/>
      <c r="M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row>
    <row r="156" spans="2:53" ht="17.399999999999999" customHeight="1">
      <c r="B156" s="159"/>
      <c r="C156" s="159"/>
      <c r="D156" s="159"/>
      <c r="E156" s="159"/>
      <c r="F156" s="159"/>
      <c r="G156" s="159"/>
      <c r="H156" s="159"/>
      <c r="I156" s="159"/>
      <c r="J156" s="224"/>
      <c r="K156" s="159"/>
      <c r="L156" s="159"/>
      <c r="M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row>
    <row r="157" spans="2:53" ht="17.399999999999999" customHeight="1">
      <c r="B157" s="159"/>
      <c r="C157" s="159"/>
      <c r="D157" s="159"/>
      <c r="E157" s="159"/>
      <c r="F157" s="159"/>
      <c r="G157" s="159"/>
      <c r="H157" s="159"/>
      <c r="I157" s="159"/>
      <c r="J157" s="224"/>
      <c r="K157" s="159"/>
      <c r="L157" s="159"/>
      <c r="M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row>
    <row r="158" spans="2:53" ht="17.399999999999999" customHeight="1">
      <c r="B158" s="159"/>
      <c r="C158" s="159"/>
      <c r="D158" s="159"/>
      <c r="E158" s="159"/>
      <c r="F158" s="159"/>
      <c r="G158" s="159"/>
      <c r="H158" s="159"/>
      <c r="I158" s="159"/>
      <c r="J158" s="224"/>
      <c r="K158" s="159"/>
      <c r="L158" s="159"/>
      <c r="M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row>
    <row r="159" spans="2:53" ht="17.399999999999999" customHeight="1">
      <c r="B159" s="159"/>
      <c r="C159" s="159"/>
      <c r="D159" s="159"/>
      <c r="E159" s="159"/>
      <c r="F159" s="159"/>
      <c r="G159" s="159"/>
      <c r="H159" s="159"/>
      <c r="I159" s="159"/>
      <c r="J159" s="224"/>
      <c r="K159" s="159"/>
      <c r="L159" s="159"/>
      <c r="M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row>
    <row r="160" spans="2:53" ht="17.399999999999999" customHeight="1">
      <c r="B160" s="159"/>
      <c r="C160" s="159"/>
      <c r="D160" s="159"/>
      <c r="E160" s="159"/>
      <c r="F160" s="159"/>
      <c r="G160" s="159"/>
      <c r="H160" s="159"/>
      <c r="I160" s="159"/>
      <c r="J160" s="224"/>
      <c r="K160" s="159"/>
      <c r="L160" s="159"/>
      <c r="M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row>
    <row r="161" spans="2:53" ht="17.399999999999999" customHeight="1">
      <c r="B161" s="159"/>
      <c r="C161" s="159"/>
      <c r="D161" s="159"/>
      <c r="E161" s="159"/>
      <c r="F161" s="159"/>
      <c r="G161" s="159"/>
      <c r="H161" s="159"/>
      <c r="I161" s="159"/>
      <c r="J161" s="224"/>
      <c r="K161" s="159"/>
      <c r="L161" s="159"/>
      <c r="M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row>
    <row r="162" spans="2:53" ht="17.399999999999999" customHeight="1">
      <c r="B162" s="159"/>
      <c r="C162" s="159"/>
      <c r="D162" s="159"/>
      <c r="E162" s="159"/>
      <c r="F162" s="159"/>
      <c r="G162" s="159"/>
      <c r="H162" s="159"/>
      <c r="I162" s="159"/>
      <c r="J162" s="224"/>
      <c r="K162" s="159"/>
      <c r="L162" s="159"/>
      <c r="M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row>
    <row r="163" spans="2:53" ht="17.399999999999999" customHeight="1">
      <c r="B163" s="159"/>
      <c r="C163" s="159"/>
      <c r="D163" s="159"/>
      <c r="E163" s="159"/>
      <c r="F163" s="159"/>
      <c r="G163" s="159"/>
      <c r="H163" s="159"/>
      <c r="I163" s="159"/>
      <c r="J163" s="224"/>
      <c r="K163" s="159"/>
      <c r="L163" s="159"/>
      <c r="M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row>
    <row r="164" spans="2:53" ht="17.399999999999999" customHeight="1">
      <c r="B164" s="159"/>
      <c r="C164" s="159"/>
      <c r="D164" s="159"/>
      <c r="E164" s="159"/>
      <c r="F164" s="159"/>
      <c r="G164" s="159"/>
      <c r="H164" s="159"/>
      <c r="I164" s="159"/>
      <c r="J164" s="224"/>
      <c r="K164" s="159"/>
      <c r="L164" s="159"/>
      <c r="M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row>
    <row r="165" spans="2:53" ht="17.399999999999999" customHeight="1">
      <c r="B165" s="159"/>
      <c r="C165" s="159"/>
      <c r="D165" s="159"/>
      <c r="E165" s="159"/>
      <c r="F165" s="159"/>
      <c r="G165" s="159"/>
      <c r="H165" s="159"/>
      <c r="I165" s="159"/>
      <c r="J165" s="224"/>
      <c r="K165" s="159"/>
      <c r="L165" s="159"/>
      <c r="M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row>
    <row r="166" spans="2:53" ht="17.399999999999999" customHeight="1">
      <c r="B166" s="159"/>
      <c r="C166" s="159"/>
      <c r="D166" s="159"/>
      <c r="E166" s="159"/>
      <c r="F166" s="159"/>
      <c r="G166" s="159"/>
      <c r="H166" s="159"/>
      <c r="I166" s="159"/>
      <c r="J166" s="224"/>
      <c r="K166" s="159"/>
      <c r="L166" s="159"/>
      <c r="M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row>
    <row r="167" spans="2:53" ht="17.399999999999999" customHeight="1">
      <c r="B167" s="159"/>
      <c r="C167" s="159"/>
      <c r="D167" s="159"/>
      <c r="E167" s="159"/>
      <c r="F167" s="159"/>
      <c r="G167" s="159"/>
      <c r="H167" s="159"/>
      <c r="I167" s="159"/>
      <c r="J167" s="224"/>
      <c r="K167" s="159"/>
      <c r="L167" s="159"/>
      <c r="M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row>
    <row r="168" spans="2:53" ht="17.399999999999999" customHeight="1">
      <c r="B168" s="159"/>
      <c r="C168" s="159"/>
      <c r="D168" s="159"/>
      <c r="E168" s="159"/>
      <c r="F168" s="159"/>
      <c r="G168" s="159"/>
      <c r="H168" s="159"/>
      <c r="I168" s="159"/>
      <c r="J168" s="224"/>
      <c r="K168" s="159"/>
      <c r="L168" s="159"/>
      <c r="M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row>
    <row r="169" spans="2:53" ht="17.399999999999999" customHeight="1">
      <c r="B169" s="159"/>
      <c r="C169" s="159"/>
      <c r="D169" s="159"/>
      <c r="E169" s="159"/>
      <c r="F169" s="159"/>
      <c r="G169" s="159"/>
      <c r="H169" s="159"/>
      <c r="I169" s="159"/>
      <c r="J169" s="224"/>
      <c r="K169" s="159"/>
      <c r="L169" s="159"/>
      <c r="M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row>
    <row r="170" spans="2:53" ht="17.399999999999999" customHeight="1">
      <c r="B170" s="159"/>
      <c r="C170" s="159"/>
      <c r="D170" s="159"/>
      <c r="E170" s="159"/>
      <c r="F170" s="159"/>
      <c r="G170" s="159"/>
      <c r="H170" s="159"/>
      <c r="I170" s="159"/>
      <c r="J170" s="224"/>
      <c r="K170" s="159"/>
      <c r="L170" s="159"/>
      <c r="M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row>
    <row r="171" spans="2:53" ht="17.399999999999999" customHeight="1">
      <c r="B171" s="159"/>
      <c r="C171" s="159"/>
      <c r="D171" s="159"/>
      <c r="E171" s="159"/>
      <c r="F171" s="159"/>
      <c r="G171" s="159"/>
      <c r="H171" s="159"/>
      <c r="I171" s="159"/>
      <c r="J171" s="224"/>
      <c r="K171" s="159"/>
      <c r="L171" s="159"/>
      <c r="M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row>
    <row r="172" spans="2:53" ht="17.399999999999999" customHeight="1">
      <c r="B172" s="159"/>
      <c r="C172" s="159"/>
      <c r="D172" s="159"/>
      <c r="E172" s="159"/>
      <c r="F172" s="159"/>
      <c r="G172" s="159"/>
      <c r="H172" s="159"/>
      <c r="I172" s="159"/>
      <c r="J172" s="224"/>
      <c r="K172" s="159"/>
      <c r="L172" s="159"/>
      <c r="M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row>
    <row r="173" spans="2:53" ht="17.399999999999999" customHeight="1">
      <c r="B173" s="159"/>
      <c r="C173" s="159"/>
      <c r="D173" s="159"/>
      <c r="E173" s="159"/>
      <c r="F173" s="159"/>
      <c r="G173" s="159"/>
      <c r="H173" s="159"/>
      <c r="I173" s="159"/>
      <c r="J173" s="224"/>
      <c r="K173" s="159"/>
      <c r="L173" s="159"/>
      <c r="M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row>
    <row r="174" spans="2:53" ht="17.399999999999999" customHeight="1">
      <c r="B174" s="159"/>
      <c r="C174" s="159"/>
      <c r="D174" s="159"/>
      <c r="E174" s="159"/>
      <c r="F174" s="159"/>
      <c r="G174" s="159"/>
      <c r="H174" s="159"/>
      <c r="I174" s="159"/>
      <c r="J174" s="224"/>
      <c r="K174" s="159"/>
      <c r="L174" s="159"/>
      <c r="M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row>
    <row r="175" spans="2:53" ht="17.399999999999999" customHeight="1">
      <c r="B175" s="159"/>
      <c r="C175" s="159"/>
      <c r="D175" s="159"/>
      <c r="E175" s="159"/>
      <c r="F175" s="159"/>
      <c r="G175" s="159"/>
      <c r="H175" s="159"/>
      <c r="I175" s="159"/>
      <c r="J175" s="224"/>
      <c r="K175" s="159"/>
      <c r="L175" s="159"/>
      <c r="M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row>
    <row r="176" spans="2:53" ht="17.399999999999999" customHeight="1">
      <c r="B176" s="159"/>
      <c r="C176" s="159"/>
      <c r="D176" s="159"/>
      <c r="E176" s="159"/>
      <c r="F176" s="159"/>
      <c r="G176" s="159"/>
      <c r="H176" s="159"/>
      <c r="I176" s="159"/>
      <c r="J176" s="224"/>
      <c r="K176" s="159"/>
      <c r="L176" s="159"/>
      <c r="M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row>
    <row r="177" spans="2:53" ht="17.399999999999999" customHeight="1">
      <c r="B177" s="159"/>
      <c r="C177" s="159"/>
      <c r="D177" s="159"/>
      <c r="E177" s="159"/>
      <c r="F177" s="159"/>
      <c r="G177" s="159"/>
      <c r="H177" s="159"/>
      <c r="I177" s="159"/>
      <c r="J177" s="224"/>
      <c r="K177" s="159"/>
      <c r="L177" s="159"/>
      <c r="M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row>
    <row r="178" spans="2:53" ht="17.399999999999999" customHeight="1">
      <c r="B178" s="159"/>
      <c r="C178" s="159"/>
      <c r="D178" s="159"/>
      <c r="E178" s="159"/>
      <c r="F178" s="159"/>
      <c r="G178" s="159"/>
      <c r="H178" s="159"/>
      <c r="I178" s="159"/>
      <c r="J178" s="224"/>
      <c r="K178" s="159"/>
      <c r="L178" s="159"/>
      <c r="M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row>
    <row r="179" spans="2:53" ht="17.399999999999999" customHeight="1">
      <c r="B179" s="159"/>
      <c r="C179" s="159"/>
      <c r="D179" s="159"/>
      <c r="E179" s="159"/>
      <c r="F179" s="159"/>
      <c r="G179" s="159"/>
      <c r="H179" s="159"/>
      <c r="I179" s="159"/>
      <c r="J179" s="224"/>
      <c r="K179" s="159"/>
      <c r="L179" s="159"/>
      <c r="M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row>
    <row r="180" spans="2:53" ht="17.399999999999999" customHeight="1">
      <c r="B180" s="159"/>
      <c r="C180" s="159"/>
      <c r="D180" s="159"/>
      <c r="E180" s="159"/>
      <c r="F180" s="159"/>
      <c r="G180" s="159"/>
      <c r="H180" s="159"/>
      <c r="I180" s="159"/>
      <c r="J180" s="224"/>
      <c r="K180" s="159"/>
      <c r="L180" s="159"/>
      <c r="M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row>
    <row r="181" spans="2:53" ht="17.399999999999999" customHeight="1">
      <c r="B181" s="159"/>
      <c r="C181" s="159"/>
      <c r="D181" s="159"/>
      <c r="E181" s="159"/>
      <c r="F181" s="159"/>
      <c r="G181" s="159"/>
      <c r="H181" s="159"/>
      <c r="I181" s="159"/>
      <c r="J181" s="224"/>
      <c r="K181" s="159"/>
      <c r="L181" s="159"/>
      <c r="M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row>
    <row r="182" spans="2:53" ht="17.399999999999999" customHeight="1">
      <c r="B182" s="159"/>
      <c r="C182" s="159"/>
      <c r="D182" s="159"/>
      <c r="E182" s="159"/>
      <c r="F182" s="159"/>
      <c r="G182" s="159"/>
      <c r="H182" s="159"/>
      <c r="I182" s="159"/>
      <c r="J182" s="224"/>
      <c r="K182" s="159"/>
      <c r="L182" s="159"/>
      <c r="M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row>
    <row r="183" spans="2:53" ht="17.399999999999999" customHeight="1">
      <c r="B183" s="159"/>
      <c r="C183" s="159"/>
      <c r="D183" s="159"/>
      <c r="E183" s="159"/>
      <c r="F183" s="159"/>
      <c r="G183" s="159"/>
      <c r="H183" s="159"/>
      <c r="I183" s="159"/>
      <c r="J183" s="224"/>
      <c r="K183" s="159"/>
      <c r="L183" s="159"/>
      <c r="M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row>
    <row r="184" spans="2:53" ht="17.399999999999999" customHeight="1">
      <c r="B184" s="159"/>
      <c r="C184" s="159"/>
      <c r="D184" s="159"/>
      <c r="E184" s="159"/>
      <c r="F184" s="159"/>
      <c r="G184" s="159"/>
      <c r="H184" s="159"/>
      <c r="I184" s="159"/>
      <c r="J184" s="224"/>
      <c r="K184" s="159"/>
      <c r="L184" s="159"/>
      <c r="M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row>
    <row r="185" spans="2:53" ht="17.399999999999999" customHeight="1">
      <c r="B185" s="159"/>
      <c r="C185" s="159"/>
      <c r="D185" s="159"/>
      <c r="E185" s="159"/>
      <c r="F185" s="159"/>
      <c r="G185" s="159"/>
      <c r="H185" s="159"/>
      <c r="I185" s="159"/>
      <c r="J185" s="224"/>
      <c r="K185" s="159"/>
      <c r="L185" s="159"/>
      <c r="M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row>
    <row r="186" spans="2:53" ht="17.399999999999999" customHeight="1">
      <c r="B186" s="159"/>
      <c r="C186" s="159"/>
      <c r="D186" s="159"/>
      <c r="E186" s="159"/>
      <c r="F186" s="159"/>
      <c r="G186" s="159"/>
      <c r="H186" s="159"/>
      <c r="I186" s="159"/>
      <c r="J186" s="224"/>
      <c r="K186" s="159"/>
      <c r="L186" s="159"/>
      <c r="M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row>
    <row r="187" spans="2:53" ht="17.399999999999999" customHeight="1">
      <c r="B187" s="159"/>
      <c r="C187" s="159"/>
      <c r="D187" s="159"/>
      <c r="E187" s="159"/>
      <c r="F187" s="159"/>
      <c r="G187" s="159"/>
      <c r="H187" s="159"/>
      <c r="I187" s="159"/>
      <c r="J187" s="224"/>
      <c r="K187" s="159"/>
      <c r="L187" s="159"/>
      <c r="M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row>
    <row r="188" spans="2:53" ht="17.399999999999999" customHeight="1">
      <c r="B188" s="159"/>
      <c r="C188" s="159"/>
      <c r="D188" s="159"/>
      <c r="E188" s="159"/>
      <c r="F188" s="159"/>
      <c r="G188" s="159"/>
      <c r="H188" s="159"/>
      <c r="I188" s="159"/>
      <c r="J188" s="224"/>
      <c r="K188" s="159"/>
      <c r="L188" s="159"/>
      <c r="M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row>
    <row r="189" spans="2:53" ht="17.399999999999999" customHeight="1">
      <c r="B189" s="159"/>
      <c r="C189" s="159"/>
      <c r="D189" s="159"/>
      <c r="E189" s="159"/>
      <c r="F189" s="159"/>
      <c r="G189" s="159"/>
      <c r="H189" s="159"/>
      <c r="I189" s="159"/>
      <c r="J189" s="224"/>
      <c r="K189" s="159"/>
      <c r="L189" s="159"/>
      <c r="M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row>
    <row r="190" spans="2:53" ht="17.399999999999999" customHeight="1">
      <c r="B190" s="159"/>
      <c r="C190" s="159"/>
      <c r="D190" s="159"/>
      <c r="E190" s="159"/>
      <c r="F190" s="159"/>
      <c r="G190" s="159"/>
      <c r="H190" s="159"/>
      <c r="I190" s="159"/>
      <c r="J190" s="224"/>
      <c r="K190" s="159"/>
      <c r="L190" s="159"/>
      <c r="M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row>
    <row r="191" spans="2:53" ht="17.399999999999999" customHeight="1">
      <c r="B191" s="159"/>
      <c r="C191" s="159"/>
      <c r="D191" s="159"/>
      <c r="E191" s="159"/>
      <c r="F191" s="159"/>
      <c r="G191" s="159"/>
      <c r="H191" s="159"/>
      <c r="I191" s="159"/>
      <c r="J191" s="224"/>
      <c r="K191" s="159"/>
      <c r="L191" s="159"/>
      <c r="M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row>
    <row r="192" spans="2:53" ht="17.399999999999999" customHeight="1">
      <c r="B192" s="159"/>
      <c r="C192" s="159"/>
      <c r="D192" s="159"/>
      <c r="E192" s="159"/>
      <c r="F192" s="159"/>
      <c r="G192" s="159"/>
      <c r="H192" s="159"/>
      <c r="I192" s="159"/>
      <c r="J192" s="224"/>
      <c r="K192" s="159"/>
      <c r="L192" s="159"/>
      <c r="M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row>
    <row r="193" spans="2:53" ht="17.399999999999999" customHeight="1">
      <c r="B193" s="159"/>
      <c r="C193" s="159"/>
      <c r="D193" s="159"/>
      <c r="E193" s="159"/>
      <c r="F193" s="159"/>
      <c r="G193" s="159"/>
      <c r="H193" s="159"/>
      <c r="I193" s="159"/>
      <c r="J193" s="224"/>
      <c r="K193" s="159"/>
      <c r="L193" s="159"/>
      <c r="M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row>
    <row r="194" spans="2:53" ht="17.399999999999999" customHeight="1">
      <c r="B194" s="159"/>
      <c r="C194" s="159"/>
      <c r="D194" s="159"/>
      <c r="E194" s="159"/>
      <c r="F194" s="159"/>
      <c r="G194" s="159"/>
      <c r="H194" s="159"/>
      <c r="I194" s="159"/>
      <c r="J194" s="224"/>
      <c r="K194" s="159"/>
      <c r="L194" s="159"/>
      <c r="M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row>
    <row r="195" spans="2:53" ht="17.399999999999999" customHeight="1">
      <c r="B195" s="159"/>
      <c r="C195" s="159"/>
      <c r="D195" s="159"/>
      <c r="E195" s="159"/>
      <c r="F195" s="159"/>
      <c r="G195" s="159"/>
      <c r="H195" s="159"/>
      <c r="I195" s="159"/>
      <c r="J195" s="224"/>
      <c r="K195" s="159"/>
      <c r="L195" s="159"/>
      <c r="M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row>
    <row r="196" spans="2:53" ht="17.399999999999999" customHeight="1">
      <c r="B196" s="159"/>
      <c r="C196" s="159"/>
      <c r="D196" s="159"/>
      <c r="E196" s="159"/>
      <c r="F196" s="159"/>
      <c r="G196" s="159"/>
      <c r="H196" s="159"/>
      <c r="I196" s="159"/>
      <c r="J196" s="224"/>
      <c r="K196" s="159"/>
      <c r="L196" s="159"/>
      <c r="M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row>
    <row r="197" spans="2:53" ht="17.399999999999999" customHeight="1">
      <c r="B197" s="159"/>
      <c r="C197" s="159"/>
      <c r="D197" s="159"/>
      <c r="E197" s="159"/>
      <c r="F197" s="159"/>
      <c r="G197" s="159"/>
      <c r="H197" s="159"/>
      <c r="I197" s="159"/>
      <c r="J197" s="224"/>
      <c r="K197" s="159"/>
      <c r="L197" s="159"/>
      <c r="M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row>
    <row r="198" spans="2:53" ht="17.399999999999999" customHeight="1">
      <c r="B198" s="159"/>
      <c r="C198" s="159"/>
      <c r="D198" s="159"/>
      <c r="E198" s="159"/>
      <c r="F198" s="159"/>
      <c r="G198" s="159"/>
      <c r="H198" s="159"/>
      <c r="I198" s="159"/>
      <c r="J198" s="224"/>
      <c r="K198" s="159"/>
      <c r="L198" s="159"/>
      <c r="M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row>
    <row r="199" spans="2:53" ht="17.399999999999999" customHeight="1">
      <c r="B199" s="159"/>
      <c r="C199" s="159"/>
      <c r="D199" s="159"/>
      <c r="E199" s="159"/>
      <c r="F199" s="159"/>
      <c r="G199" s="159"/>
      <c r="H199" s="159"/>
      <c r="I199" s="159"/>
      <c r="J199" s="224"/>
      <c r="K199" s="159"/>
      <c r="L199" s="159"/>
      <c r="M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row>
    <row r="200" spans="2:53" ht="17.399999999999999" customHeight="1">
      <c r="B200" s="159"/>
      <c r="C200" s="159"/>
      <c r="D200" s="159"/>
      <c r="E200" s="159"/>
      <c r="F200" s="159"/>
      <c r="G200" s="159"/>
      <c r="H200" s="159"/>
      <c r="I200" s="159"/>
      <c r="J200" s="224"/>
      <c r="K200" s="159"/>
      <c r="L200" s="159"/>
      <c r="M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row>
    <row r="201" spans="2:53" ht="17.399999999999999" customHeight="1">
      <c r="B201" s="159"/>
      <c r="C201" s="159"/>
      <c r="D201" s="159"/>
      <c r="E201" s="159"/>
      <c r="F201" s="159"/>
      <c r="G201" s="159"/>
      <c r="H201" s="159"/>
      <c r="I201" s="159"/>
      <c r="J201" s="224"/>
      <c r="K201" s="159"/>
      <c r="L201" s="159"/>
      <c r="M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row>
    <row r="202" spans="2:53" ht="17.399999999999999" customHeight="1">
      <c r="B202" s="159"/>
      <c r="C202" s="159"/>
      <c r="D202" s="159"/>
      <c r="E202" s="159"/>
      <c r="F202" s="159"/>
      <c r="G202" s="159"/>
      <c r="H202" s="159"/>
      <c r="I202" s="159"/>
      <c r="J202" s="224"/>
      <c r="K202" s="159"/>
      <c r="L202" s="159"/>
      <c r="M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row>
    <row r="203" spans="2:53" ht="17.399999999999999" customHeight="1">
      <c r="B203" s="159"/>
      <c r="C203" s="159"/>
      <c r="D203" s="159"/>
      <c r="E203" s="159"/>
      <c r="F203" s="159"/>
      <c r="G203" s="159"/>
      <c r="H203" s="159"/>
      <c r="I203" s="159"/>
      <c r="J203" s="224"/>
      <c r="K203" s="159"/>
      <c r="L203" s="159"/>
      <c r="M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row>
    <row r="204" spans="2:53" ht="17.399999999999999" customHeight="1">
      <c r="B204" s="159"/>
      <c r="C204" s="159"/>
      <c r="D204" s="159"/>
      <c r="E204" s="159"/>
      <c r="F204" s="159"/>
      <c r="G204" s="159"/>
      <c r="H204" s="159"/>
      <c r="I204" s="159"/>
      <c r="J204" s="224"/>
      <c r="K204" s="159"/>
      <c r="L204" s="159"/>
      <c r="M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row>
    <row r="205" spans="2:53" ht="17.399999999999999" customHeight="1">
      <c r="B205" s="159"/>
      <c r="C205" s="159"/>
      <c r="D205" s="159"/>
      <c r="E205" s="159"/>
      <c r="F205" s="159"/>
      <c r="G205" s="159"/>
      <c r="H205" s="159"/>
      <c r="I205" s="159"/>
      <c r="J205" s="224"/>
      <c r="K205" s="159"/>
      <c r="L205" s="159"/>
      <c r="M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row>
    <row r="206" spans="2:53" ht="17.399999999999999" customHeight="1">
      <c r="B206" s="159"/>
      <c r="C206" s="159"/>
      <c r="D206" s="159"/>
      <c r="E206" s="159"/>
      <c r="F206" s="159"/>
      <c r="G206" s="159"/>
      <c r="H206" s="159"/>
      <c r="I206" s="159"/>
      <c r="J206" s="224"/>
      <c r="K206" s="159"/>
      <c r="L206" s="159"/>
      <c r="M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row>
    <row r="207" spans="2:53" ht="17.399999999999999" customHeight="1">
      <c r="B207" s="159"/>
      <c r="C207" s="159"/>
      <c r="D207" s="159"/>
      <c r="E207" s="159"/>
      <c r="F207" s="159"/>
      <c r="G207" s="159"/>
      <c r="H207" s="159"/>
      <c r="I207" s="159"/>
      <c r="J207" s="224"/>
      <c r="K207" s="159"/>
      <c r="L207" s="159"/>
      <c r="M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row>
    <row r="208" spans="2:53" ht="17.399999999999999" customHeight="1">
      <c r="B208" s="159"/>
      <c r="C208" s="159"/>
      <c r="D208" s="159"/>
      <c r="E208" s="159"/>
      <c r="F208" s="159"/>
      <c r="G208" s="159"/>
      <c r="H208" s="159"/>
      <c r="I208" s="159"/>
      <c r="J208" s="224"/>
      <c r="K208" s="159"/>
      <c r="L208" s="159"/>
      <c r="M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row>
    <row r="209" spans="2:53" ht="17.399999999999999" customHeight="1">
      <c r="B209" s="159"/>
      <c r="C209" s="159"/>
      <c r="D209" s="159"/>
      <c r="E209" s="159"/>
      <c r="F209" s="159"/>
      <c r="G209" s="159"/>
      <c r="H209" s="159"/>
      <c r="I209" s="159"/>
      <c r="J209" s="224"/>
      <c r="K209" s="159"/>
      <c r="L209" s="159"/>
      <c r="M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row>
    <row r="210" spans="2:53" ht="17.399999999999999" customHeight="1">
      <c r="B210" s="159"/>
      <c r="C210" s="159"/>
      <c r="D210" s="159"/>
      <c r="E210" s="159"/>
      <c r="F210" s="159"/>
      <c r="G210" s="159"/>
      <c r="H210" s="159"/>
      <c r="I210" s="159"/>
      <c r="J210" s="224"/>
      <c r="K210" s="159"/>
      <c r="L210" s="159"/>
      <c r="M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row>
    <row r="211" spans="2:53" ht="17.399999999999999" customHeight="1">
      <c r="B211" s="159"/>
      <c r="C211" s="159"/>
      <c r="D211" s="159"/>
      <c r="E211" s="159"/>
      <c r="F211" s="159"/>
      <c r="G211" s="159"/>
      <c r="H211" s="159"/>
      <c r="I211" s="159"/>
      <c r="J211" s="224"/>
      <c r="K211" s="159"/>
      <c r="L211" s="159"/>
      <c r="M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row>
    <row r="212" spans="2:53" ht="17.399999999999999" customHeight="1">
      <c r="B212" s="159"/>
      <c r="C212" s="159"/>
      <c r="D212" s="159"/>
      <c r="E212" s="159"/>
      <c r="F212" s="159"/>
      <c r="G212" s="159"/>
      <c r="H212" s="159"/>
      <c r="I212" s="159"/>
      <c r="J212" s="224"/>
      <c r="K212" s="159"/>
      <c r="L212" s="159"/>
      <c r="M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row>
    <row r="213" spans="2:53" ht="17.399999999999999" customHeight="1">
      <c r="B213" s="159"/>
      <c r="C213" s="159"/>
      <c r="D213" s="159"/>
      <c r="E213" s="159"/>
      <c r="F213" s="159"/>
      <c r="G213" s="159"/>
      <c r="H213" s="159"/>
      <c r="I213" s="159"/>
      <c r="J213" s="224"/>
      <c r="K213" s="159"/>
      <c r="L213" s="159"/>
      <c r="M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row>
    <row r="214" spans="2:53" ht="17.399999999999999" customHeight="1">
      <c r="B214" s="159"/>
      <c r="C214" s="159"/>
      <c r="D214" s="159"/>
      <c r="E214" s="159"/>
      <c r="F214" s="159"/>
      <c r="G214" s="159"/>
      <c r="H214" s="159"/>
      <c r="I214" s="159"/>
      <c r="J214" s="224"/>
      <c r="K214" s="159"/>
      <c r="L214" s="159"/>
      <c r="M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row>
    <row r="215" spans="2:53" ht="17.399999999999999" customHeight="1">
      <c r="B215" s="159"/>
      <c r="C215" s="159"/>
      <c r="D215" s="159"/>
      <c r="E215" s="159"/>
      <c r="F215" s="159"/>
      <c r="G215" s="159"/>
      <c r="H215" s="159"/>
      <c r="I215" s="159"/>
      <c r="J215" s="224"/>
      <c r="K215" s="159"/>
      <c r="L215" s="159"/>
      <c r="M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row>
    <row r="216" spans="2:53" ht="17.399999999999999" customHeight="1">
      <c r="B216" s="159"/>
      <c r="C216" s="159"/>
      <c r="D216" s="159"/>
      <c r="E216" s="159"/>
      <c r="F216" s="159"/>
      <c r="G216" s="159"/>
      <c r="H216" s="159"/>
      <c r="I216" s="159"/>
      <c r="J216" s="224"/>
      <c r="K216" s="159"/>
      <c r="L216" s="159"/>
      <c r="M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row>
    <row r="217" spans="2:53" ht="17.399999999999999" customHeight="1">
      <c r="B217" s="159"/>
      <c r="C217" s="159"/>
      <c r="D217" s="159"/>
      <c r="E217" s="159"/>
      <c r="F217" s="159"/>
      <c r="G217" s="159"/>
      <c r="H217" s="159"/>
      <c r="I217" s="159"/>
      <c r="J217" s="224"/>
      <c r="K217" s="159"/>
      <c r="L217" s="159"/>
      <c r="M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row>
    <row r="218" spans="2:53" ht="17.399999999999999" customHeight="1">
      <c r="B218" s="159"/>
      <c r="C218" s="159"/>
      <c r="D218" s="159"/>
      <c r="E218" s="159"/>
      <c r="F218" s="159"/>
      <c r="G218" s="159"/>
      <c r="H218" s="159"/>
      <c r="I218" s="159"/>
      <c r="J218" s="224"/>
      <c r="K218" s="159"/>
      <c r="L218" s="159"/>
      <c r="M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row>
    <row r="219" spans="2:53" ht="17.399999999999999" customHeight="1">
      <c r="B219" s="159"/>
      <c r="C219" s="159"/>
      <c r="D219" s="159"/>
      <c r="E219" s="159"/>
      <c r="F219" s="159"/>
      <c r="G219" s="159"/>
      <c r="H219" s="159"/>
      <c r="I219" s="159"/>
      <c r="J219" s="224"/>
      <c r="K219" s="159"/>
      <c r="L219" s="159"/>
      <c r="M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row>
    <row r="220" spans="2:53" ht="17.399999999999999" customHeight="1">
      <c r="B220" s="159"/>
      <c r="C220" s="159"/>
      <c r="D220" s="159"/>
      <c r="E220" s="159"/>
      <c r="F220" s="159"/>
      <c r="G220" s="159"/>
      <c r="H220" s="159"/>
      <c r="I220" s="159"/>
      <c r="J220" s="224"/>
      <c r="K220" s="159"/>
      <c r="L220" s="159"/>
      <c r="M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row>
    <row r="221" spans="2:53" ht="17.399999999999999" customHeight="1">
      <c r="B221" s="159"/>
      <c r="C221" s="159"/>
      <c r="D221" s="159"/>
      <c r="E221" s="159"/>
      <c r="F221" s="159"/>
      <c r="G221" s="159"/>
      <c r="H221" s="159"/>
      <c r="I221" s="159"/>
      <c r="J221" s="224"/>
      <c r="K221" s="159"/>
      <c r="L221" s="159"/>
      <c r="M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row>
    <row r="222" spans="2:53" ht="17.399999999999999" customHeight="1">
      <c r="B222" s="159"/>
      <c r="C222" s="159"/>
      <c r="D222" s="159"/>
      <c r="E222" s="159"/>
      <c r="F222" s="159"/>
      <c r="G222" s="159"/>
      <c r="H222" s="159"/>
      <c r="I222" s="159"/>
      <c r="J222" s="224"/>
      <c r="K222" s="159"/>
      <c r="L222" s="159"/>
      <c r="M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row>
    <row r="223" spans="2:53" ht="17.399999999999999" customHeight="1">
      <c r="B223" s="159"/>
      <c r="C223" s="159"/>
      <c r="D223" s="159"/>
      <c r="E223" s="159"/>
      <c r="F223" s="159"/>
      <c r="G223" s="159"/>
      <c r="H223" s="159"/>
      <c r="I223" s="159"/>
      <c r="J223" s="224"/>
      <c r="K223" s="159"/>
      <c r="L223" s="159"/>
      <c r="M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row>
    <row r="224" spans="2:53" ht="17.399999999999999" customHeight="1">
      <c r="B224" s="159"/>
      <c r="C224" s="159"/>
      <c r="D224" s="159"/>
      <c r="E224" s="159"/>
      <c r="F224" s="159"/>
      <c r="G224" s="159"/>
      <c r="H224" s="159"/>
      <c r="I224" s="159"/>
      <c r="J224" s="224"/>
      <c r="K224" s="159"/>
      <c r="L224" s="159"/>
      <c r="M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row>
    <row r="225" spans="2:53" ht="17.399999999999999" customHeight="1">
      <c r="B225" s="159"/>
      <c r="C225" s="159"/>
      <c r="D225" s="159"/>
      <c r="E225" s="159"/>
      <c r="F225" s="159"/>
      <c r="G225" s="159"/>
      <c r="H225" s="159"/>
      <c r="I225" s="159"/>
      <c r="J225" s="224"/>
      <c r="K225" s="159"/>
      <c r="L225" s="159"/>
      <c r="M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row>
    <row r="226" spans="2:53" ht="17.399999999999999" customHeight="1">
      <c r="B226" s="159"/>
      <c r="C226" s="159"/>
      <c r="D226" s="159"/>
      <c r="E226" s="159"/>
      <c r="F226" s="159"/>
      <c r="G226" s="159"/>
      <c r="H226" s="159"/>
      <c r="I226" s="159"/>
      <c r="J226" s="224"/>
      <c r="K226" s="159"/>
      <c r="L226" s="159"/>
      <c r="M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row>
    <row r="227" spans="2:53" ht="17.399999999999999" customHeight="1">
      <c r="B227" s="159"/>
      <c r="C227" s="159"/>
      <c r="D227" s="159"/>
      <c r="E227" s="159"/>
      <c r="F227" s="159"/>
      <c r="G227" s="159"/>
      <c r="H227" s="159"/>
      <c r="I227" s="159"/>
      <c r="J227" s="224"/>
      <c r="K227" s="159"/>
      <c r="L227" s="159"/>
      <c r="M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row>
    <row r="228" spans="2:53" ht="17.399999999999999" customHeight="1">
      <c r="B228" s="159"/>
      <c r="C228" s="159"/>
      <c r="D228" s="159"/>
      <c r="E228" s="159"/>
      <c r="F228" s="159"/>
      <c r="G228" s="159"/>
      <c r="H228" s="159"/>
      <c r="I228" s="159"/>
      <c r="J228" s="224"/>
      <c r="K228" s="159"/>
      <c r="L228" s="159"/>
      <c r="M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row>
    <row r="229" spans="2:53" ht="17.399999999999999" customHeight="1">
      <c r="B229" s="159"/>
      <c r="C229" s="159"/>
      <c r="D229" s="159"/>
      <c r="E229" s="159"/>
      <c r="F229" s="159"/>
      <c r="G229" s="159"/>
      <c r="H229" s="159"/>
      <c r="I229" s="159"/>
      <c r="J229" s="224"/>
      <c r="K229" s="159"/>
      <c r="L229" s="159"/>
      <c r="M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row>
    <row r="230" spans="2:53" ht="17.399999999999999" customHeight="1">
      <c r="B230" s="159"/>
      <c r="C230" s="159"/>
      <c r="D230" s="159"/>
      <c r="E230" s="159"/>
      <c r="F230" s="159"/>
      <c r="G230" s="159"/>
      <c r="H230" s="159"/>
      <c r="I230" s="159"/>
      <c r="J230" s="224"/>
      <c r="K230" s="159"/>
      <c r="L230" s="159"/>
      <c r="M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row>
    <row r="231" spans="2:53" ht="17.399999999999999" customHeight="1">
      <c r="B231" s="159"/>
      <c r="C231" s="159"/>
      <c r="D231" s="159"/>
      <c r="E231" s="159"/>
      <c r="F231" s="159"/>
      <c r="G231" s="159"/>
      <c r="H231" s="159"/>
      <c r="I231" s="159"/>
      <c r="J231" s="224"/>
      <c r="K231" s="159"/>
      <c r="L231" s="159"/>
      <c r="M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row>
    <row r="232" spans="2:53" ht="17.399999999999999" customHeight="1">
      <c r="B232" s="159"/>
      <c r="C232" s="159"/>
      <c r="D232" s="159"/>
      <c r="E232" s="159"/>
      <c r="F232" s="159"/>
      <c r="G232" s="159"/>
      <c r="H232" s="159"/>
      <c r="I232" s="159"/>
      <c r="J232" s="224"/>
      <c r="K232" s="159"/>
      <c r="L232" s="159"/>
      <c r="M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row>
    <row r="233" spans="2:53" ht="17.399999999999999" customHeight="1">
      <c r="B233" s="159"/>
      <c r="C233" s="159"/>
      <c r="D233" s="159"/>
      <c r="E233" s="159"/>
      <c r="F233" s="159"/>
      <c r="G233" s="159"/>
      <c r="H233" s="159"/>
      <c r="I233" s="159"/>
      <c r="J233" s="224"/>
      <c r="K233" s="159"/>
      <c r="L233" s="159"/>
      <c r="M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row>
    <row r="234" spans="2:53" ht="17.399999999999999" customHeight="1">
      <c r="B234" s="159"/>
      <c r="C234" s="159"/>
      <c r="D234" s="159"/>
      <c r="E234" s="159"/>
      <c r="F234" s="159"/>
      <c r="G234" s="159"/>
      <c r="H234" s="159"/>
      <c r="I234" s="159"/>
      <c r="J234" s="224"/>
      <c r="K234" s="159"/>
      <c r="L234" s="159"/>
      <c r="M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row>
    <row r="235" spans="2:53" ht="17.399999999999999" customHeight="1">
      <c r="B235" s="159"/>
      <c r="C235" s="159"/>
      <c r="D235" s="159"/>
      <c r="E235" s="159"/>
      <c r="F235" s="159"/>
      <c r="G235" s="159"/>
      <c r="H235" s="159"/>
      <c r="I235" s="159"/>
      <c r="J235" s="224"/>
      <c r="K235" s="159"/>
      <c r="L235" s="159"/>
      <c r="M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row>
    <row r="236" spans="2:53" ht="17.399999999999999" customHeight="1">
      <c r="B236" s="159"/>
      <c r="C236" s="159"/>
      <c r="D236" s="159"/>
      <c r="E236" s="159"/>
      <c r="F236" s="159"/>
      <c r="G236" s="159"/>
      <c r="H236" s="159"/>
      <c r="I236" s="159"/>
      <c r="J236" s="224"/>
      <c r="K236" s="159"/>
      <c r="L236" s="159"/>
      <c r="M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row>
    <row r="237" spans="2:53" ht="17.399999999999999" customHeight="1">
      <c r="B237" s="159"/>
      <c r="C237" s="159"/>
      <c r="D237" s="159"/>
      <c r="E237" s="159"/>
      <c r="F237" s="159"/>
      <c r="G237" s="159"/>
      <c r="H237" s="159"/>
      <c r="I237" s="159"/>
      <c r="J237" s="224"/>
      <c r="K237" s="159"/>
      <c r="L237" s="159"/>
      <c r="M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row>
    <row r="238" spans="2:53" ht="17.399999999999999" customHeight="1">
      <c r="B238" s="159"/>
      <c r="C238" s="159"/>
      <c r="D238" s="159"/>
      <c r="E238" s="159"/>
      <c r="F238" s="159"/>
      <c r="G238" s="159"/>
      <c r="H238" s="159"/>
      <c r="I238" s="159"/>
      <c r="J238" s="224"/>
      <c r="K238" s="159"/>
      <c r="L238" s="159"/>
      <c r="M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row>
    <row r="239" spans="2:53" ht="17.399999999999999" customHeight="1">
      <c r="B239" s="159"/>
      <c r="C239" s="159"/>
      <c r="D239" s="159"/>
      <c r="E239" s="159"/>
      <c r="F239" s="159"/>
      <c r="G239" s="159"/>
      <c r="H239" s="159"/>
      <c r="I239" s="159"/>
      <c r="J239" s="224"/>
      <c r="K239" s="159"/>
      <c r="L239" s="159"/>
      <c r="M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row>
    <row r="240" spans="2:53" ht="17.399999999999999" customHeight="1">
      <c r="B240" s="159"/>
      <c r="C240" s="159"/>
      <c r="D240" s="159"/>
      <c r="E240" s="159"/>
      <c r="F240" s="159"/>
      <c r="G240" s="159"/>
      <c r="H240" s="159"/>
      <c r="I240" s="159"/>
      <c r="J240" s="224"/>
      <c r="K240" s="159"/>
      <c r="L240" s="159"/>
      <c r="M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row>
    <row r="241" spans="2:53" ht="17.399999999999999" customHeight="1">
      <c r="B241" s="159"/>
      <c r="C241" s="159"/>
      <c r="D241" s="159"/>
      <c r="E241" s="159"/>
      <c r="F241" s="159"/>
      <c r="G241" s="159"/>
      <c r="H241" s="159"/>
      <c r="I241" s="159"/>
      <c r="J241" s="224"/>
      <c r="K241" s="159"/>
      <c r="L241" s="159"/>
      <c r="M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row>
    <row r="242" spans="2:53" ht="17.399999999999999" customHeight="1">
      <c r="B242" s="159"/>
      <c r="C242" s="159"/>
      <c r="D242" s="159"/>
      <c r="E242" s="159"/>
      <c r="F242" s="159"/>
      <c r="G242" s="159"/>
      <c r="H242" s="159"/>
      <c r="I242" s="159"/>
      <c r="J242" s="224"/>
      <c r="K242" s="159"/>
      <c r="L242" s="159"/>
      <c r="M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row>
    <row r="243" spans="2:53" ht="17.399999999999999" customHeight="1">
      <c r="B243" s="159"/>
      <c r="C243" s="159"/>
      <c r="D243" s="159"/>
      <c r="E243" s="159"/>
      <c r="F243" s="159"/>
      <c r="G243" s="159"/>
      <c r="H243" s="159"/>
      <c r="I243" s="159"/>
      <c r="J243" s="224"/>
      <c r="K243" s="159"/>
      <c r="L243" s="159"/>
      <c r="M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row>
    <row r="244" spans="2:53" ht="17.399999999999999" customHeight="1">
      <c r="B244" s="159"/>
      <c r="C244" s="159"/>
      <c r="D244" s="159"/>
      <c r="E244" s="159"/>
      <c r="F244" s="159"/>
      <c r="G244" s="159"/>
      <c r="H244" s="159"/>
      <c r="I244" s="159"/>
      <c r="J244" s="224"/>
      <c r="K244" s="159"/>
      <c r="L244" s="159"/>
      <c r="M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row>
    <row r="245" spans="2:53" ht="17.399999999999999" customHeight="1">
      <c r="B245" s="159"/>
      <c r="C245" s="159"/>
      <c r="D245" s="159"/>
      <c r="E245" s="159"/>
      <c r="F245" s="159"/>
      <c r="G245" s="159"/>
      <c r="H245" s="159"/>
      <c r="I245" s="159"/>
      <c r="J245" s="224"/>
      <c r="K245" s="159"/>
      <c r="L245" s="159"/>
      <c r="M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row>
    <row r="246" spans="2:53" ht="17.399999999999999" customHeight="1">
      <c r="B246" s="159"/>
      <c r="C246" s="159"/>
      <c r="D246" s="159"/>
      <c r="E246" s="159"/>
      <c r="F246" s="159"/>
      <c r="G246" s="159"/>
      <c r="H246" s="159"/>
      <c r="I246" s="159"/>
      <c r="J246" s="224"/>
      <c r="K246" s="159"/>
      <c r="L246" s="159"/>
      <c r="M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row>
    <row r="247" spans="2:53" ht="17.399999999999999" customHeight="1">
      <c r="B247" s="159"/>
      <c r="C247" s="159"/>
      <c r="D247" s="159"/>
      <c r="E247" s="159"/>
      <c r="F247" s="159"/>
      <c r="G247" s="159"/>
      <c r="H247" s="159"/>
      <c r="I247" s="159"/>
      <c r="J247" s="224"/>
      <c r="K247" s="159"/>
      <c r="L247" s="159"/>
      <c r="M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row>
    <row r="248" spans="2:53" ht="17.399999999999999" customHeight="1">
      <c r="B248" s="159"/>
      <c r="C248" s="159"/>
      <c r="D248" s="159"/>
      <c r="E248" s="159"/>
      <c r="F248" s="159"/>
      <c r="G248" s="159"/>
      <c r="H248" s="159"/>
      <c r="I248" s="159"/>
      <c r="J248" s="224"/>
      <c r="K248" s="159"/>
      <c r="L248" s="159"/>
      <c r="M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row>
    <row r="249" spans="2:53" ht="17.399999999999999" customHeight="1">
      <c r="B249" s="159"/>
      <c r="C249" s="159"/>
      <c r="D249" s="159"/>
      <c r="E249" s="159"/>
      <c r="F249" s="159"/>
      <c r="G249" s="159"/>
      <c r="H249" s="159"/>
      <c r="I249" s="159"/>
      <c r="J249" s="224"/>
      <c r="K249" s="159"/>
      <c r="L249" s="159"/>
      <c r="M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row>
    <row r="250" spans="2:53" ht="17.399999999999999" customHeight="1">
      <c r="B250" s="159"/>
      <c r="C250" s="159"/>
      <c r="D250" s="159"/>
      <c r="E250" s="159"/>
      <c r="F250" s="159"/>
      <c r="G250" s="159"/>
      <c r="H250" s="159"/>
      <c r="I250" s="159"/>
      <c r="J250" s="224"/>
      <c r="K250" s="159"/>
      <c r="L250" s="159"/>
      <c r="M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row>
    <row r="251" spans="2:53" ht="17.399999999999999" customHeight="1">
      <c r="B251" s="159"/>
      <c r="C251" s="159"/>
      <c r="D251" s="159"/>
      <c r="E251" s="159"/>
      <c r="F251" s="159"/>
      <c r="G251" s="159"/>
      <c r="H251" s="159"/>
      <c r="I251" s="159"/>
      <c r="J251" s="224"/>
      <c r="K251" s="159"/>
      <c r="L251" s="159"/>
      <c r="M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row>
    <row r="252" spans="2:53" ht="17.399999999999999" customHeight="1">
      <c r="B252" s="159"/>
      <c r="C252" s="159"/>
      <c r="D252" s="159"/>
      <c r="E252" s="159"/>
      <c r="F252" s="159"/>
      <c r="G252" s="159"/>
      <c r="H252" s="159"/>
      <c r="I252" s="159"/>
      <c r="J252" s="224"/>
      <c r="K252" s="159"/>
      <c r="L252" s="159"/>
      <c r="M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row>
    <row r="253" spans="2:53" ht="17.399999999999999" customHeight="1">
      <c r="B253" s="159"/>
      <c r="C253" s="159"/>
      <c r="D253" s="159"/>
      <c r="E253" s="159"/>
      <c r="F253" s="159"/>
      <c r="G253" s="159"/>
      <c r="H253" s="159"/>
      <c r="I253" s="159"/>
      <c r="J253" s="224"/>
      <c r="K253" s="159"/>
      <c r="L253" s="159"/>
      <c r="M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row>
    <row r="254" spans="2:53" ht="17.399999999999999" customHeight="1">
      <c r="B254" s="159"/>
      <c r="C254" s="159"/>
      <c r="D254" s="159"/>
      <c r="E254" s="159"/>
      <c r="F254" s="159"/>
      <c r="G254" s="159"/>
      <c r="H254" s="159"/>
      <c r="I254" s="159"/>
      <c r="J254" s="224"/>
      <c r="K254" s="159"/>
      <c r="L254" s="159"/>
      <c r="M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row>
    <row r="255" spans="2:53" ht="17.399999999999999" customHeight="1">
      <c r="B255" s="159"/>
      <c r="C255" s="159"/>
      <c r="D255" s="159"/>
      <c r="E255" s="159"/>
      <c r="F255" s="159"/>
      <c r="G255" s="159"/>
      <c r="H255" s="159"/>
      <c r="I255" s="159"/>
      <c r="J255" s="224"/>
      <c r="K255" s="159"/>
      <c r="L255" s="159"/>
      <c r="M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row>
    <row r="256" spans="2:53" ht="17.399999999999999" customHeight="1">
      <c r="B256" s="159"/>
      <c r="C256" s="159"/>
      <c r="D256" s="159"/>
      <c r="E256" s="159"/>
      <c r="F256" s="159"/>
      <c r="G256" s="159"/>
      <c r="H256" s="159"/>
      <c r="I256" s="159"/>
      <c r="J256" s="224"/>
      <c r="K256" s="159"/>
      <c r="L256" s="159"/>
      <c r="M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row>
    <row r="257" spans="2:53" ht="17.399999999999999" customHeight="1">
      <c r="B257" s="159"/>
      <c r="C257" s="159"/>
      <c r="D257" s="159"/>
      <c r="E257" s="159"/>
      <c r="F257" s="159"/>
      <c r="G257" s="159"/>
      <c r="H257" s="159"/>
      <c r="I257" s="159"/>
      <c r="J257" s="224"/>
      <c r="K257" s="159"/>
      <c r="L257" s="159"/>
      <c r="M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row>
    <row r="258" spans="2:53" ht="17.399999999999999" customHeight="1">
      <c r="B258" s="159"/>
      <c r="C258" s="159"/>
      <c r="D258" s="159"/>
      <c r="E258" s="159"/>
      <c r="F258" s="159"/>
      <c r="G258" s="159"/>
      <c r="H258" s="159"/>
      <c r="I258" s="159"/>
      <c r="J258" s="224"/>
      <c r="K258" s="159"/>
      <c r="L258" s="159"/>
      <c r="M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row>
    <row r="259" spans="2:53" ht="17.399999999999999" customHeight="1">
      <c r="B259" s="159"/>
      <c r="C259" s="159"/>
      <c r="D259" s="159"/>
      <c r="E259" s="159"/>
      <c r="F259" s="159"/>
      <c r="G259" s="159"/>
      <c r="H259" s="159"/>
      <c r="I259" s="159"/>
      <c r="J259" s="224"/>
      <c r="K259" s="159"/>
      <c r="L259" s="159"/>
      <c r="M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row>
    <row r="260" spans="2:53" ht="17.399999999999999" customHeight="1">
      <c r="B260" s="159"/>
      <c r="C260" s="159"/>
      <c r="D260" s="159"/>
      <c r="E260" s="159"/>
      <c r="F260" s="159"/>
      <c r="G260" s="159"/>
      <c r="H260" s="159"/>
      <c r="I260" s="159"/>
      <c r="J260" s="224"/>
      <c r="K260" s="159"/>
      <c r="L260" s="159"/>
      <c r="M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row>
    <row r="261" spans="2:53" ht="17.399999999999999" customHeight="1">
      <c r="B261" s="159"/>
      <c r="C261" s="159"/>
      <c r="D261" s="159"/>
      <c r="E261" s="159"/>
      <c r="F261" s="159"/>
      <c r="G261" s="159"/>
      <c r="H261" s="159"/>
      <c r="I261" s="159"/>
      <c r="J261" s="224"/>
      <c r="K261" s="159"/>
      <c r="L261" s="159"/>
      <c r="M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row>
    <row r="262" spans="2:53" ht="17.399999999999999" customHeight="1">
      <c r="B262" s="159"/>
      <c r="C262" s="159"/>
      <c r="D262" s="159"/>
      <c r="E262" s="159"/>
      <c r="F262" s="159"/>
      <c r="G262" s="159"/>
      <c r="H262" s="159"/>
      <c r="I262" s="159"/>
      <c r="J262" s="224"/>
      <c r="K262" s="159"/>
      <c r="L262" s="159"/>
      <c r="M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row>
    <row r="263" spans="2:53" ht="17.399999999999999" customHeight="1">
      <c r="B263" s="159"/>
      <c r="C263" s="159"/>
      <c r="D263" s="159"/>
      <c r="E263" s="159"/>
      <c r="F263" s="159"/>
      <c r="G263" s="159"/>
      <c r="H263" s="159"/>
      <c r="I263" s="159"/>
      <c r="J263" s="224"/>
      <c r="K263" s="159"/>
      <c r="L263" s="159"/>
      <c r="M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row>
    <row r="264" spans="2:53" ht="17.399999999999999" customHeight="1">
      <c r="B264" s="159"/>
      <c r="C264" s="159"/>
      <c r="D264" s="159"/>
      <c r="E264" s="159"/>
      <c r="F264" s="159"/>
      <c r="G264" s="159"/>
      <c r="H264" s="159"/>
      <c r="I264" s="159"/>
      <c r="J264" s="224"/>
      <c r="K264" s="159"/>
      <c r="L264" s="159"/>
      <c r="M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row>
    <row r="265" spans="2:53" ht="17.399999999999999" customHeight="1">
      <c r="B265" s="159"/>
      <c r="C265" s="159"/>
      <c r="D265" s="159"/>
      <c r="E265" s="159"/>
      <c r="F265" s="159"/>
      <c r="G265" s="159"/>
      <c r="H265" s="159"/>
      <c r="I265" s="159"/>
      <c r="J265" s="224"/>
      <c r="K265" s="159"/>
      <c r="L265" s="159"/>
      <c r="M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row>
    <row r="266" spans="2:53" ht="17.399999999999999" customHeight="1">
      <c r="B266" s="159"/>
      <c r="C266" s="159"/>
      <c r="D266" s="159"/>
      <c r="E266" s="159"/>
      <c r="F266" s="159"/>
      <c r="G266" s="159"/>
      <c r="H266" s="159"/>
      <c r="I266" s="159"/>
      <c r="J266" s="224"/>
      <c r="K266" s="159"/>
      <c r="L266" s="159"/>
      <c r="M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row>
    <row r="267" spans="2:53" ht="17.399999999999999" customHeight="1">
      <c r="B267" s="159"/>
      <c r="C267" s="159"/>
      <c r="D267" s="159"/>
      <c r="E267" s="159"/>
      <c r="F267" s="159"/>
      <c r="G267" s="159"/>
      <c r="H267" s="159"/>
      <c r="I267" s="159"/>
      <c r="J267" s="224"/>
      <c r="K267" s="159"/>
      <c r="L267" s="159"/>
      <c r="M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row>
    <row r="268" spans="2:53" ht="17.399999999999999" customHeight="1">
      <c r="B268" s="159"/>
      <c r="C268" s="159"/>
      <c r="D268" s="159"/>
      <c r="E268" s="159"/>
      <c r="F268" s="159"/>
      <c r="G268" s="159"/>
      <c r="H268" s="159"/>
      <c r="I268" s="159"/>
      <c r="J268" s="224"/>
      <c r="K268" s="159"/>
      <c r="L268" s="159"/>
      <c r="M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row>
    <row r="269" spans="2:53" ht="17.399999999999999" customHeight="1">
      <c r="B269" s="159"/>
      <c r="C269" s="159"/>
      <c r="D269" s="159"/>
      <c r="E269" s="159"/>
      <c r="F269" s="159"/>
      <c r="G269" s="159"/>
      <c r="H269" s="159"/>
      <c r="I269" s="159"/>
      <c r="J269" s="224"/>
      <c r="K269" s="159"/>
      <c r="L269" s="159"/>
      <c r="M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row>
    <row r="270" spans="2:53" ht="17.399999999999999" customHeight="1">
      <c r="B270" s="159"/>
      <c r="C270" s="159"/>
      <c r="D270" s="159"/>
      <c r="E270" s="159"/>
      <c r="F270" s="159"/>
      <c r="G270" s="159"/>
      <c r="H270" s="159"/>
      <c r="I270" s="159"/>
      <c r="J270" s="224"/>
      <c r="K270" s="159"/>
      <c r="L270" s="159"/>
      <c r="M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row>
    <row r="271" spans="2:53" ht="17.399999999999999" customHeight="1">
      <c r="B271" s="159"/>
      <c r="C271" s="159"/>
      <c r="D271" s="159"/>
      <c r="E271" s="159"/>
      <c r="F271" s="159"/>
      <c r="G271" s="159"/>
      <c r="H271" s="159"/>
      <c r="I271" s="159"/>
      <c r="J271" s="224"/>
      <c r="K271" s="159"/>
      <c r="L271" s="159"/>
      <c r="M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row>
    <row r="272" spans="2:53" ht="17.399999999999999" customHeight="1">
      <c r="B272" s="159"/>
      <c r="C272" s="159"/>
      <c r="D272" s="159"/>
      <c r="E272" s="159"/>
      <c r="F272" s="159"/>
      <c r="G272" s="159"/>
      <c r="H272" s="159"/>
      <c r="I272" s="159"/>
      <c r="J272" s="224"/>
      <c r="K272" s="159"/>
      <c r="L272" s="159"/>
      <c r="M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row>
    <row r="273" spans="2:53" ht="17.399999999999999" customHeight="1">
      <c r="B273" s="159"/>
      <c r="C273" s="159"/>
      <c r="D273" s="159"/>
      <c r="E273" s="159"/>
      <c r="F273" s="159"/>
      <c r="G273" s="159"/>
      <c r="H273" s="159"/>
      <c r="I273" s="159"/>
      <c r="J273" s="224"/>
      <c r="K273" s="159"/>
      <c r="L273" s="159"/>
      <c r="M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row>
    <row r="274" spans="2:53" ht="17.399999999999999" customHeight="1">
      <c r="B274" s="159"/>
      <c r="C274" s="159"/>
      <c r="D274" s="159"/>
      <c r="E274" s="159"/>
      <c r="F274" s="159"/>
      <c r="G274" s="159"/>
      <c r="H274" s="159"/>
      <c r="I274" s="159"/>
      <c r="J274" s="224"/>
      <c r="K274" s="159"/>
      <c r="L274" s="159"/>
      <c r="M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row>
    <row r="275" spans="2:53" ht="17.399999999999999" customHeight="1">
      <c r="B275" s="159"/>
      <c r="C275" s="159"/>
      <c r="D275" s="159"/>
      <c r="E275" s="159"/>
      <c r="F275" s="159"/>
      <c r="G275" s="159"/>
      <c r="H275" s="159"/>
      <c r="I275" s="159"/>
      <c r="J275" s="224"/>
      <c r="K275" s="159"/>
      <c r="L275" s="159"/>
      <c r="M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row>
    <row r="276" spans="2:53" ht="17.399999999999999" customHeight="1">
      <c r="B276" s="159"/>
      <c r="C276" s="159"/>
      <c r="D276" s="159"/>
      <c r="E276" s="159"/>
      <c r="F276" s="159"/>
      <c r="G276" s="159"/>
      <c r="H276" s="159"/>
      <c r="I276" s="159"/>
      <c r="J276" s="224"/>
      <c r="K276" s="159"/>
      <c r="L276" s="159"/>
      <c r="M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row>
    <row r="277" spans="2:53" ht="17.399999999999999" customHeight="1">
      <c r="B277" s="159"/>
      <c r="C277" s="159"/>
      <c r="D277" s="159"/>
      <c r="E277" s="159"/>
      <c r="F277" s="159"/>
      <c r="G277" s="159"/>
      <c r="H277" s="159"/>
      <c r="I277" s="159"/>
      <c r="J277" s="224"/>
      <c r="K277" s="159"/>
      <c r="L277" s="159"/>
      <c r="M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row>
    <row r="278" spans="2:53" ht="17.399999999999999" customHeight="1">
      <c r="B278" s="159"/>
      <c r="C278" s="159"/>
      <c r="D278" s="159"/>
      <c r="E278" s="159"/>
      <c r="F278" s="159"/>
      <c r="G278" s="159"/>
      <c r="H278" s="159"/>
      <c r="I278" s="159"/>
      <c r="J278" s="224"/>
      <c r="K278" s="159"/>
      <c r="L278" s="159"/>
      <c r="M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row>
    <row r="279" spans="2:53" ht="17.399999999999999" customHeight="1">
      <c r="B279" s="159"/>
      <c r="C279" s="159"/>
      <c r="D279" s="159"/>
      <c r="E279" s="159"/>
      <c r="F279" s="159"/>
      <c r="G279" s="159"/>
      <c r="H279" s="159"/>
      <c r="I279" s="159"/>
      <c r="J279" s="224"/>
      <c r="K279" s="159"/>
      <c r="L279" s="159"/>
      <c r="M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row>
    <row r="280" spans="2:53" ht="17.399999999999999" customHeight="1">
      <c r="B280" s="159"/>
      <c r="C280" s="159"/>
      <c r="D280" s="159"/>
      <c r="E280" s="159"/>
      <c r="F280" s="159"/>
      <c r="G280" s="159"/>
      <c r="H280" s="159"/>
      <c r="I280" s="159"/>
      <c r="J280" s="224"/>
      <c r="K280" s="159"/>
      <c r="L280" s="159"/>
      <c r="M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row>
    <row r="281" spans="2:53" ht="17.399999999999999" customHeight="1">
      <c r="B281" s="159"/>
      <c r="C281" s="159"/>
      <c r="D281" s="159"/>
      <c r="E281" s="159"/>
      <c r="F281" s="159"/>
      <c r="G281" s="159"/>
      <c r="H281" s="159"/>
      <c r="I281" s="159"/>
      <c r="J281" s="224"/>
      <c r="K281" s="159"/>
      <c r="L281" s="159"/>
      <c r="M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row>
    <row r="282" spans="2:53" ht="17.399999999999999" customHeight="1">
      <c r="B282" s="159"/>
      <c r="C282" s="159"/>
      <c r="D282" s="159"/>
      <c r="E282" s="159"/>
      <c r="F282" s="159"/>
      <c r="G282" s="159"/>
      <c r="H282" s="159"/>
      <c r="I282" s="159"/>
      <c r="J282" s="224"/>
      <c r="K282" s="159"/>
      <c r="L282" s="159"/>
      <c r="M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row>
    <row r="283" spans="2:53" ht="17.399999999999999" customHeight="1">
      <c r="B283" s="159"/>
      <c r="C283" s="159"/>
      <c r="D283" s="159"/>
      <c r="E283" s="159"/>
      <c r="F283" s="159"/>
      <c r="G283" s="159"/>
      <c r="H283" s="159"/>
      <c r="I283" s="159"/>
      <c r="J283" s="224"/>
      <c r="K283" s="159"/>
      <c r="L283" s="159"/>
      <c r="M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row>
    <row r="284" spans="2:53" ht="17.399999999999999" customHeight="1">
      <c r="B284" s="159"/>
      <c r="C284" s="159"/>
      <c r="D284" s="159"/>
      <c r="E284" s="159"/>
      <c r="F284" s="159"/>
      <c r="G284" s="159"/>
      <c r="H284" s="159"/>
      <c r="I284" s="159"/>
      <c r="J284" s="224"/>
      <c r="K284" s="159"/>
      <c r="L284" s="159"/>
      <c r="M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row>
    <row r="285" spans="2:53" ht="17.399999999999999" customHeight="1">
      <c r="B285" s="159"/>
      <c r="C285" s="159"/>
      <c r="D285" s="159"/>
      <c r="E285" s="159"/>
      <c r="F285" s="159"/>
      <c r="G285" s="159"/>
      <c r="H285" s="159"/>
      <c r="I285" s="159"/>
      <c r="J285" s="224"/>
      <c r="K285" s="159"/>
      <c r="L285" s="159"/>
      <c r="M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row>
    <row r="286" spans="2:53" ht="17.399999999999999" customHeight="1">
      <c r="B286" s="159"/>
      <c r="C286" s="159"/>
      <c r="D286" s="159"/>
      <c r="E286" s="159"/>
      <c r="F286" s="159"/>
      <c r="G286" s="159"/>
      <c r="H286" s="159"/>
      <c r="I286" s="159"/>
      <c r="J286" s="224"/>
      <c r="K286" s="159"/>
      <c r="L286" s="159"/>
      <c r="M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row>
    <row r="287" spans="2:53" ht="17.399999999999999" customHeight="1">
      <c r="B287" s="159"/>
      <c r="C287" s="159"/>
      <c r="D287" s="159"/>
      <c r="E287" s="159"/>
      <c r="F287" s="159"/>
      <c r="G287" s="159"/>
      <c r="H287" s="159"/>
      <c r="I287" s="159"/>
      <c r="J287" s="224"/>
      <c r="K287" s="159"/>
      <c r="L287" s="159"/>
      <c r="M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row>
    <row r="288" spans="2:53" ht="17.399999999999999" customHeight="1">
      <c r="B288" s="159"/>
      <c r="C288" s="159"/>
      <c r="D288" s="159"/>
      <c r="E288" s="159"/>
      <c r="F288" s="159"/>
      <c r="G288" s="159"/>
      <c r="H288" s="159"/>
      <c r="I288" s="159"/>
      <c r="J288" s="224"/>
      <c r="K288" s="159"/>
      <c r="L288" s="159"/>
      <c r="M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row>
    <row r="289" spans="2:53" ht="17.399999999999999" customHeight="1">
      <c r="B289" s="159"/>
      <c r="C289" s="159"/>
      <c r="D289" s="159"/>
      <c r="E289" s="159"/>
      <c r="F289" s="159"/>
      <c r="G289" s="159"/>
      <c r="H289" s="159"/>
      <c r="I289" s="159"/>
      <c r="J289" s="224"/>
      <c r="K289" s="159"/>
      <c r="L289" s="159"/>
      <c r="M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row>
    <row r="290" spans="2:53" ht="17.399999999999999" customHeight="1">
      <c r="B290" s="159"/>
      <c r="C290" s="159"/>
      <c r="D290" s="159"/>
      <c r="E290" s="159"/>
      <c r="F290" s="159"/>
      <c r="G290" s="159"/>
      <c r="H290" s="159"/>
      <c r="I290" s="159"/>
      <c r="J290" s="224"/>
      <c r="K290" s="159"/>
      <c r="L290" s="159"/>
      <c r="M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row>
    <row r="291" spans="2:53" ht="17.399999999999999" customHeight="1">
      <c r="B291" s="159"/>
      <c r="C291" s="159"/>
      <c r="D291" s="159"/>
      <c r="E291" s="159"/>
      <c r="F291" s="159"/>
      <c r="G291" s="159"/>
      <c r="H291" s="159"/>
      <c r="I291" s="159"/>
      <c r="J291" s="224"/>
      <c r="K291" s="159"/>
      <c r="L291" s="159"/>
      <c r="M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row>
    <row r="292" spans="2:53" ht="17.399999999999999" customHeight="1">
      <c r="B292" s="159"/>
      <c r="C292" s="159"/>
      <c r="D292" s="159"/>
      <c r="E292" s="159"/>
      <c r="F292" s="159"/>
      <c r="G292" s="159"/>
      <c r="H292" s="159"/>
      <c r="I292" s="159"/>
      <c r="J292" s="224"/>
      <c r="K292" s="159"/>
      <c r="L292" s="159"/>
      <c r="M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row>
    <row r="293" spans="2:53" ht="17.399999999999999" customHeight="1">
      <c r="B293" s="159"/>
      <c r="C293" s="159"/>
      <c r="D293" s="159"/>
      <c r="E293" s="159"/>
      <c r="F293" s="159"/>
      <c r="G293" s="159"/>
      <c r="H293" s="159"/>
      <c r="I293" s="159"/>
      <c r="J293" s="224"/>
      <c r="K293" s="159"/>
      <c r="L293" s="159"/>
      <c r="M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row>
    <row r="294" spans="2:53" ht="17.399999999999999" customHeight="1">
      <c r="B294" s="159"/>
      <c r="C294" s="159"/>
      <c r="D294" s="159"/>
      <c r="E294" s="159"/>
      <c r="F294" s="159"/>
      <c r="G294" s="159"/>
      <c r="H294" s="159"/>
      <c r="I294" s="159"/>
      <c r="J294" s="224"/>
      <c r="K294" s="159"/>
      <c r="L294" s="159"/>
      <c r="M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row>
    <row r="295" spans="2:53" ht="17.399999999999999" customHeight="1">
      <c r="B295" s="159"/>
      <c r="C295" s="159"/>
      <c r="D295" s="159"/>
      <c r="E295" s="159"/>
      <c r="F295" s="159"/>
      <c r="G295" s="159"/>
      <c r="H295" s="159"/>
      <c r="I295" s="159"/>
      <c r="J295" s="224"/>
      <c r="K295" s="159"/>
      <c r="L295" s="159"/>
      <c r="M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row>
    <row r="296" spans="2:53" ht="17.399999999999999" customHeight="1">
      <c r="B296" s="159"/>
      <c r="C296" s="159"/>
      <c r="D296" s="159"/>
      <c r="E296" s="159"/>
      <c r="F296" s="159"/>
      <c r="G296" s="159"/>
      <c r="H296" s="159"/>
      <c r="I296" s="159"/>
      <c r="J296" s="224"/>
      <c r="K296" s="159"/>
      <c r="L296" s="159"/>
      <c r="M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row>
    <row r="297" spans="2:53" ht="17.399999999999999" customHeight="1">
      <c r="B297" s="159"/>
      <c r="C297" s="159"/>
      <c r="D297" s="159"/>
      <c r="E297" s="159"/>
      <c r="F297" s="159"/>
      <c r="G297" s="159"/>
      <c r="H297" s="159"/>
      <c r="I297" s="159"/>
      <c r="J297" s="224"/>
      <c r="K297" s="159"/>
      <c r="L297" s="159"/>
      <c r="M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row>
    <row r="298" spans="2:53" ht="17.399999999999999" customHeight="1">
      <c r="B298" s="159"/>
      <c r="C298" s="159"/>
      <c r="D298" s="159"/>
      <c r="E298" s="159"/>
      <c r="F298" s="159"/>
      <c r="G298" s="159"/>
      <c r="H298" s="159"/>
      <c r="I298" s="159"/>
      <c r="J298" s="224"/>
      <c r="K298" s="159"/>
      <c r="L298" s="159"/>
      <c r="M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row>
    <row r="299" spans="2:53" ht="17.399999999999999" customHeight="1">
      <c r="B299" s="159"/>
      <c r="C299" s="159"/>
      <c r="D299" s="159"/>
      <c r="E299" s="159"/>
      <c r="F299" s="159"/>
      <c r="G299" s="159"/>
      <c r="H299" s="159"/>
      <c r="I299" s="159"/>
      <c r="J299" s="224"/>
      <c r="K299" s="159"/>
      <c r="L299" s="159"/>
      <c r="M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row>
    <row r="300" spans="2:53" ht="17.399999999999999" customHeight="1">
      <c r="B300" s="159"/>
      <c r="C300" s="159"/>
      <c r="D300" s="159"/>
      <c r="E300" s="159"/>
      <c r="F300" s="159"/>
      <c r="G300" s="159"/>
      <c r="H300" s="159"/>
      <c r="I300" s="159"/>
      <c r="J300" s="224"/>
      <c r="K300" s="159"/>
      <c r="L300" s="159"/>
      <c r="M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row>
    <row r="301" spans="2:53" ht="17.399999999999999" customHeight="1">
      <c r="B301" s="159"/>
      <c r="C301" s="159"/>
      <c r="D301" s="159"/>
      <c r="E301" s="159"/>
      <c r="F301" s="159"/>
      <c r="G301" s="159"/>
      <c r="H301" s="159"/>
      <c r="I301" s="159"/>
      <c r="J301" s="224"/>
      <c r="K301" s="159"/>
      <c r="L301" s="159"/>
      <c r="M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row>
    <row r="302" spans="2:53" ht="17.399999999999999" customHeight="1">
      <c r="B302" s="159"/>
      <c r="C302" s="159"/>
      <c r="D302" s="159"/>
      <c r="E302" s="159"/>
      <c r="F302" s="159"/>
      <c r="G302" s="159"/>
      <c r="H302" s="159"/>
      <c r="I302" s="159"/>
      <c r="J302" s="224"/>
      <c r="K302" s="159"/>
      <c r="L302" s="159"/>
      <c r="M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row>
    <row r="303" spans="2:53" ht="17.399999999999999" customHeight="1">
      <c r="B303" s="159"/>
      <c r="C303" s="159"/>
      <c r="D303" s="159"/>
      <c r="E303" s="159"/>
      <c r="F303" s="159"/>
      <c r="G303" s="159"/>
      <c r="H303" s="159"/>
      <c r="I303" s="159"/>
      <c r="J303" s="224"/>
      <c r="K303" s="159"/>
      <c r="L303" s="159"/>
      <c r="M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row>
    <row r="304" spans="2:53" ht="17.399999999999999" customHeight="1">
      <c r="B304" s="159"/>
      <c r="C304" s="159"/>
      <c r="D304" s="159"/>
      <c r="E304" s="159"/>
      <c r="F304" s="159"/>
      <c r="G304" s="159"/>
      <c r="H304" s="159"/>
      <c r="I304" s="159"/>
      <c r="J304" s="224"/>
      <c r="K304" s="159"/>
      <c r="L304" s="159"/>
      <c r="M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row>
    <row r="305" spans="2:53" ht="17.399999999999999" customHeight="1">
      <c r="B305" s="159"/>
      <c r="C305" s="159"/>
      <c r="D305" s="159"/>
      <c r="E305" s="159"/>
      <c r="F305" s="159"/>
      <c r="G305" s="159"/>
      <c r="H305" s="159"/>
      <c r="I305" s="159"/>
      <c r="J305" s="224"/>
      <c r="K305" s="159"/>
      <c r="L305" s="159"/>
      <c r="M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row>
    <row r="306" spans="2:53" ht="17.399999999999999" customHeight="1">
      <c r="B306" s="159"/>
      <c r="C306" s="159"/>
      <c r="D306" s="159"/>
      <c r="E306" s="159"/>
      <c r="F306" s="159"/>
      <c r="G306" s="159"/>
      <c r="H306" s="159"/>
      <c r="I306" s="159"/>
      <c r="J306" s="224"/>
      <c r="K306" s="159"/>
      <c r="L306" s="159"/>
      <c r="M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row>
    <row r="307" spans="2:53" ht="17.399999999999999" customHeight="1">
      <c r="B307" s="159"/>
      <c r="C307" s="159"/>
      <c r="D307" s="159"/>
      <c r="E307" s="159"/>
      <c r="F307" s="159"/>
      <c r="G307" s="159"/>
      <c r="H307" s="159"/>
      <c r="I307" s="159"/>
      <c r="J307" s="224"/>
      <c r="K307" s="159"/>
      <c r="L307" s="159"/>
      <c r="M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row>
    <row r="308" spans="2:53" ht="17.399999999999999" customHeight="1">
      <c r="B308" s="159"/>
      <c r="C308" s="159"/>
      <c r="D308" s="159"/>
      <c r="E308" s="159"/>
      <c r="F308" s="159"/>
      <c r="G308" s="159"/>
      <c r="H308" s="159"/>
      <c r="I308" s="159"/>
      <c r="J308" s="224"/>
      <c r="K308" s="159"/>
      <c r="L308" s="159"/>
      <c r="M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row>
    <row r="309" spans="2:53" ht="17.399999999999999" customHeight="1">
      <c r="B309" s="159"/>
      <c r="C309" s="159"/>
      <c r="D309" s="159"/>
      <c r="E309" s="159"/>
      <c r="F309" s="159"/>
      <c r="G309" s="159"/>
      <c r="H309" s="159"/>
      <c r="I309" s="159"/>
      <c r="J309" s="224"/>
      <c r="K309" s="159"/>
      <c r="L309" s="159"/>
      <c r="M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row>
    <row r="310" spans="2:53" ht="17.399999999999999" customHeight="1">
      <c r="B310" s="159"/>
      <c r="C310" s="159"/>
      <c r="D310" s="159"/>
      <c r="E310" s="159"/>
      <c r="F310" s="159"/>
      <c r="G310" s="159"/>
      <c r="H310" s="159"/>
      <c r="I310" s="159"/>
      <c r="J310" s="224"/>
      <c r="K310" s="159"/>
      <c r="L310" s="159"/>
      <c r="M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row>
    <row r="311" spans="2:53" ht="17.399999999999999" customHeight="1">
      <c r="B311" s="159"/>
      <c r="C311" s="159"/>
      <c r="D311" s="159"/>
      <c r="E311" s="159"/>
      <c r="F311" s="159"/>
      <c r="G311" s="159"/>
      <c r="H311" s="159"/>
      <c r="I311" s="159"/>
      <c r="J311" s="224"/>
      <c r="K311" s="159"/>
      <c r="L311" s="159"/>
      <c r="M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row>
    <row r="312" spans="2:53" ht="17.399999999999999" customHeight="1">
      <c r="B312" s="159"/>
      <c r="C312" s="159"/>
      <c r="D312" s="159"/>
      <c r="E312" s="159"/>
      <c r="F312" s="159"/>
      <c r="G312" s="159"/>
      <c r="H312" s="159"/>
      <c r="I312" s="159"/>
      <c r="J312" s="224"/>
      <c r="K312" s="159"/>
      <c r="L312" s="159"/>
      <c r="M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row>
    <row r="313" spans="2:53" ht="17.399999999999999" customHeight="1">
      <c r="B313" s="159"/>
      <c r="C313" s="159"/>
      <c r="D313" s="159"/>
      <c r="E313" s="159"/>
      <c r="F313" s="159"/>
      <c r="G313" s="159"/>
      <c r="H313" s="159"/>
      <c r="I313" s="159"/>
      <c r="J313" s="224"/>
      <c r="K313" s="159"/>
      <c r="L313" s="159"/>
      <c r="M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row>
    <row r="314" spans="2:53" ht="17.399999999999999" customHeight="1">
      <c r="B314" s="159"/>
      <c r="C314" s="159"/>
      <c r="D314" s="159"/>
      <c r="E314" s="159"/>
      <c r="F314" s="159"/>
      <c r="G314" s="159"/>
      <c r="H314" s="159"/>
      <c r="I314" s="159"/>
      <c r="J314" s="224"/>
      <c r="K314" s="159"/>
      <c r="L314" s="159"/>
      <c r="M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row>
    <row r="315" spans="2:53" ht="17.399999999999999" customHeight="1">
      <c r="B315" s="159"/>
      <c r="C315" s="159"/>
      <c r="D315" s="159"/>
      <c r="E315" s="159"/>
      <c r="F315" s="159"/>
      <c r="G315" s="159"/>
      <c r="H315" s="159"/>
      <c r="I315" s="159"/>
      <c r="J315" s="224"/>
      <c r="K315" s="159"/>
      <c r="L315" s="159"/>
      <c r="M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row>
    <row r="316" spans="2:53" ht="17.399999999999999" customHeight="1">
      <c r="B316" s="159"/>
      <c r="C316" s="159"/>
      <c r="D316" s="159"/>
      <c r="E316" s="159"/>
      <c r="F316" s="159"/>
      <c r="G316" s="159"/>
      <c r="H316" s="159"/>
      <c r="I316" s="159"/>
      <c r="J316" s="224"/>
      <c r="K316" s="159"/>
      <c r="L316" s="159"/>
      <c r="M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row>
    <row r="317" spans="2:53" ht="17.399999999999999" customHeight="1">
      <c r="B317" s="159"/>
      <c r="C317" s="159"/>
      <c r="D317" s="159"/>
      <c r="E317" s="159"/>
      <c r="F317" s="159"/>
      <c r="G317" s="159"/>
      <c r="H317" s="159"/>
      <c r="I317" s="159"/>
      <c r="J317" s="224"/>
      <c r="K317" s="159"/>
      <c r="L317" s="159"/>
      <c r="M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row>
    <row r="318" spans="2:53" ht="17.399999999999999" customHeight="1">
      <c r="B318" s="159"/>
      <c r="C318" s="159"/>
      <c r="D318" s="159"/>
      <c r="E318" s="159"/>
      <c r="F318" s="159"/>
      <c r="G318" s="159"/>
      <c r="H318" s="159"/>
      <c r="I318" s="159"/>
      <c r="J318" s="224"/>
      <c r="K318" s="159"/>
      <c r="L318" s="159"/>
      <c r="M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row>
    <row r="319" spans="2:53" ht="17.399999999999999" customHeight="1">
      <c r="B319" s="159"/>
      <c r="C319" s="159"/>
      <c r="D319" s="159"/>
      <c r="E319" s="159"/>
      <c r="F319" s="159"/>
      <c r="G319" s="159"/>
      <c r="H319" s="159"/>
      <c r="I319" s="159"/>
      <c r="J319" s="224"/>
      <c r="K319" s="159"/>
      <c r="L319" s="159"/>
      <c r="M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row>
    <row r="320" spans="2:53" ht="17.399999999999999" customHeight="1">
      <c r="B320" s="159"/>
      <c r="C320" s="159"/>
      <c r="D320" s="159"/>
      <c r="E320" s="159"/>
      <c r="F320" s="159"/>
      <c r="G320" s="159"/>
      <c r="H320" s="159"/>
      <c r="I320" s="159"/>
      <c r="J320" s="224"/>
      <c r="K320" s="159"/>
      <c r="L320" s="159"/>
      <c r="M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row>
    <row r="321" spans="2:53" ht="17.399999999999999" customHeight="1">
      <c r="B321" s="159"/>
      <c r="C321" s="159"/>
      <c r="D321" s="159"/>
      <c r="E321" s="159"/>
      <c r="F321" s="159"/>
      <c r="G321" s="159"/>
      <c r="H321" s="159"/>
      <c r="I321" s="159"/>
      <c r="J321" s="224"/>
      <c r="K321" s="159"/>
      <c r="L321" s="159"/>
      <c r="M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row>
    <row r="322" spans="2:53" ht="17.399999999999999" customHeight="1">
      <c r="B322" s="159"/>
      <c r="C322" s="159"/>
      <c r="D322" s="159"/>
      <c r="E322" s="159"/>
      <c r="F322" s="159"/>
      <c r="G322" s="159"/>
      <c r="H322" s="159"/>
      <c r="I322" s="159"/>
      <c r="J322" s="224"/>
      <c r="K322" s="159"/>
      <c r="L322" s="159"/>
      <c r="M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row>
    <row r="323" spans="2:53" ht="17.399999999999999" customHeight="1">
      <c r="B323" s="159"/>
      <c r="C323" s="159"/>
      <c r="D323" s="159"/>
      <c r="E323" s="159"/>
      <c r="F323" s="159"/>
      <c r="G323" s="159"/>
      <c r="H323" s="159"/>
      <c r="I323" s="159"/>
      <c r="J323" s="224"/>
      <c r="K323" s="159"/>
      <c r="L323" s="159"/>
      <c r="M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row>
    <row r="324" spans="2:53" ht="17.399999999999999" customHeight="1">
      <c r="B324" s="159"/>
      <c r="C324" s="159"/>
      <c r="D324" s="159"/>
      <c r="E324" s="159"/>
      <c r="F324" s="159"/>
      <c r="G324" s="159"/>
      <c r="H324" s="159"/>
      <c r="I324" s="159"/>
      <c r="J324" s="224"/>
      <c r="K324" s="159"/>
      <c r="L324" s="159"/>
      <c r="M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row>
    <row r="325" spans="2:53" ht="17.399999999999999" customHeight="1">
      <c r="B325" s="159"/>
      <c r="C325" s="159"/>
      <c r="D325" s="159"/>
      <c r="E325" s="159"/>
      <c r="F325" s="159"/>
      <c r="G325" s="159"/>
      <c r="H325" s="159"/>
      <c r="I325" s="159"/>
      <c r="J325" s="224"/>
      <c r="K325" s="159"/>
      <c r="L325" s="159"/>
      <c r="M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row>
    <row r="326" spans="2:53" ht="17.399999999999999" customHeight="1">
      <c r="B326" s="159"/>
      <c r="C326" s="159"/>
      <c r="D326" s="159"/>
      <c r="E326" s="159"/>
      <c r="F326" s="159"/>
      <c r="G326" s="159"/>
      <c r="H326" s="159"/>
      <c r="I326" s="159"/>
      <c r="J326" s="224"/>
      <c r="K326" s="159"/>
      <c r="L326" s="159"/>
      <c r="M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row>
    <row r="327" spans="2:53" ht="17.399999999999999" customHeight="1">
      <c r="B327" s="159"/>
      <c r="C327" s="159"/>
      <c r="D327" s="159"/>
      <c r="E327" s="159"/>
      <c r="F327" s="159"/>
      <c r="G327" s="159"/>
      <c r="H327" s="159"/>
      <c r="I327" s="159"/>
      <c r="J327" s="224"/>
      <c r="K327" s="159"/>
      <c r="L327" s="159"/>
      <c r="M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row>
    <row r="328" spans="2:53" ht="17.399999999999999" customHeight="1">
      <c r="B328" s="159"/>
      <c r="C328" s="159"/>
      <c r="D328" s="159"/>
      <c r="E328" s="159"/>
      <c r="F328" s="159"/>
      <c r="G328" s="159"/>
      <c r="H328" s="159"/>
      <c r="I328" s="159"/>
      <c r="J328" s="224"/>
      <c r="K328" s="159"/>
      <c r="L328" s="159"/>
      <c r="M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row>
    <row r="329" spans="2:53" ht="17.399999999999999" customHeight="1">
      <c r="B329" s="159"/>
      <c r="C329" s="159"/>
      <c r="D329" s="159"/>
      <c r="E329" s="159"/>
      <c r="F329" s="159"/>
      <c r="G329" s="159"/>
      <c r="H329" s="159"/>
      <c r="I329" s="159"/>
      <c r="J329" s="224"/>
      <c r="K329" s="159"/>
      <c r="L329" s="159"/>
      <c r="M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row>
    <row r="330" spans="2:53" ht="17.399999999999999" customHeight="1">
      <c r="B330" s="159"/>
      <c r="C330" s="159"/>
      <c r="D330" s="159"/>
      <c r="E330" s="159"/>
      <c r="F330" s="159"/>
      <c r="G330" s="159"/>
      <c r="H330" s="159"/>
      <c r="I330" s="159"/>
      <c r="J330" s="224"/>
      <c r="K330" s="159"/>
      <c r="L330" s="159"/>
      <c r="M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row>
    <row r="331" spans="2:53" ht="17.399999999999999" customHeight="1">
      <c r="B331" s="159"/>
      <c r="C331" s="159"/>
      <c r="D331" s="159"/>
      <c r="E331" s="159"/>
      <c r="F331" s="159"/>
      <c r="G331" s="159"/>
      <c r="H331" s="159"/>
      <c r="I331" s="159"/>
      <c r="J331" s="224"/>
      <c r="K331" s="159"/>
      <c r="L331" s="159"/>
      <c r="M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row>
    <row r="332" spans="2:53" ht="17.399999999999999" customHeight="1">
      <c r="B332" s="159"/>
      <c r="C332" s="159"/>
      <c r="D332" s="159"/>
      <c r="E332" s="159"/>
      <c r="F332" s="159"/>
      <c r="G332" s="159"/>
      <c r="H332" s="159"/>
      <c r="I332" s="159"/>
      <c r="J332" s="224"/>
      <c r="K332" s="159"/>
      <c r="L332" s="159"/>
      <c r="M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row>
    <row r="333" spans="2:53" ht="17.399999999999999" customHeight="1">
      <c r="B333" s="159"/>
      <c r="C333" s="159"/>
      <c r="D333" s="159"/>
      <c r="E333" s="159"/>
      <c r="F333" s="159"/>
      <c r="G333" s="159"/>
      <c r="H333" s="159"/>
      <c r="I333" s="159"/>
      <c r="J333" s="224"/>
      <c r="K333" s="159"/>
      <c r="L333" s="159"/>
      <c r="M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row>
    <row r="334" spans="2:53" ht="17.399999999999999" customHeight="1">
      <c r="B334" s="159"/>
      <c r="C334" s="159"/>
      <c r="D334" s="159"/>
      <c r="E334" s="159"/>
      <c r="F334" s="159"/>
      <c r="G334" s="159"/>
      <c r="H334" s="159"/>
      <c r="I334" s="159"/>
      <c r="J334" s="224"/>
      <c r="K334" s="159"/>
      <c r="L334" s="159"/>
      <c r="M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row>
    <row r="335" spans="2:53" ht="17.399999999999999" customHeight="1">
      <c r="B335" s="159"/>
      <c r="C335" s="159"/>
      <c r="D335" s="159"/>
      <c r="E335" s="159"/>
      <c r="F335" s="159"/>
      <c r="G335" s="159"/>
      <c r="H335" s="159"/>
      <c r="I335" s="159"/>
      <c r="J335" s="224"/>
      <c r="K335" s="159"/>
      <c r="L335" s="159"/>
      <c r="M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row>
    <row r="336" spans="2:53" ht="17.399999999999999" customHeight="1">
      <c r="B336" s="159"/>
      <c r="C336" s="159"/>
      <c r="D336" s="159"/>
      <c r="E336" s="159"/>
      <c r="F336" s="159"/>
      <c r="G336" s="159"/>
      <c r="H336" s="159"/>
      <c r="I336" s="159"/>
      <c r="J336" s="224"/>
      <c r="K336" s="159"/>
      <c r="L336" s="159"/>
      <c r="M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row>
    <row r="337" spans="2:53" ht="17.399999999999999" customHeight="1">
      <c r="B337" s="159"/>
      <c r="C337" s="159"/>
      <c r="D337" s="159"/>
      <c r="E337" s="159"/>
      <c r="F337" s="159"/>
      <c r="G337" s="159"/>
      <c r="H337" s="159"/>
      <c r="I337" s="159"/>
      <c r="J337" s="224"/>
      <c r="K337" s="159"/>
      <c r="L337" s="159"/>
      <c r="M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row>
    <row r="338" spans="2:53" ht="17.399999999999999" customHeight="1">
      <c r="B338" s="159"/>
      <c r="C338" s="159"/>
      <c r="D338" s="159"/>
      <c r="E338" s="159"/>
      <c r="F338" s="159"/>
      <c r="G338" s="159"/>
      <c r="H338" s="159"/>
      <c r="I338" s="159"/>
      <c r="J338" s="224"/>
      <c r="K338" s="159"/>
      <c r="L338" s="159"/>
      <c r="M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row>
    <row r="339" spans="2:53" ht="17.399999999999999" customHeight="1">
      <c r="B339" s="159"/>
      <c r="C339" s="159"/>
      <c r="D339" s="159"/>
      <c r="E339" s="159"/>
      <c r="F339" s="159"/>
      <c r="G339" s="159"/>
      <c r="H339" s="159"/>
      <c r="I339" s="159"/>
      <c r="J339" s="224"/>
      <c r="K339" s="159"/>
      <c r="L339" s="159"/>
      <c r="M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row>
    <row r="340" spans="2:53" ht="17.399999999999999" customHeight="1">
      <c r="B340" s="159"/>
      <c r="C340" s="159"/>
      <c r="D340" s="159"/>
      <c r="E340" s="159"/>
      <c r="F340" s="159"/>
      <c r="G340" s="159"/>
      <c r="H340" s="159"/>
      <c r="I340" s="159"/>
      <c r="J340" s="224"/>
      <c r="K340" s="159"/>
      <c r="L340" s="159"/>
      <c r="M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row>
    <row r="341" spans="2:53" ht="17.399999999999999" customHeight="1">
      <c r="B341" s="159"/>
      <c r="C341" s="159"/>
      <c r="D341" s="159"/>
      <c r="E341" s="159"/>
      <c r="F341" s="159"/>
      <c r="G341" s="159"/>
      <c r="H341" s="159"/>
      <c r="I341" s="159"/>
      <c r="J341" s="224"/>
      <c r="K341" s="159"/>
      <c r="L341" s="159"/>
      <c r="M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row>
    <row r="342" spans="2:53" ht="17.399999999999999" customHeight="1">
      <c r="B342" s="159"/>
      <c r="C342" s="159"/>
      <c r="D342" s="159"/>
      <c r="E342" s="159"/>
      <c r="F342" s="159"/>
      <c r="G342" s="159"/>
      <c r="H342" s="159"/>
      <c r="I342" s="159"/>
      <c r="J342" s="224"/>
      <c r="K342" s="159"/>
      <c r="L342" s="159"/>
      <c r="M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row>
    <row r="343" spans="2:53" ht="17.399999999999999" customHeight="1">
      <c r="B343" s="159"/>
      <c r="C343" s="159"/>
      <c r="D343" s="159"/>
      <c r="E343" s="159"/>
      <c r="F343" s="159"/>
      <c r="G343" s="159"/>
      <c r="H343" s="159"/>
      <c r="I343" s="159"/>
      <c r="J343" s="224"/>
      <c r="K343" s="159"/>
      <c r="L343" s="159"/>
      <c r="M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row>
    <row r="344" spans="2:53" ht="17.399999999999999" customHeight="1">
      <c r="B344" s="159"/>
      <c r="C344" s="159"/>
      <c r="D344" s="159"/>
      <c r="E344" s="159"/>
      <c r="F344" s="159"/>
      <c r="G344" s="159"/>
      <c r="H344" s="159"/>
      <c r="I344" s="159"/>
      <c r="J344" s="224"/>
      <c r="K344" s="159"/>
      <c r="L344" s="159"/>
      <c r="M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row>
    <row r="345" spans="2:53" ht="17.399999999999999" customHeight="1">
      <c r="B345" s="159"/>
      <c r="C345" s="159"/>
      <c r="D345" s="159"/>
      <c r="E345" s="159"/>
      <c r="F345" s="159"/>
      <c r="G345" s="159"/>
      <c r="H345" s="159"/>
      <c r="I345" s="159"/>
      <c r="J345" s="224"/>
      <c r="K345" s="159"/>
      <c r="L345" s="159"/>
      <c r="M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c r="AT345" s="159"/>
      <c r="AU345" s="159"/>
      <c r="AV345" s="159"/>
      <c r="AW345" s="159"/>
      <c r="AX345" s="159"/>
      <c r="AY345" s="159"/>
      <c r="AZ345" s="159"/>
      <c r="BA345" s="159"/>
    </row>
    <row r="346" spans="2:53" ht="17.399999999999999" customHeight="1">
      <c r="B346" s="159"/>
      <c r="C346" s="159"/>
      <c r="D346" s="159"/>
      <c r="E346" s="159"/>
      <c r="F346" s="159"/>
      <c r="G346" s="159"/>
      <c r="H346" s="159"/>
      <c r="I346" s="159"/>
      <c r="J346" s="224"/>
      <c r="K346" s="159"/>
      <c r="L346" s="159"/>
      <c r="M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row>
    <row r="347" spans="2:53" ht="17.399999999999999" customHeight="1">
      <c r="B347" s="159"/>
      <c r="C347" s="159"/>
      <c r="D347" s="159"/>
      <c r="E347" s="159"/>
      <c r="F347" s="159"/>
      <c r="G347" s="159"/>
      <c r="H347" s="159"/>
      <c r="I347" s="159"/>
      <c r="J347" s="224"/>
      <c r="K347" s="159"/>
      <c r="L347" s="159"/>
      <c r="M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row>
    <row r="348" spans="2:53" ht="17.399999999999999" customHeight="1">
      <c r="B348" s="159"/>
      <c r="C348" s="159"/>
      <c r="D348" s="159"/>
      <c r="E348" s="159"/>
      <c r="F348" s="159"/>
      <c r="G348" s="159"/>
      <c r="H348" s="159"/>
      <c r="I348" s="159"/>
      <c r="J348" s="224"/>
      <c r="K348" s="159"/>
      <c r="L348" s="159"/>
      <c r="M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59"/>
      <c r="AY348" s="159"/>
      <c r="AZ348" s="159"/>
      <c r="BA348" s="159"/>
    </row>
    <row r="349" spans="2:53" ht="17.399999999999999" customHeight="1">
      <c r="B349" s="159"/>
      <c r="C349" s="159"/>
      <c r="D349" s="159"/>
      <c r="E349" s="159"/>
      <c r="F349" s="159"/>
      <c r="G349" s="159"/>
      <c r="H349" s="159"/>
      <c r="I349" s="159"/>
      <c r="J349" s="224"/>
      <c r="K349" s="159"/>
      <c r="L349" s="159"/>
      <c r="M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c r="AT349" s="159"/>
      <c r="AU349" s="159"/>
      <c r="AV349" s="159"/>
      <c r="AW349" s="159"/>
      <c r="AX349" s="159"/>
      <c r="AY349" s="159"/>
      <c r="AZ349" s="159"/>
      <c r="BA349" s="159"/>
    </row>
    <row r="350" spans="2:53" ht="17.399999999999999" customHeight="1">
      <c r="B350" s="159"/>
      <c r="C350" s="159"/>
      <c r="D350" s="159"/>
      <c r="E350" s="159"/>
      <c r="F350" s="159"/>
      <c r="G350" s="159"/>
      <c r="H350" s="159"/>
      <c r="I350" s="159"/>
      <c r="J350" s="224"/>
      <c r="K350" s="159"/>
      <c r="L350" s="159"/>
      <c r="M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c r="AT350" s="159"/>
      <c r="AU350" s="159"/>
      <c r="AV350" s="159"/>
      <c r="AW350" s="159"/>
      <c r="AX350" s="159"/>
      <c r="AY350" s="159"/>
      <c r="AZ350" s="159"/>
      <c r="BA350" s="159"/>
    </row>
    <row r="351" spans="2:53" ht="17.399999999999999" customHeight="1">
      <c r="B351" s="159"/>
      <c r="C351" s="159"/>
      <c r="D351" s="159"/>
      <c r="E351" s="159"/>
      <c r="F351" s="159"/>
      <c r="G351" s="159"/>
      <c r="H351" s="159"/>
      <c r="I351" s="159"/>
      <c r="J351" s="224"/>
      <c r="K351" s="159"/>
      <c r="L351" s="159"/>
      <c r="M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c r="AT351" s="159"/>
      <c r="AU351" s="159"/>
      <c r="AV351" s="159"/>
      <c r="AW351" s="159"/>
      <c r="AX351" s="159"/>
      <c r="AY351" s="159"/>
      <c r="AZ351" s="159"/>
      <c r="BA351" s="159"/>
    </row>
    <row r="352" spans="2:53" ht="17.399999999999999" customHeight="1">
      <c r="B352" s="159"/>
      <c r="C352" s="159"/>
      <c r="D352" s="159"/>
      <c r="E352" s="159"/>
      <c r="F352" s="159"/>
      <c r="G352" s="159"/>
      <c r="H352" s="159"/>
      <c r="I352" s="159"/>
      <c r="J352" s="224"/>
      <c r="K352" s="159"/>
      <c r="L352" s="159"/>
      <c r="M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row>
    <row r="353" spans="2:53" ht="17.399999999999999" customHeight="1">
      <c r="B353" s="159"/>
      <c r="C353" s="159"/>
      <c r="D353" s="159"/>
      <c r="E353" s="159"/>
      <c r="F353" s="159"/>
      <c r="G353" s="159"/>
      <c r="H353" s="159"/>
      <c r="I353" s="159"/>
      <c r="J353" s="224"/>
      <c r="K353" s="159"/>
      <c r="L353" s="159"/>
      <c r="M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row>
    <row r="354" spans="2:53" ht="17.399999999999999" customHeight="1">
      <c r="B354" s="159"/>
      <c r="C354" s="159"/>
      <c r="D354" s="159"/>
      <c r="E354" s="159"/>
      <c r="F354" s="159"/>
      <c r="G354" s="159"/>
      <c r="H354" s="159"/>
      <c r="I354" s="159"/>
      <c r="J354" s="224"/>
      <c r="K354" s="159"/>
      <c r="L354" s="159"/>
      <c r="M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row>
    <row r="355" spans="2:53" ht="17.399999999999999" customHeight="1">
      <c r="B355" s="159"/>
      <c r="C355" s="159"/>
      <c r="D355" s="159"/>
      <c r="E355" s="159"/>
      <c r="F355" s="159"/>
      <c r="G355" s="159"/>
      <c r="H355" s="159"/>
      <c r="I355" s="159"/>
      <c r="J355" s="224"/>
      <c r="K355" s="159"/>
      <c r="L355" s="159"/>
      <c r="M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row>
    <row r="356" spans="2:53" ht="17.399999999999999" customHeight="1">
      <c r="B356" s="159"/>
      <c r="C356" s="159"/>
      <c r="D356" s="159"/>
      <c r="E356" s="159"/>
      <c r="F356" s="159"/>
      <c r="G356" s="159"/>
      <c r="H356" s="159"/>
      <c r="I356" s="159"/>
      <c r="J356" s="224"/>
      <c r="K356" s="159"/>
      <c r="L356" s="159"/>
      <c r="M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row>
    <row r="357" spans="2:53" ht="17.399999999999999" customHeight="1">
      <c r="B357" s="159"/>
      <c r="C357" s="159"/>
      <c r="D357" s="159"/>
      <c r="E357" s="159"/>
      <c r="F357" s="159"/>
      <c r="G357" s="159"/>
      <c r="H357" s="159"/>
      <c r="I357" s="159"/>
      <c r="J357" s="224"/>
      <c r="K357" s="159"/>
      <c r="L357" s="159"/>
      <c r="M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row>
    <row r="358" spans="2:53" ht="17.399999999999999" customHeight="1">
      <c r="B358" s="159"/>
      <c r="C358" s="159"/>
      <c r="D358" s="159"/>
      <c r="E358" s="159"/>
      <c r="F358" s="159"/>
      <c r="G358" s="159"/>
      <c r="H358" s="159"/>
      <c r="I358" s="159"/>
      <c r="J358" s="224"/>
      <c r="K358" s="159"/>
      <c r="L358" s="159"/>
      <c r="M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row>
    <row r="359" spans="2:53" ht="17.399999999999999" customHeight="1">
      <c r="B359" s="159"/>
      <c r="C359" s="159"/>
      <c r="D359" s="159"/>
      <c r="E359" s="159"/>
      <c r="F359" s="159"/>
      <c r="G359" s="159"/>
      <c r="H359" s="159"/>
      <c r="I359" s="159"/>
      <c r="J359" s="224"/>
      <c r="K359" s="159"/>
      <c r="L359" s="159"/>
      <c r="M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row>
    <row r="360" spans="2:53" ht="17.399999999999999" customHeight="1">
      <c r="B360" s="159"/>
      <c r="C360" s="159"/>
      <c r="D360" s="159"/>
      <c r="E360" s="159"/>
      <c r="F360" s="159"/>
      <c r="G360" s="159"/>
      <c r="H360" s="159"/>
      <c r="I360" s="159"/>
      <c r="J360" s="224"/>
      <c r="K360" s="159"/>
      <c r="L360" s="159"/>
      <c r="M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row>
    <row r="361" spans="2:53" ht="17.399999999999999" customHeight="1">
      <c r="B361" s="159"/>
      <c r="C361" s="159"/>
      <c r="D361" s="159"/>
      <c r="E361" s="159"/>
      <c r="F361" s="159"/>
      <c r="G361" s="159"/>
      <c r="H361" s="159"/>
      <c r="I361" s="159"/>
      <c r="J361" s="224"/>
      <c r="K361" s="159"/>
      <c r="L361" s="159"/>
      <c r="M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row>
    <row r="362" spans="2:53" ht="17.399999999999999" customHeight="1">
      <c r="B362" s="159"/>
      <c r="C362" s="159"/>
      <c r="D362" s="159"/>
      <c r="E362" s="159"/>
      <c r="F362" s="159"/>
      <c r="G362" s="159"/>
      <c r="H362" s="159"/>
      <c r="I362" s="159"/>
      <c r="J362" s="224"/>
      <c r="K362" s="159"/>
      <c r="L362" s="159"/>
      <c r="M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row>
    <row r="363" spans="2:53" ht="17.399999999999999" customHeight="1">
      <c r="B363" s="159"/>
      <c r="C363" s="159"/>
      <c r="D363" s="159"/>
      <c r="E363" s="159"/>
      <c r="F363" s="159"/>
      <c r="G363" s="159"/>
      <c r="H363" s="159"/>
      <c r="I363" s="159"/>
      <c r="J363" s="224"/>
      <c r="K363" s="159"/>
      <c r="L363" s="159"/>
      <c r="M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c r="AT363" s="159"/>
      <c r="AU363" s="159"/>
      <c r="AV363" s="159"/>
      <c r="AW363" s="159"/>
      <c r="AX363" s="159"/>
      <c r="AY363" s="159"/>
      <c r="AZ363" s="159"/>
      <c r="BA363" s="159"/>
    </row>
    <row r="364" spans="2:53" ht="17.399999999999999" customHeight="1">
      <c r="B364" s="159"/>
      <c r="C364" s="159"/>
      <c r="D364" s="159"/>
      <c r="E364" s="159"/>
      <c r="F364" s="159"/>
      <c r="G364" s="159"/>
      <c r="H364" s="159"/>
      <c r="I364" s="159"/>
      <c r="J364" s="224"/>
      <c r="K364" s="159"/>
      <c r="L364" s="159"/>
      <c r="M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c r="AT364" s="159"/>
      <c r="AU364" s="159"/>
      <c r="AV364" s="159"/>
      <c r="AW364" s="159"/>
      <c r="AX364" s="159"/>
      <c r="AY364" s="159"/>
      <c r="AZ364" s="159"/>
      <c r="BA364" s="159"/>
    </row>
    <row r="365" spans="2:53" ht="17.399999999999999" customHeight="1">
      <c r="B365" s="159"/>
      <c r="C365" s="159"/>
      <c r="D365" s="159"/>
      <c r="E365" s="159"/>
      <c r="F365" s="159"/>
      <c r="G365" s="159"/>
      <c r="H365" s="159"/>
      <c r="I365" s="159"/>
      <c r="J365" s="224"/>
      <c r="K365" s="159"/>
      <c r="L365" s="159"/>
      <c r="M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c r="AT365" s="159"/>
      <c r="AU365" s="159"/>
      <c r="AV365" s="159"/>
      <c r="AW365" s="159"/>
      <c r="AX365" s="159"/>
      <c r="AY365" s="159"/>
      <c r="AZ365" s="159"/>
      <c r="BA365" s="159"/>
    </row>
    <row r="366" spans="2:53" ht="17.399999999999999" customHeight="1">
      <c r="B366" s="159"/>
      <c r="C366" s="159"/>
      <c r="D366" s="159"/>
      <c r="E366" s="159"/>
      <c r="F366" s="159"/>
      <c r="G366" s="159"/>
      <c r="H366" s="159"/>
      <c r="I366" s="159"/>
      <c r="J366" s="224"/>
      <c r="K366" s="159"/>
      <c r="L366" s="159"/>
      <c r="M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row>
    <row r="367" spans="2:53" ht="17.399999999999999" customHeight="1">
      <c r="B367" s="159"/>
      <c r="C367" s="159"/>
      <c r="D367" s="159"/>
      <c r="E367" s="159"/>
      <c r="F367" s="159"/>
      <c r="G367" s="159"/>
      <c r="H367" s="159"/>
      <c r="I367" s="159"/>
      <c r="J367" s="224"/>
      <c r="K367" s="159"/>
      <c r="L367" s="159"/>
      <c r="M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c r="AT367" s="159"/>
      <c r="AU367" s="159"/>
      <c r="AV367" s="159"/>
      <c r="AW367" s="159"/>
      <c r="AX367" s="159"/>
      <c r="AY367" s="159"/>
      <c r="AZ367" s="159"/>
      <c r="BA367" s="159"/>
    </row>
    <row r="368" spans="2:53" ht="17.399999999999999" customHeight="1">
      <c r="B368" s="159"/>
      <c r="C368" s="159"/>
      <c r="D368" s="159"/>
      <c r="E368" s="159"/>
      <c r="F368" s="159"/>
      <c r="G368" s="159"/>
      <c r="H368" s="159"/>
      <c r="I368" s="159"/>
      <c r="J368" s="224"/>
      <c r="K368" s="159"/>
      <c r="L368" s="159"/>
      <c r="M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59"/>
      <c r="AY368" s="159"/>
      <c r="AZ368" s="159"/>
      <c r="BA368" s="159"/>
    </row>
    <row r="369" spans="2:53" ht="17.399999999999999" customHeight="1">
      <c r="B369" s="159"/>
      <c r="C369" s="159"/>
      <c r="D369" s="159"/>
      <c r="E369" s="159"/>
      <c r="F369" s="159"/>
      <c r="G369" s="159"/>
      <c r="H369" s="159"/>
      <c r="I369" s="159"/>
      <c r="J369" s="224"/>
      <c r="K369" s="159"/>
      <c r="L369" s="159"/>
      <c r="M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c r="AT369" s="159"/>
      <c r="AU369" s="159"/>
      <c r="AV369" s="159"/>
      <c r="AW369" s="159"/>
      <c r="AX369" s="159"/>
      <c r="AY369" s="159"/>
      <c r="AZ369" s="159"/>
      <c r="BA369" s="159"/>
    </row>
    <row r="370" spans="2:53" ht="17.399999999999999" customHeight="1">
      <c r="B370" s="159"/>
      <c r="C370" s="159"/>
      <c r="D370" s="159"/>
      <c r="E370" s="159"/>
      <c r="F370" s="159"/>
      <c r="G370" s="159"/>
      <c r="H370" s="159"/>
      <c r="I370" s="159"/>
      <c r="J370" s="224"/>
      <c r="K370" s="159"/>
      <c r="L370" s="159"/>
      <c r="M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c r="AT370" s="159"/>
      <c r="AU370" s="159"/>
      <c r="AV370" s="159"/>
      <c r="AW370" s="159"/>
      <c r="AX370" s="159"/>
      <c r="AY370" s="159"/>
      <c r="AZ370" s="159"/>
      <c r="BA370" s="159"/>
    </row>
    <row r="371" spans="2:53" ht="17.399999999999999" customHeight="1">
      <c r="B371" s="159"/>
      <c r="C371" s="159"/>
      <c r="D371" s="159"/>
      <c r="E371" s="159"/>
      <c r="F371" s="159"/>
      <c r="G371" s="159"/>
      <c r="H371" s="159"/>
      <c r="I371" s="159"/>
      <c r="J371" s="224"/>
      <c r="K371" s="159"/>
      <c r="L371" s="159"/>
      <c r="M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c r="AT371" s="159"/>
      <c r="AU371" s="159"/>
      <c r="AV371" s="159"/>
      <c r="AW371" s="159"/>
      <c r="AX371" s="159"/>
      <c r="AY371" s="159"/>
      <c r="AZ371" s="159"/>
      <c r="BA371" s="159"/>
    </row>
    <row r="372" spans="2:53" ht="17.399999999999999" customHeight="1">
      <c r="B372" s="159"/>
      <c r="C372" s="159"/>
      <c r="D372" s="159"/>
      <c r="E372" s="159"/>
      <c r="F372" s="159"/>
      <c r="G372" s="159"/>
      <c r="H372" s="159"/>
      <c r="I372" s="159"/>
      <c r="J372" s="224"/>
      <c r="K372" s="159"/>
      <c r="L372" s="159"/>
      <c r="M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c r="AT372" s="159"/>
      <c r="AU372" s="159"/>
      <c r="AV372" s="159"/>
      <c r="AW372" s="159"/>
      <c r="AX372" s="159"/>
      <c r="AY372" s="159"/>
      <c r="AZ372" s="159"/>
      <c r="BA372" s="159"/>
    </row>
    <row r="373" spans="2:53" ht="17.399999999999999" customHeight="1">
      <c r="B373" s="159"/>
      <c r="C373" s="159"/>
      <c r="D373" s="159"/>
      <c r="E373" s="159"/>
      <c r="F373" s="159"/>
      <c r="G373" s="159"/>
      <c r="H373" s="159"/>
      <c r="I373" s="159"/>
      <c r="J373" s="224"/>
      <c r="K373" s="159"/>
      <c r="L373" s="159"/>
      <c r="M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c r="AT373" s="159"/>
      <c r="AU373" s="159"/>
      <c r="AV373" s="159"/>
      <c r="AW373" s="159"/>
      <c r="AX373" s="159"/>
      <c r="AY373" s="159"/>
      <c r="AZ373" s="159"/>
      <c r="BA373" s="159"/>
    </row>
    <row r="374" spans="2:53" ht="17.399999999999999" customHeight="1">
      <c r="B374" s="159"/>
      <c r="C374" s="159"/>
      <c r="D374" s="159"/>
      <c r="E374" s="159"/>
      <c r="F374" s="159"/>
      <c r="G374" s="159"/>
      <c r="H374" s="159"/>
      <c r="I374" s="159"/>
      <c r="J374" s="224"/>
      <c r="K374" s="159"/>
      <c r="L374" s="159"/>
      <c r="M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row>
    <row r="375" spans="2:53" ht="17.399999999999999" customHeight="1">
      <c r="B375" s="159"/>
      <c r="C375" s="159"/>
      <c r="D375" s="159"/>
      <c r="E375" s="159"/>
      <c r="F375" s="159"/>
      <c r="G375" s="159"/>
      <c r="H375" s="159"/>
      <c r="I375" s="159"/>
      <c r="J375" s="224"/>
      <c r="K375" s="159"/>
      <c r="L375" s="159"/>
      <c r="M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c r="AT375" s="159"/>
      <c r="AU375" s="159"/>
      <c r="AV375" s="159"/>
      <c r="AW375" s="159"/>
      <c r="AX375" s="159"/>
      <c r="AY375" s="159"/>
      <c r="AZ375" s="159"/>
      <c r="BA375" s="159"/>
    </row>
    <row r="376" spans="2:53" ht="17.399999999999999" customHeight="1">
      <c r="B376" s="159"/>
      <c r="C376" s="159"/>
      <c r="D376" s="159"/>
      <c r="E376" s="159"/>
      <c r="F376" s="159"/>
      <c r="G376" s="159"/>
      <c r="H376" s="159"/>
      <c r="I376" s="159"/>
      <c r="J376" s="224"/>
      <c r="K376" s="159"/>
      <c r="L376" s="159"/>
      <c r="M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c r="AT376" s="159"/>
      <c r="AU376" s="159"/>
      <c r="AV376" s="159"/>
      <c r="AW376" s="159"/>
      <c r="AX376" s="159"/>
      <c r="AY376" s="159"/>
      <c r="AZ376" s="159"/>
      <c r="BA376" s="159"/>
    </row>
    <row r="377" spans="2:53" ht="17.399999999999999" customHeight="1">
      <c r="B377" s="159"/>
      <c r="C377" s="159"/>
      <c r="D377" s="159"/>
      <c r="E377" s="159"/>
      <c r="F377" s="159"/>
      <c r="G377" s="159"/>
      <c r="H377" s="159"/>
      <c r="I377" s="159"/>
      <c r="J377" s="224"/>
      <c r="K377" s="159"/>
      <c r="L377" s="159"/>
      <c r="M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c r="AT377" s="159"/>
      <c r="AU377" s="159"/>
      <c r="AV377" s="159"/>
      <c r="AW377" s="159"/>
      <c r="AX377" s="159"/>
      <c r="AY377" s="159"/>
      <c r="AZ377" s="159"/>
      <c r="BA377" s="159"/>
    </row>
    <row r="378" spans="2:53" ht="17.399999999999999" customHeight="1">
      <c r="B378" s="159"/>
      <c r="C378" s="159"/>
      <c r="D378" s="159"/>
      <c r="E378" s="159"/>
      <c r="F378" s="159"/>
      <c r="G378" s="159"/>
      <c r="H378" s="159"/>
      <c r="I378" s="159"/>
      <c r="J378" s="224"/>
      <c r="K378" s="159"/>
      <c r="L378" s="159"/>
      <c r="M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c r="AT378" s="159"/>
      <c r="AU378" s="159"/>
      <c r="AV378" s="159"/>
      <c r="AW378" s="159"/>
      <c r="AX378" s="159"/>
      <c r="AY378" s="159"/>
      <c r="AZ378" s="159"/>
      <c r="BA378" s="159"/>
    </row>
    <row r="379" spans="2:53" ht="17.399999999999999" customHeight="1">
      <c r="B379" s="159"/>
      <c r="C379" s="159"/>
      <c r="D379" s="159"/>
      <c r="E379" s="159"/>
      <c r="F379" s="159"/>
      <c r="G379" s="159"/>
      <c r="H379" s="159"/>
      <c r="I379" s="159"/>
      <c r="J379" s="224"/>
      <c r="K379" s="159"/>
      <c r="L379" s="159"/>
      <c r="M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c r="AT379" s="159"/>
      <c r="AU379" s="159"/>
      <c r="AV379" s="159"/>
      <c r="AW379" s="159"/>
      <c r="AX379" s="159"/>
      <c r="AY379" s="159"/>
      <c r="AZ379" s="159"/>
      <c r="BA379" s="159"/>
    </row>
    <row r="380" spans="2:53" ht="17.399999999999999" customHeight="1">
      <c r="B380" s="159"/>
      <c r="C380" s="159"/>
      <c r="D380" s="159"/>
      <c r="E380" s="159"/>
      <c r="F380" s="159"/>
      <c r="G380" s="159"/>
      <c r="H380" s="159"/>
      <c r="I380" s="159"/>
      <c r="J380" s="224"/>
      <c r="K380" s="159"/>
      <c r="L380" s="159"/>
      <c r="M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c r="AT380" s="159"/>
      <c r="AU380" s="159"/>
      <c r="AV380" s="159"/>
      <c r="AW380" s="159"/>
      <c r="AX380" s="159"/>
      <c r="AY380" s="159"/>
      <c r="AZ380" s="159"/>
      <c r="BA380" s="159"/>
    </row>
    <row r="381" spans="2:53" ht="17.399999999999999" customHeight="1">
      <c r="B381" s="159"/>
      <c r="C381" s="159"/>
      <c r="D381" s="159"/>
      <c r="E381" s="159"/>
      <c r="F381" s="159"/>
      <c r="G381" s="159"/>
      <c r="H381" s="159"/>
      <c r="I381" s="159"/>
      <c r="J381" s="224"/>
      <c r="K381" s="159"/>
      <c r="L381" s="159"/>
      <c r="M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row>
    <row r="382" spans="2:53" ht="17.399999999999999" customHeight="1">
      <c r="B382" s="159"/>
      <c r="C382" s="159"/>
      <c r="D382" s="159"/>
      <c r="E382" s="159"/>
      <c r="F382" s="159"/>
      <c r="G382" s="159"/>
      <c r="H382" s="159"/>
      <c r="I382" s="159"/>
      <c r="J382" s="224"/>
      <c r="K382" s="159"/>
      <c r="L382" s="159"/>
      <c r="M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c r="AT382" s="159"/>
      <c r="AU382" s="159"/>
      <c r="AV382" s="159"/>
      <c r="AW382" s="159"/>
      <c r="AX382" s="159"/>
      <c r="AY382" s="159"/>
      <c r="AZ382" s="159"/>
      <c r="BA382" s="159"/>
    </row>
    <row r="383" spans="2:53" ht="17.399999999999999" customHeight="1">
      <c r="B383" s="159"/>
      <c r="C383" s="159"/>
      <c r="D383" s="159"/>
      <c r="E383" s="159"/>
      <c r="F383" s="159"/>
      <c r="G383" s="159"/>
      <c r="H383" s="159"/>
      <c r="I383" s="159"/>
      <c r="J383" s="224"/>
      <c r="K383" s="159"/>
      <c r="L383" s="159"/>
      <c r="M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row>
    <row r="384" spans="2:53" ht="17.399999999999999" customHeight="1">
      <c r="B384" s="159"/>
      <c r="C384" s="159"/>
      <c r="D384" s="159"/>
      <c r="E384" s="159"/>
      <c r="F384" s="159"/>
      <c r="G384" s="159"/>
      <c r="H384" s="159"/>
      <c r="I384" s="159"/>
      <c r="J384" s="224"/>
      <c r="K384" s="159"/>
      <c r="L384" s="159"/>
      <c r="M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c r="AT384" s="159"/>
      <c r="AU384" s="159"/>
      <c r="AV384" s="159"/>
      <c r="AW384" s="159"/>
      <c r="AX384" s="159"/>
      <c r="AY384" s="159"/>
      <c r="AZ384" s="159"/>
      <c r="BA384" s="159"/>
    </row>
    <row r="385" spans="2:53" ht="17.399999999999999" customHeight="1">
      <c r="B385" s="159"/>
      <c r="C385" s="159"/>
      <c r="D385" s="159"/>
      <c r="E385" s="159"/>
      <c r="F385" s="159"/>
      <c r="G385" s="159"/>
      <c r="H385" s="159"/>
      <c r="I385" s="159"/>
      <c r="J385" s="224"/>
      <c r="K385" s="159"/>
      <c r="L385" s="159"/>
      <c r="M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c r="AT385" s="159"/>
      <c r="AU385" s="159"/>
      <c r="AV385" s="159"/>
      <c r="AW385" s="159"/>
      <c r="AX385" s="159"/>
      <c r="AY385" s="159"/>
      <c r="AZ385" s="159"/>
      <c r="BA385" s="159"/>
    </row>
    <row r="386" spans="2:53" ht="17.399999999999999" customHeight="1">
      <c r="B386" s="159"/>
      <c r="C386" s="159"/>
      <c r="D386" s="159"/>
      <c r="E386" s="159"/>
      <c r="F386" s="159"/>
      <c r="G386" s="159"/>
      <c r="H386" s="159"/>
      <c r="I386" s="159"/>
      <c r="J386" s="224"/>
      <c r="K386" s="159"/>
      <c r="L386" s="159"/>
      <c r="M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c r="AT386" s="159"/>
      <c r="AU386" s="159"/>
      <c r="AV386" s="159"/>
      <c r="AW386" s="159"/>
      <c r="AX386" s="159"/>
      <c r="AY386" s="159"/>
      <c r="AZ386" s="159"/>
      <c r="BA386" s="159"/>
    </row>
    <row r="387" spans="2:53" ht="17.399999999999999" customHeight="1">
      <c r="B387" s="159"/>
      <c r="C387" s="159"/>
      <c r="D387" s="159"/>
      <c r="E387" s="159"/>
      <c r="F387" s="159"/>
      <c r="G387" s="159"/>
      <c r="H387" s="159"/>
      <c r="I387" s="159"/>
      <c r="J387" s="224"/>
      <c r="K387" s="159"/>
      <c r="L387" s="159"/>
      <c r="M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row>
    <row r="388" spans="2:53" ht="17.399999999999999" customHeight="1">
      <c r="B388" s="159"/>
      <c r="C388" s="159"/>
      <c r="D388" s="159"/>
      <c r="E388" s="159"/>
      <c r="F388" s="159"/>
      <c r="G388" s="159"/>
      <c r="H388" s="159"/>
      <c r="I388" s="159"/>
      <c r="J388" s="224"/>
      <c r="K388" s="159"/>
      <c r="L388" s="159"/>
      <c r="M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159"/>
      <c r="AU388" s="159"/>
      <c r="AV388" s="159"/>
      <c r="AW388" s="159"/>
      <c r="AX388" s="159"/>
      <c r="AY388" s="159"/>
      <c r="AZ388" s="159"/>
      <c r="BA388" s="159"/>
    </row>
    <row r="389" spans="2:53" ht="17.399999999999999" customHeight="1">
      <c r="B389" s="159"/>
      <c r="C389" s="159"/>
      <c r="D389" s="159"/>
      <c r="E389" s="159"/>
      <c r="F389" s="159"/>
      <c r="G389" s="159"/>
      <c r="H389" s="159"/>
      <c r="I389" s="159"/>
      <c r="J389" s="224"/>
      <c r="K389" s="159"/>
      <c r="L389" s="159"/>
      <c r="M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row>
    <row r="390" spans="2:53" ht="17.399999999999999" customHeight="1">
      <c r="B390" s="159"/>
      <c r="C390" s="159"/>
      <c r="D390" s="159"/>
      <c r="E390" s="159"/>
      <c r="F390" s="159"/>
      <c r="G390" s="159"/>
      <c r="H390" s="159"/>
      <c r="I390" s="159"/>
      <c r="J390" s="224"/>
      <c r="K390" s="159"/>
      <c r="L390" s="159"/>
      <c r="M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row>
    <row r="391" spans="2:53" ht="17.399999999999999" customHeight="1">
      <c r="B391" s="159"/>
      <c r="C391" s="159"/>
      <c r="D391" s="159"/>
      <c r="E391" s="159"/>
      <c r="F391" s="159"/>
      <c r="G391" s="159"/>
      <c r="H391" s="159"/>
      <c r="I391" s="159"/>
      <c r="J391" s="224"/>
      <c r="K391" s="159"/>
      <c r="L391" s="159"/>
      <c r="M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row>
    <row r="392" spans="2:53" ht="17.399999999999999" customHeight="1">
      <c r="B392" s="159"/>
      <c r="C392" s="159"/>
      <c r="D392" s="159"/>
      <c r="E392" s="159"/>
      <c r="F392" s="159"/>
      <c r="G392" s="159"/>
      <c r="H392" s="159"/>
      <c r="I392" s="159"/>
      <c r="J392" s="224"/>
      <c r="K392" s="159"/>
      <c r="L392" s="159"/>
      <c r="M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row>
    <row r="393" spans="2:53" ht="17.399999999999999" customHeight="1">
      <c r="B393" s="159"/>
      <c r="C393" s="159"/>
      <c r="D393" s="159"/>
      <c r="E393" s="159"/>
      <c r="F393" s="159"/>
      <c r="G393" s="159"/>
      <c r="H393" s="159"/>
      <c r="I393" s="159"/>
      <c r="J393" s="224"/>
      <c r="K393" s="159"/>
      <c r="L393" s="159"/>
      <c r="M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row>
    <row r="394" spans="2:53" ht="17.399999999999999" customHeight="1">
      <c r="B394" s="159"/>
      <c r="C394" s="159"/>
      <c r="D394" s="159"/>
      <c r="E394" s="159"/>
      <c r="F394" s="159"/>
      <c r="G394" s="159"/>
      <c r="H394" s="159"/>
      <c r="I394" s="159"/>
      <c r="J394" s="224"/>
      <c r="K394" s="159"/>
      <c r="L394" s="159"/>
      <c r="M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row>
    <row r="395" spans="2:53" ht="17.399999999999999" customHeight="1">
      <c r="B395" s="159"/>
      <c r="C395" s="159"/>
      <c r="D395" s="159"/>
      <c r="E395" s="159"/>
      <c r="F395" s="159"/>
      <c r="G395" s="159"/>
      <c r="H395" s="159"/>
      <c r="I395" s="159"/>
      <c r="J395" s="224"/>
      <c r="K395" s="159"/>
      <c r="L395" s="159"/>
      <c r="M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c r="AT395" s="159"/>
      <c r="AU395" s="159"/>
      <c r="AV395" s="159"/>
      <c r="AW395" s="159"/>
      <c r="AX395" s="159"/>
      <c r="AY395" s="159"/>
      <c r="AZ395" s="159"/>
      <c r="BA395" s="159"/>
    </row>
    <row r="396" spans="2:53" ht="17.399999999999999" customHeight="1">
      <c r="B396" s="159"/>
      <c r="C396" s="159"/>
      <c r="D396" s="159"/>
      <c r="E396" s="159"/>
      <c r="F396" s="159"/>
      <c r="G396" s="159"/>
      <c r="H396" s="159"/>
      <c r="I396" s="159"/>
      <c r="J396" s="224"/>
      <c r="K396" s="159"/>
      <c r="L396" s="159"/>
      <c r="M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c r="AT396" s="159"/>
      <c r="AU396" s="159"/>
      <c r="AV396" s="159"/>
      <c r="AW396" s="159"/>
      <c r="AX396" s="159"/>
      <c r="AY396" s="159"/>
      <c r="AZ396" s="159"/>
      <c r="BA396" s="159"/>
    </row>
    <row r="397" spans="2:53" ht="17.399999999999999" customHeight="1">
      <c r="B397" s="159"/>
      <c r="C397" s="159"/>
      <c r="D397" s="159"/>
      <c r="E397" s="159"/>
      <c r="F397" s="159"/>
      <c r="G397" s="159"/>
      <c r="H397" s="159"/>
      <c r="I397" s="159"/>
      <c r="J397" s="224"/>
      <c r="K397" s="159"/>
      <c r="L397" s="159"/>
      <c r="M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row>
    <row r="398" spans="2:53" ht="17.399999999999999" customHeight="1">
      <c r="B398" s="159"/>
      <c r="C398" s="159"/>
      <c r="D398" s="159"/>
      <c r="E398" s="159"/>
      <c r="F398" s="159"/>
      <c r="G398" s="159"/>
      <c r="H398" s="159"/>
      <c r="I398" s="159"/>
      <c r="J398" s="224"/>
      <c r="K398" s="159"/>
      <c r="L398" s="159"/>
      <c r="M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c r="AT398" s="159"/>
      <c r="AU398" s="159"/>
      <c r="AV398" s="159"/>
      <c r="AW398" s="159"/>
      <c r="AX398" s="159"/>
      <c r="AY398" s="159"/>
      <c r="AZ398" s="159"/>
      <c r="BA398" s="159"/>
    </row>
    <row r="399" spans="2:53" ht="17.399999999999999" customHeight="1">
      <c r="B399" s="159"/>
      <c r="C399" s="159"/>
      <c r="D399" s="159"/>
      <c r="E399" s="159"/>
      <c r="F399" s="159"/>
      <c r="G399" s="159"/>
      <c r="H399" s="159"/>
      <c r="I399" s="159"/>
      <c r="J399" s="224"/>
      <c r="K399" s="159"/>
      <c r="L399" s="159"/>
      <c r="M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c r="AT399" s="159"/>
      <c r="AU399" s="159"/>
      <c r="AV399" s="159"/>
      <c r="AW399" s="159"/>
      <c r="AX399" s="159"/>
      <c r="AY399" s="159"/>
      <c r="AZ399" s="159"/>
      <c r="BA399" s="159"/>
    </row>
    <row r="400" spans="2:53" ht="17.399999999999999" customHeight="1">
      <c r="B400" s="159"/>
      <c r="C400" s="159"/>
      <c r="D400" s="159"/>
      <c r="E400" s="159"/>
      <c r="F400" s="159"/>
      <c r="G400" s="159"/>
      <c r="H400" s="159"/>
      <c r="I400" s="159"/>
      <c r="J400" s="224"/>
      <c r="K400" s="159"/>
      <c r="L400" s="159"/>
      <c r="M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c r="AT400" s="159"/>
      <c r="AU400" s="159"/>
      <c r="AV400" s="159"/>
      <c r="AW400" s="159"/>
      <c r="AX400" s="159"/>
      <c r="AY400" s="159"/>
      <c r="AZ400" s="159"/>
      <c r="BA400" s="159"/>
    </row>
    <row r="401" spans="2:53" ht="17.399999999999999" customHeight="1">
      <c r="B401" s="159"/>
      <c r="C401" s="159"/>
      <c r="D401" s="159"/>
      <c r="E401" s="159"/>
      <c r="F401" s="159"/>
      <c r="G401" s="159"/>
      <c r="H401" s="159"/>
      <c r="I401" s="159"/>
      <c r="J401" s="224"/>
      <c r="K401" s="159"/>
      <c r="L401" s="159"/>
      <c r="M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c r="AT401" s="159"/>
      <c r="AU401" s="159"/>
      <c r="AV401" s="159"/>
      <c r="AW401" s="159"/>
      <c r="AX401" s="159"/>
      <c r="AY401" s="159"/>
      <c r="AZ401" s="159"/>
      <c r="BA401" s="159"/>
    </row>
    <row r="402" spans="2:53" ht="17.399999999999999" customHeight="1">
      <c r="B402" s="159"/>
      <c r="C402" s="159"/>
      <c r="D402" s="159"/>
      <c r="E402" s="159"/>
      <c r="F402" s="159"/>
      <c r="G402" s="159"/>
      <c r="H402" s="159"/>
      <c r="I402" s="159"/>
      <c r="J402" s="224"/>
      <c r="K402" s="159"/>
      <c r="L402" s="159"/>
      <c r="M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c r="AT402" s="159"/>
      <c r="AU402" s="159"/>
      <c r="AV402" s="159"/>
      <c r="AW402" s="159"/>
      <c r="AX402" s="159"/>
      <c r="AY402" s="159"/>
      <c r="AZ402" s="159"/>
      <c r="BA402" s="159"/>
    </row>
    <row r="403" spans="2:53" ht="17.399999999999999" customHeight="1">
      <c r="B403" s="159"/>
      <c r="C403" s="159"/>
      <c r="D403" s="159"/>
      <c r="E403" s="159"/>
      <c r="F403" s="159"/>
      <c r="G403" s="159"/>
      <c r="H403" s="159"/>
      <c r="I403" s="159"/>
      <c r="J403" s="224"/>
      <c r="K403" s="159"/>
      <c r="L403" s="159"/>
      <c r="M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c r="AT403" s="159"/>
      <c r="AU403" s="159"/>
      <c r="AV403" s="159"/>
      <c r="AW403" s="159"/>
      <c r="AX403" s="159"/>
      <c r="AY403" s="159"/>
      <c r="AZ403" s="159"/>
      <c r="BA403" s="159"/>
    </row>
    <row r="404" spans="2:53" ht="17.399999999999999" customHeight="1">
      <c r="B404" s="159"/>
      <c r="C404" s="159"/>
      <c r="D404" s="159"/>
      <c r="E404" s="159"/>
      <c r="F404" s="159"/>
      <c r="G404" s="159"/>
      <c r="H404" s="159"/>
      <c r="I404" s="159"/>
      <c r="J404" s="224"/>
      <c r="K404" s="159"/>
      <c r="L404" s="159"/>
      <c r="M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c r="AT404" s="159"/>
      <c r="AU404" s="159"/>
      <c r="AV404" s="159"/>
      <c r="AW404" s="159"/>
      <c r="AX404" s="159"/>
      <c r="AY404" s="159"/>
      <c r="AZ404" s="159"/>
      <c r="BA404" s="159"/>
    </row>
    <row r="405" spans="2:53" ht="17.399999999999999" customHeight="1">
      <c r="B405" s="159"/>
      <c r="C405" s="159"/>
      <c r="D405" s="159"/>
      <c r="E405" s="159"/>
      <c r="F405" s="159"/>
      <c r="G405" s="159"/>
      <c r="H405" s="159"/>
      <c r="I405" s="159"/>
      <c r="J405" s="224"/>
      <c r="K405" s="159"/>
      <c r="L405" s="159"/>
      <c r="M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c r="AT405" s="159"/>
      <c r="AU405" s="159"/>
      <c r="AV405" s="159"/>
      <c r="AW405" s="159"/>
      <c r="AX405" s="159"/>
      <c r="AY405" s="159"/>
      <c r="AZ405" s="159"/>
      <c r="BA405" s="159"/>
    </row>
    <row r="406" spans="2:53" ht="17.399999999999999" customHeight="1">
      <c r="B406" s="159"/>
      <c r="C406" s="159"/>
      <c r="D406" s="159"/>
      <c r="E406" s="159"/>
      <c r="F406" s="159"/>
      <c r="G406" s="159"/>
      <c r="H406" s="159"/>
      <c r="I406" s="159"/>
      <c r="J406" s="224"/>
      <c r="K406" s="159"/>
      <c r="L406" s="159"/>
      <c r="M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row>
    <row r="407" spans="2:53" ht="17.399999999999999" customHeight="1">
      <c r="B407" s="159"/>
      <c r="C407" s="159"/>
      <c r="D407" s="159"/>
      <c r="E407" s="159"/>
      <c r="F407" s="159"/>
      <c r="G407" s="159"/>
      <c r="H407" s="159"/>
      <c r="I407" s="159"/>
      <c r="J407" s="224"/>
      <c r="K407" s="159"/>
      <c r="L407" s="159"/>
      <c r="M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c r="AT407" s="159"/>
      <c r="AU407" s="159"/>
      <c r="AV407" s="159"/>
      <c r="AW407" s="159"/>
      <c r="AX407" s="159"/>
      <c r="AY407" s="159"/>
      <c r="AZ407" s="159"/>
      <c r="BA407" s="159"/>
    </row>
    <row r="408" spans="2:53" ht="17.399999999999999" customHeight="1">
      <c r="B408" s="159"/>
      <c r="C408" s="159"/>
      <c r="D408" s="159"/>
      <c r="E408" s="159"/>
      <c r="F408" s="159"/>
      <c r="G408" s="159"/>
      <c r="H408" s="159"/>
      <c r="I408" s="159"/>
      <c r="J408" s="224"/>
      <c r="K408" s="159"/>
      <c r="L408" s="159"/>
      <c r="M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c r="AT408" s="159"/>
      <c r="AU408" s="159"/>
      <c r="AV408" s="159"/>
      <c r="AW408" s="159"/>
      <c r="AX408" s="159"/>
      <c r="AY408" s="159"/>
      <c r="AZ408" s="159"/>
      <c r="BA408" s="159"/>
    </row>
    <row r="409" spans="2:53" s="159" customFormat="1" ht="17.399999999999999" customHeight="1">
      <c r="J409" s="224"/>
    </row>
    <row r="410" spans="2:53" ht="14.4"/>
    <row r="411" spans="2:53" ht="14.4"/>
    <row r="412" spans="2:53" ht="14.4"/>
    <row r="413" spans="2:53" ht="14.4"/>
    <row r="414" spans="2:53" ht="14.4"/>
    <row r="415" spans="2:53" ht="14.4"/>
    <row r="416" spans="2:53" ht="14.4"/>
    <row r="417" ht="14.4"/>
    <row r="418" ht="14.4"/>
    <row r="419" ht="14.4"/>
    <row r="420" ht="14.4"/>
    <row r="421" ht="14.4"/>
    <row r="422" ht="14.4"/>
    <row r="423" ht="14.4"/>
    <row r="424" ht="14.4"/>
    <row r="425" ht="14.4"/>
    <row r="426" ht="14.4"/>
    <row r="427" ht="14.4"/>
    <row r="428" ht="14.4"/>
    <row r="429" ht="14.4"/>
    <row r="430" ht="14.4"/>
    <row r="431" ht="14.4"/>
    <row r="432" ht="14.4"/>
    <row r="433" ht="14.4"/>
    <row r="434" ht="14.4"/>
    <row r="435" ht="14.4"/>
    <row r="436" ht="14.4"/>
    <row r="437" ht="14.4"/>
    <row r="438" ht="14.4"/>
    <row r="439" ht="14.4"/>
    <row r="440" ht="14.4"/>
    <row r="441" ht="14.4"/>
    <row r="442" ht="14.4"/>
    <row r="443" ht="14.4"/>
    <row r="444" ht="14.4"/>
    <row r="445" ht="14.4"/>
    <row r="446" ht="14.4"/>
    <row r="447" ht="14.4"/>
    <row r="448" ht="14.4"/>
    <row r="449" ht="14.4"/>
    <row r="450" ht="14.4"/>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sheetData>
  <sheetProtection algorithmName="SHA-512" hashValue="Y4zVSjvi/th8wG5fLYarDA20KdhHb9oCpMRTeVWYvG7UBZWijkNwhwj0NyJXkcZPSwCUKOWHLqw3bSUl0KW9Lg==" saltValue="0sYz/B6h4SrUDq1d7PlqLw==" spinCount="100000" sheet="1" selectLockedCells="1"/>
  <mergeCells count="6">
    <mergeCell ref="J32:M32"/>
    <mergeCell ref="F5:K5"/>
    <mergeCell ref="F7:K7"/>
    <mergeCell ref="F24:K24"/>
    <mergeCell ref="F25:K25"/>
    <mergeCell ref="F26:G26"/>
  </mergeCells>
  <conditionalFormatting sqref="C52">
    <cfRule type="containsText" dxfId="0" priority="1" operator="containsText" text="większej">
      <formula>NOT(ISERROR(SEARCH("większej",C52)))</formula>
    </cfRule>
  </conditionalFormatting>
  <dataValidations count="1">
    <dataValidation operator="lessThanOrEqual" allowBlank="1" showInputMessage="1" showErrorMessage="1" sqref="F5:K5" xr:uid="{00000000-0002-0000-0800-000000000000}"/>
  </dataValidations>
  <hyperlinks>
    <hyperlink ref="Q57" r:id="rId1" xr:uid="{00000000-0004-0000-0800-000000000000}"/>
  </hyperlinks>
  <pageMargins left="0.59055118110236227" right="0.59055118110236227" top="0.78740157480314965" bottom="0.19685039370078741" header="0.19685039370078741" footer="0.19685039370078741"/>
  <pageSetup paperSize="9" scale="95" fitToHeight="0" orientation="portrait" r:id="rId2"/>
  <headerFooter>
    <oddHeader>&amp;R
&amp;G</oddHeader>
    <oddFooter>&amp;C &amp;"-,Standardowy"&amp;9&amp;K00-033Wydruk wygenerowany z arkusza doboru układów utrzymania ciśnienia firmy IMI HYDRONIC ENGINEERING.</oddFooter>
  </headerFooter>
  <drawing r:id="rId3"/>
  <legacyDrawing r:id="rId4"/>
  <legacyDrawingHF r:id="rId5"/>
  <oleObjects>
    <mc:AlternateContent xmlns:mc="http://schemas.openxmlformats.org/markup-compatibility/2006">
      <mc:Choice Requires="x14">
        <oleObject progId="Equation.3" shapeId="24594" r:id="rId6">
          <objectPr defaultSize="0" autoPict="0" r:id="rId7">
            <anchor moveWithCells="1">
              <from>
                <xdr:col>3</xdr:col>
                <xdr:colOff>45720</xdr:colOff>
                <xdr:row>34</xdr:row>
                <xdr:rowOff>144780</xdr:rowOff>
              </from>
              <to>
                <xdr:col>5</xdr:col>
                <xdr:colOff>426720</xdr:colOff>
                <xdr:row>36</xdr:row>
                <xdr:rowOff>68580</xdr:rowOff>
              </to>
            </anchor>
          </objectPr>
        </oleObject>
      </mc:Choice>
      <mc:Fallback>
        <oleObject progId="Equation.3" shapeId="24594" r:id="rId6"/>
      </mc:Fallback>
    </mc:AlternateContent>
  </oleObjects>
  <mc:AlternateContent xmlns:mc="http://schemas.openxmlformats.org/markup-compatibility/2006">
    <mc:Choice Requires="x14">
      <controls>
        <mc:AlternateContent xmlns:mc="http://schemas.openxmlformats.org/markup-compatibility/2006">
          <mc:Choice Requires="x14">
            <control shapeId="24577" r:id="rId8" name="Drop Down 1">
              <controlPr defaultSize="0" autoLine="0" autoPict="0">
                <anchor moveWithCells="1">
                  <from>
                    <xdr:col>8</xdr:col>
                    <xdr:colOff>388620</xdr:colOff>
                    <xdr:row>12</xdr:row>
                    <xdr:rowOff>22860</xdr:rowOff>
                  </from>
                  <to>
                    <xdr:col>12</xdr:col>
                    <xdr:colOff>0</xdr:colOff>
                    <xdr:row>13</xdr:row>
                    <xdr:rowOff>22860</xdr:rowOff>
                  </to>
                </anchor>
              </controlPr>
            </control>
          </mc:Choice>
        </mc:AlternateContent>
        <mc:AlternateContent xmlns:mc="http://schemas.openxmlformats.org/markup-compatibility/2006">
          <mc:Choice Requires="x14">
            <control shapeId="24578" r:id="rId9" name="Spinner 2">
              <controlPr defaultSize="0" autoPict="0">
                <anchor moveWithCells="1" sizeWithCells="1">
                  <from>
                    <xdr:col>11</xdr:col>
                    <xdr:colOff>335280</xdr:colOff>
                    <xdr:row>7</xdr:row>
                    <xdr:rowOff>83820</xdr:rowOff>
                  </from>
                  <to>
                    <xdr:col>12</xdr:col>
                    <xdr:colOff>0</xdr:colOff>
                    <xdr:row>9</xdr:row>
                    <xdr:rowOff>38100</xdr:rowOff>
                  </to>
                </anchor>
              </controlPr>
            </control>
          </mc:Choice>
        </mc:AlternateContent>
        <mc:AlternateContent xmlns:mc="http://schemas.openxmlformats.org/markup-compatibility/2006">
          <mc:Choice Requires="x14">
            <control shapeId="24595" r:id="rId10" name="Drop Down 19">
              <controlPr defaultSize="0" autoLine="0" autoPict="0">
                <anchor moveWithCells="1">
                  <from>
                    <xdr:col>2</xdr:col>
                    <xdr:colOff>0</xdr:colOff>
                    <xdr:row>49</xdr:row>
                    <xdr:rowOff>144780</xdr:rowOff>
                  </from>
                  <to>
                    <xdr:col>4</xdr:col>
                    <xdr:colOff>312420</xdr:colOff>
                    <xdr:row>50</xdr:row>
                    <xdr:rowOff>144780</xdr:rowOff>
                  </to>
                </anchor>
              </controlPr>
            </control>
          </mc:Choice>
        </mc:AlternateContent>
        <mc:AlternateContent xmlns:mc="http://schemas.openxmlformats.org/markup-compatibility/2006">
          <mc:Choice Requires="x14">
            <control shapeId="24596" r:id="rId11" name="Spinner 20">
              <controlPr defaultSize="0" autoPict="0">
                <anchor moveWithCells="1" sizeWithCells="1">
                  <from>
                    <xdr:col>7</xdr:col>
                    <xdr:colOff>266700</xdr:colOff>
                    <xdr:row>49</xdr:row>
                    <xdr:rowOff>45720</xdr:rowOff>
                  </from>
                  <to>
                    <xdr:col>8</xdr:col>
                    <xdr:colOff>99060</xdr:colOff>
                    <xdr:row>51</xdr:row>
                    <xdr:rowOff>0</xdr:rowOff>
                  </to>
                </anchor>
              </controlPr>
            </control>
          </mc:Choice>
        </mc:AlternateContent>
        <mc:AlternateContent xmlns:mc="http://schemas.openxmlformats.org/markup-compatibility/2006">
          <mc:Choice Requires="x14">
            <control shapeId="24599" r:id="rId12" name="Spinner 23">
              <controlPr defaultSize="0" autoPict="0">
                <anchor moveWithCells="1" sizeWithCells="1">
                  <from>
                    <xdr:col>11</xdr:col>
                    <xdr:colOff>335280</xdr:colOff>
                    <xdr:row>9</xdr:row>
                    <xdr:rowOff>83820</xdr:rowOff>
                  </from>
                  <to>
                    <xdr:col>12</xdr:col>
                    <xdr:colOff>0</xdr:colOff>
                    <xdr:row>11</xdr:row>
                    <xdr:rowOff>38100</xdr:rowOff>
                  </to>
                </anchor>
              </controlPr>
            </control>
          </mc:Choice>
        </mc:AlternateContent>
        <mc:AlternateContent xmlns:mc="http://schemas.openxmlformats.org/markup-compatibility/2006">
          <mc:Choice Requires="x14">
            <control shapeId="24604" r:id="rId13" name="Spinner 28">
              <controlPr defaultSize="0" autoPict="0">
                <anchor moveWithCells="1" sizeWithCells="1">
                  <from>
                    <xdr:col>11</xdr:col>
                    <xdr:colOff>335280</xdr:colOff>
                    <xdr:row>15</xdr:row>
                    <xdr:rowOff>99060</xdr:rowOff>
                  </from>
                  <to>
                    <xdr:col>12</xdr:col>
                    <xdr:colOff>0</xdr:colOff>
                    <xdr:row>17</xdr:row>
                    <xdr:rowOff>45720</xdr:rowOff>
                  </to>
                </anchor>
              </controlPr>
            </control>
          </mc:Choice>
        </mc:AlternateContent>
        <mc:AlternateContent xmlns:mc="http://schemas.openxmlformats.org/markup-compatibility/2006">
          <mc:Choice Requires="x14">
            <control shapeId="24605" r:id="rId14" name="Check Box 29">
              <controlPr defaultSize="0" autoFill="0" autoLine="0" autoPict="0">
                <anchor moveWithCells="1">
                  <from>
                    <xdr:col>11</xdr:col>
                    <xdr:colOff>137160</xdr:colOff>
                    <xdr:row>18</xdr:row>
                    <xdr:rowOff>22860</xdr:rowOff>
                  </from>
                  <to>
                    <xdr:col>12</xdr:col>
                    <xdr:colOff>0</xdr:colOff>
                    <xdr:row>19</xdr:row>
                    <xdr:rowOff>22860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28</vt:i4>
      </vt:variant>
      <vt:variant>
        <vt:lpstr>Nazwane zakresy</vt:lpstr>
      </vt:variant>
      <vt:variant>
        <vt:i4>17</vt:i4>
      </vt:variant>
    </vt:vector>
  </HeadingPairs>
  <TitlesOfParts>
    <vt:vector size="45" baseType="lpstr">
      <vt:lpstr>START</vt:lpstr>
      <vt:lpstr>NW wg PN-EN-12828</vt:lpstr>
      <vt:lpstr>NW wg PN-B-02414</vt:lpstr>
      <vt:lpstr>Compresso</vt:lpstr>
      <vt:lpstr>Transfero</vt:lpstr>
      <vt:lpstr>NW do inst. solarnej</vt:lpstr>
      <vt:lpstr>NW do c.w.u.</vt:lpstr>
      <vt:lpstr>VENTO</vt:lpstr>
      <vt:lpstr>NP</vt:lpstr>
      <vt:lpstr>1</vt:lpstr>
      <vt:lpstr>2</vt:lpstr>
      <vt:lpstr>3</vt:lpstr>
      <vt:lpstr>4</vt:lpstr>
      <vt:lpstr>5</vt:lpstr>
      <vt:lpstr>6</vt:lpstr>
      <vt:lpstr>7</vt:lpstr>
      <vt:lpstr>8</vt:lpstr>
      <vt:lpstr>C Auswahl</vt:lpstr>
      <vt:lpstr>C Daten</vt:lpstr>
      <vt:lpstr>C-C Auswahl</vt:lpstr>
      <vt:lpstr>C-C Daten</vt:lpstr>
      <vt:lpstr>T Auswahl</vt:lpstr>
      <vt:lpstr>T Daten</vt:lpstr>
      <vt:lpstr>Selection pman-p0-qN</vt:lpstr>
      <vt:lpstr>Data</vt:lpstr>
      <vt:lpstr>Selection pman-p0-Q</vt:lpstr>
      <vt:lpstr>Instruction</vt:lpstr>
      <vt:lpstr>Translation</vt:lpstr>
      <vt:lpstr>'C-C Auswahl'!Obszar_wydruku</vt:lpstr>
      <vt:lpstr>Compresso!Obszar_wydruku</vt:lpstr>
      <vt:lpstr>Instruction!Obszar_wydruku</vt:lpstr>
      <vt:lpstr>NP!Obszar_wydruku</vt:lpstr>
      <vt:lpstr>'NW do c.w.u.'!Obszar_wydruku</vt:lpstr>
      <vt:lpstr>'NW do inst. solarnej'!Obszar_wydruku</vt:lpstr>
      <vt:lpstr>'NW wg PN-B-02414'!Obszar_wydruku</vt:lpstr>
      <vt:lpstr>'NW wg PN-EN-12828'!Obszar_wydruku</vt:lpstr>
      <vt:lpstr>'Selection pman-p0-Q'!Obszar_wydruku</vt:lpstr>
      <vt:lpstr>'Selection pman-p0-qN'!Obszar_wydruku</vt:lpstr>
      <vt:lpstr>'T Auswahl'!Obszar_wydruku</vt:lpstr>
      <vt:lpstr>Transfero!Obszar_wydruku</vt:lpstr>
      <vt:lpstr>VENTO!Obszar_wydruku</vt:lpstr>
      <vt:lpstr>'C-C Auswahl'!Tytuły_wydruku</vt:lpstr>
      <vt:lpstr>Instruction!Tytuły_wydruku</vt:lpstr>
      <vt:lpstr>'Selection pman-p0-Q'!Tytuły_wydruku</vt:lpstr>
      <vt:lpstr>'Selection pman-p0-qN'!Tytuły_wydruku</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MTY</dc:creator>
  <cp:lastModifiedBy>Mirosław Tylek</cp:lastModifiedBy>
  <cp:lastPrinted>2021-04-08T11:11:54Z</cp:lastPrinted>
  <dcterms:created xsi:type="dcterms:W3CDTF">2011-08-03T06:16:28Z</dcterms:created>
  <dcterms:modified xsi:type="dcterms:W3CDTF">2022-04-05T06:07:39Z</dcterms:modified>
</cp:coreProperties>
</file>